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S:\REAJUSTE\Permissionárias de Distribuição\2022\07- JULHO\14-Creral - Ricardo\Estrutura\"/>
    </mc:Choice>
  </mc:AlternateContent>
  <xr:revisionPtr revIDLastSave="0" documentId="13_ncr:1_{5EFE3AFD-D49E-4E6E-9EEC-3D0D2C0D1E90}" xr6:coauthVersionLast="47" xr6:coauthVersionMax="47" xr10:uidLastSave="{00000000-0000-0000-0000-000000000000}"/>
  <bookViews>
    <workbookView xWindow="-21720" yWindow="1080" windowWidth="21840" windowHeight="13140" firstSheet="10" activeTab="15" xr2:uid="{276AED3C-CC23-4EF4-891A-1B2C79E6A17B}"/>
  </bookViews>
  <sheets>
    <sheet name="Mercado_Receita" sheetId="1" r:id="rId1"/>
    <sheet name="EVENTOS" sheetId="2" r:id="rId2"/>
    <sheet name="TAR FIN" sheetId="15" r:id="rId3"/>
    <sheet name="MERCADO TUSD" sheetId="3" r:id="rId4"/>
    <sheet name="MERCADO TE" sheetId="4" r:id="rId5"/>
    <sheet name="CUSTOS" sheetId="5" r:id="rId6"/>
    <sheet name="TRANSICAO" sheetId="14" r:id="rId7"/>
    <sheet name="TR TUSD" sheetId="6" r:id="rId8"/>
    <sheet name="TUSD BE" sheetId="7" r:id="rId9"/>
    <sheet name="TUSD BF" sheetId="8" r:id="rId10"/>
    <sheet name="TUSD CVA" sheetId="9" r:id="rId11"/>
    <sheet name="TR TE" sheetId="10" r:id="rId12"/>
    <sheet name="TE BE" sheetId="11" r:id="rId13"/>
    <sheet name="TE BF" sheetId="12" r:id="rId14"/>
    <sheet name="TE CVA" sheetId="13" r:id="rId15"/>
    <sheet name="EFEITO" sheetId="16" r:id="rId16"/>
    <sheet name="SUBSIDIO" sheetId="17" r:id="rId17"/>
    <sheet name="TabDinEfeito" sheetId="18" r:id="rId18"/>
    <sheet name="TabDinSubsidio" sheetId="19" r:id="rId19"/>
    <sheet name="TABELAS REH" sheetId="32" r:id="rId20"/>
    <sheet name="CONSISTENCIA" sheetId="21" r:id="rId21"/>
    <sheet name="TUSD" sheetId="27" r:id="rId22"/>
    <sheet name="TE" sheetId="28" r:id="rId23"/>
    <sheet name="RESUMO TUSD" sheetId="29" r:id="rId24"/>
    <sheet name="RESUMO TE" sheetId="30" r:id="rId25"/>
    <sheet name="Descontos" sheetId="20" r:id="rId26"/>
    <sheet name="ERD" sheetId="31" r:id="rId27"/>
    <sheet name="TA - Aplicação" sheetId="33" r:id="rId28"/>
    <sheet name="TA - BE" sheetId="34" r:id="rId29"/>
    <sheet name="TA - CVA" sheetId="35" r:id="rId30"/>
  </sheets>
  <definedNames>
    <definedName name="DadosExternos_1" localSheetId="27" hidden="1">'TA - Aplicação'!$B$3:$AR$50</definedName>
    <definedName name="DadosExternos_1" localSheetId="28" hidden="1">'TA - BE'!$B$3:$AR$50</definedName>
    <definedName name="DadosExternos_1" localSheetId="29" hidden="1">'TA - CVA'!$B$3:$AR$50</definedName>
  </definedNames>
  <calcPr calcId="191029" iterate="1"/>
  <pivotCaches>
    <pivotCache cacheId="0" r:id="rId31"/>
    <pivotCache cacheId="1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3" i="32" l="1"/>
  <c r="V32" i="32"/>
  <c r="V31" i="32"/>
  <c r="V30" i="32"/>
  <c r="V29" i="32"/>
  <c r="V28" i="32"/>
  <c r="V27" i="32"/>
  <c r="V26" i="32"/>
  <c r="V21" i="32"/>
  <c r="V16" i="32"/>
  <c r="V25" i="32"/>
  <c r="V20" i="32"/>
  <c r="V15" i="32"/>
  <c r="V24" i="32"/>
  <c r="V23" i="32"/>
  <c r="V22" i="32"/>
  <c r="V19" i="32"/>
  <c r="V18" i="32"/>
  <c r="V17" i="32"/>
  <c r="V14" i="32"/>
  <c r="V13" i="32"/>
  <c r="V12" i="32"/>
  <c r="V11" i="32"/>
  <c r="V9" i="32"/>
  <c r="V10" i="32"/>
  <c r="V8" i="32"/>
  <c r="V7" i="32"/>
  <c r="V6" i="32"/>
  <c r="V5" i="32"/>
  <c r="J11" i="32"/>
  <c r="J10" i="32"/>
  <c r="J6" i="32"/>
  <c r="J5" i="32"/>
  <c r="I3" i="31"/>
  <c r="B2" i="31"/>
  <c r="C2" i="31"/>
  <c r="D2" i="31"/>
  <c r="E2" i="31"/>
  <c r="F2" i="31"/>
  <c r="G2" i="31"/>
  <c r="H2" i="31"/>
  <c r="I2" i="31"/>
  <c r="J2" i="31"/>
  <c r="K2" i="31"/>
  <c r="L2" i="31"/>
  <c r="B11" i="31"/>
  <c r="L5" i="30" l="1"/>
  <c r="K5" i="30"/>
  <c r="J5" i="30"/>
  <c r="I5" i="30"/>
  <c r="H5" i="30"/>
  <c r="G5" i="30"/>
  <c r="F5" i="30"/>
  <c r="E5" i="30"/>
  <c r="D5" i="30"/>
  <c r="C5" i="30"/>
  <c r="B5" i="30"/>
  <c r="I2" i="30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B5" i="29"/>
  <c r="I2" i="29"/>
  <c r="AE13" i="21"/>
  <c r="AD13" i="21"/>
  <c r="AC13" i="21"/>
  <c r="AB13" i="21"/>
  <c r="AA13" i="21"/>
  <c r="W13" i="21"/>
  <c r="V13" i="21"/>
  <c r="U13" i="21"/>
  <c r="T13" i="21"/>
  <c r="S13" i="21"/>
  <c r="R13" i="21"/>
  <c r="AE12" i="21"/>
  <c r="AD12" i="21"/>
  <c r="AE8" i="21"/>
  <c r="AD8" i="21"/>
  <c r="AC8" i="21"/>
  <c r="AB8" i="21"/>
  <c r="AA8" i="21"/>
  <c r="W8" i="21"/>
  <c r="V8" i="21"/>
  <c r="U8" i="21"/>
  <c r="T8" i="21"/>
  <c r="S8" i="21"/>
  <c r="R8" i="21"/>
  <c r="X8" i="21" s="1"/>
  <c r="AE6" i="21"/>
  <c r="AD6" i="21"/>
  <c r="AC6" i="21"/>
  <c r="AB6" i="21"/>
  <c r="AA6" i="21"/>
  <c r="W6" i="21"/>
  <c r="V6" i="21"/>
  <c r="U6" i="21"/>
  <c r="T6" i="21"/>
  <c r="S6" i="21"/>
  <c r="R6" i="21"/>
  <c r="AE5" i="21"/>
  <c r="AD5" i="21"/>
  <c r="AC5" i="21"/>
  <c r="AB5" i="21"/>
  <c r="AA5" i="21"/>
  <c r="W5" i="21"/>
  <c r="V5" i="21"/>
  <c r="U5" i="21"/>
  <c r="AI5" i="21" s="1"/>
  <c r="T5" i="21"/>
  <c r="S5" i="21"/>
  <c r="R5" i="21"/>
  <c r="AE4" i="21"/>
  <c r="AD4" i="21"/>
  <c r="AC4" i="21"/>
  <c r="AB4" i="21"/>
  <c r="AA4" i="21"/>
  <c r="W4" i="21"/>
  <c r="V4" i="21"/>
  <c r="U4" i="21"/>
  <c r="T4" i="21"/>
  <c r="S4" i="21"/>
  <c r="R4" i="21"/>
  <c r="AE3" i="21"/>
  <c r="AD3" i="21"/>
  <c r="AC3" i="21"/>
  <c r="AB3" i="21"/>
  <c r="AA3" i="21"/>
  <c r="W3" i="21"/>
  <c r="V3" i="21"/>
  <c r="U3" i="21"/>
  <c r="T3" i="21"/>
  <c r="S3" i="21"/>
  <c r="R3" i="21"/>
  <c r="J533" i="21"/>
  <c r="J532" i="21"/>
  <c r="M532" i="21" s="1"/>
  <c r="J531" i="21"/>
  <c r="M531" i="21" s="1"/>
  <c r="J530" i="21"/>
  <c r="M530" i="21" s="1"/>
  <c r="J529" i="21"/>
  <c r="M529" i="21" s="1"/>
  <c r="J528" i="21"/>
  <c r="M528" i="21" s="1"/>
  <c r="J527" i="21"/>
  <c r="M527" i="21" s="1"/>
  <c r="J526" i="21"/>
  <c r="M526" i="21" s="1"/>
  <c r="J525" i="21"/>
  <c r="M525" i="21" s="1"/>
  <c r="J524" i="21"/>
  <c r="M524" i="21" s="1"/>
  <c r="J523" i="21"/>
  <c r="M523" i="21" s="1"/>
  <c r="J522" i="21"/>
  <c r="M522" i="21" s="1"/>
  <c r="J271" i="21"/>
  <c r="J270" i="21"/>
  <c r="M270" i="21" s="1"/>
  <c r="J269" i="21"/>
  <c r="M269" i="21" s="1"/>
  <c r="J268" i="21"/>
  <c r="M268" i="21" s="1"/>
  <c r="J267" i="21"/>
  <c r="M267" i="21" s="1"/>
  <c r="J266" i="21"/>
  <c r="M266" i="21" s="1"/>
  <c r="J265" i="21"/>
  <c r="M265" i="21" s="1"/>
  <c r="J264" i="21"/>
  <c r="M264" i="21" s="1"/>
  <c r="J263" i="21"/>
  <c r="M263" i="21" s="1"/>
  <c r="J262" i="21"/>
  <c r="M262" i="21" s="1"/>
  <c r="J261" i="21"/>
  <c r="M261" i="21" s="1"/>
  <c r="J260" i="21"/>
  <c r="M260" i="21" s="1"/>
  <c r="L259" i="21"/>
  <c r="O259" i="21" s="1"/>
  <c r="K259" i="21"/>
  <c r="N259" i="21" s="1"/>
  <c r="L258" i="21"/>
  <c r="O258" i="21" s="1"/>
  <c r="K258" i="21"/>
  <c r="N258" i="21" s="1"/>
  <c r="L257" i="21"/>
  <c r="K257" i="21"/>
  <c r="N257" i="21" s="1"/>
  <c r="L256" i="21"/>
  <c r="O256" i="21" s="1"/>
  <c r="K256" i="21"/>
  <c r="N256" i="21" s="1"/>
  <c r="L255" i="21"/>
  <c r="K255" i="21"/>
  <c r="N255" i="21" s="1"/>
  <c r="L254" i="21"/>
  <c r="O254" i="21" s="1"/>
  <c r="K254" i="21"/>
  <c r="N254" i="21" s="1"/>
  <c r="L253" i="21"/>
  <c r="O253" i="21" s="1"/>
  <c r="K253" i="21"/>
  <c r="N253" i="21" s="1"/>
  <c r="L252" i="21"/>
  <c r="O252" i="21" s="1"/>
  <c r="K252" i="21"/>
  <c r="N252" i="21" s="1"/>
  <c r="L251" i="21"/>
  <c r="O251" i="21" s="1"/>
  <c r="K251" i="21"/>
  <c r="N251" i="21" s="1"/>
  <c r="L250" i="21"/>
  <c r="O250" i="21" s="1"/>
  <c r="K250" i="21"/>
  <c r="N250" i="21" s="1"/>
  <c r="L249" i="21"/>
  <c r="O249" i="21" s="1"/>
  <c r="K249" i="21"/>
  <c r="N249" i="21" s="1"/>
  <c r="L248" i="21"/>
  <c r="O248" i="21" s="1"/>
  <c r="K248" i="21"/>
  <c r="N248" i="21" s="1"/>
  <c r="J247" i="21"/>
  <c r="M247" i="21" s="1"/>
  <c r="J246" i="21"/>
  <c r="M246" i="21" s="1"/>
  <c r="J245" i="21"/>
  <c r="M245" i="21" s="1"/>
  <c r="J244" i="21"/>
  <c r="M244" i="21" s="1"/>
  <c r="J243" i="21"/>
  <c r="M243" i="21" s="1"/>
  <c r="J242" i="21"/>
  <c r="M242" i="21" s="1"/>
  <c r="J241" i="21"/>
  <c r="M241" i="21" s="1"/>
  <c r="J240" i="21"/>
  <c r="M240" i="21" s="1"/>
  <c r="J239" i="21"/>
  <c r="M239" i="21" s="1"/>
  <c r="J238" i="21"/>
  <c r="M238" i="21" s="1"/>
  <c r="J237" i="21"/>
  <c r="M237" i="21" s="1"/>
  <c r="J236" i="21"/>
  <c r="M236" i="21" s="1"/>
  <c r="J235" i="21"/>
  <c r="J234" i="21"/>
  <c r="M234" i="21" s="1"/>
  <c r="J233" i="21"/>
  <c r="M233" i="21" s="1"/>
  <c r="J232" i="21"/>
  <c r="M232" i="21" s="1"/>
  <c r="J231" i="21"/>
  <c r="M231" i="21" s="1"/>
  <c r="J230" i="21"/>
  <c r="M230" i="21" s="1"/>
  <c r="J229" i="21"/>
  <c r="M229" i="21" s="1"/>
  <c r="J228" i="21"/>
  <c r="M228" i="21" s="1"/>
  <c r="J227" i="21"/>
  <c r="J226" i="21"/>
  <c r="M226" i="21" s="1"/>
  <c r="J225" i="21"/>
  <c r="M225" i="21" s="1"/>
  <c r="J224" i="21"/>
  <c r="M224" i="21" s="1"/>
  <c r="L223" i="21"/>
  <c r="O223" i="21" s="1"/>
  <c r="K223" i="21"/>
  <c r="N223" i="21" s="1"/>
  <c r="L222" i="21"/>
  <c r="O222" i="21" s="1"/>
  <c r="K222" i="21"/>
  <c r="N222" i="21" s="1"/>
  <c r="L221" i="21"/>
  <c r="O221" i="21" s="1"/>
  <c r="K221" i="21"/>
  <c r="N221" i="21" s="1"/>
  <c r="L220" i="21"/>
  <c r="O220" i="21" s="1"/>
  <c r="K220" i="21"/>
  <c r="N220" i="21" s="1"/>
  <c r="L219" i="21"/>
  <c r="K219" i="21"/>
  <c r="N219" i="21" s="1"/>
  <c r="L218" i="21"/>
  <c r="O218" i="21" s="1"/>
  <c r="K218" i="21"/>
  <c r="N218" i="21" s="1"/>
  <c r="L217" i="21"/>
  <c r="O217" i="21" s="1"/>
  <c r="K217" i="21"/>
  <c r="N217" i="21" s="1"/>
  <c r="L216" i="21"/>
  <c r="O216" i="21" s="1"/>
  <c r="K216" i="21"/>
  <c r="N216" i="21" s="1"/>
  <c r="L215" i="21"/>
  <c r="O215" i="21" s="1"/>
  <c r="K215" i="21"/>
  <c r="N215" i="21" s="1"/>
  <c r="L214" i="21"/>
  <c r="O214" i="21" s="1"/>
  <c r="K214" i="21"/>
  <c r="N214" i="21" s="1"/>
  <c r="L213" i="21"/>
  <c r="O213" i="21" s="1"/>
  <c r="K213" i="21"/>
  <c r="N213" i="21" s="1"/>
  <c r="L212" i="21"/>
  <c r="O212" i="21" s="1"/>
  <c r="K212" i="21"/>
  <c r="J211" i="21"/>
  <c r="M211" i="21" s="1"/>
  <c r="J210" i="21"/>
  <c r="M210" i="21" s="1"/>
  <c r="J209" i="21"/>
  <c r="M209" i="21" s="1"/>
  <c r="J208" i="21"/>
  <c r="M208" i="21" s="1"/>
  <c r="J207" i="21"/>
  <c r="J206" i="21"/>
  <c r="M206" i="21" s="1"/>
  <c r="J205" i="21"/>
  <c r="M205" i="21" s="1"/>
  <c r="J204" i="21"/>
  <c r="M204" i="21" s="1"/>
  <c r="J203" i="21"/>
  <c r="M203" i="21" s="1"/>
  <c r="J202" i="21"/>
  <c r="M202" i="21" s="1"/>
  <c r="J201" i="21"/>
  <c r="M201" i="21" s="1"/>
  <c r="J200" i="21"/>
  <c r="M200" i="21" s="1"/>
  <c r="J199" i="21"/>
  <c r="M199" i="21" s="1"/>
  <c r="J198" i="21"/>
  <c r="M198" i="21" s="1"/>
  <c r="J197" i="21"/>
  <c r="M197" i="21" s="1"/>
  <c r="J196" i="21"/>
  <c r="M196" i="21" s="1"/>
  <c r="J195" i="21"/>
  <c r="M195" i="21" s="1"/>
  <c r="J194" i="21"/>
  <c r="M194" i="21" s="1"/>
  <c r="J193" i="21"/>
  <c r="M193" i="21" s="1"/>
  <c r="J192" i="21"/>
  <c r="M192" i="21" s="1"/>
  <c r="J191" i="21"/>
  <c r="J190" i="21"/>
  <c r="M190" i="21" s="1"/>
  <c r="J189" i="21"/>
  <c r="M189" i="21" s="1"/>
  <c r="J188" i="21"/>
  <c r="M188" i="21" s="1"/>
  <c r="J545" i="21"/>
  <c r="M545" i="21" s="1"/>
  <c r="J544" i="21"/>
  <c r="M544" i="21" s="1"/>
  <c r="J543" i="21"/>
  <c r="M543" i="21" s="1"/>
  <c r="J542" i="21"/>
  <c r="M542" i="21" s="1"/>
  <c r="J541" i="21"/>
  <c r="M541" i="21" s="1"/>
  <c r="J540" i="21"/>
  <c r="M540" i="21" s="1"/>
  <c r="J539" i="21"/>
  <c r="M539" i="21" s="1"/>
  <c r="J538" i="21"/>
  <c r="M538" i="21" s="1"/>
  <c r="J537" i="21"/>
  <c r="M537" i="21" s="1"/>
  <c r="J536" i="21"/>
  <c r="M536" i="21" s="1"/>
  <c r="J535" i="21"/>
  <c r="M535" i="21" s="1"/>
  <c r="J534" i="21"/>
  <c r="M533" i="21"/>
  <c r="J521" i="21"/>
  <c r="M521" i="21" s="1"/>
  <c r="J520" i="21"/>
  <c r="M520" i="21" s="1"/>
  <c r="J519" i="21"/>
  <c r="M519" i="21" s="1"/>
  <c r="J518" i="21"/>
  <c r="M518" i="21" s="1"/>
  <c r="J517" i="21"/>
  <c r="M517" i="21" s="1"/>
  <c r="J516" i="21"/>
  <c r="M516" i="21" s="1"/>
  <c r="J515" i="21"/>
  <c r="M515" i="21" s="1"/>
  <c r="J514" i="21"/>
  <c r="M514" i="21" s="1"/>
  <c r="J513" i="21"/>
  <c r="M513" i="21" s="1"/>
  <c r="J512" i="21"/>
  <c r="M512" i="21" s="1"/>
  <c r="J511" i="21"/>
  <c r="M511" i="21" s="1"/>
  <c r="J510" i="21"/>
  <c r="M510" i="21" s="1"/>
  <c r="J509" i="21"/>
  <c r="M509" i="21" s="1"/>
  <c r="J508" i="21"/>
  <c r="M508" i="21" s="1"/>
  <c r="J507" i="21"/>
  <c r="M507" i="21" s="1"/>
  <c r="J506" i="21"/>
  <c r="M506" i="21" s="1"/>
  <c r="J505" i="21"/>
  <c r="M505" i="21" s="1"/>
  <c r="J504" i="21"/>
  <c r="M504" i="21" s="1"/>
  <c r="J503" i="21"/>
  <c r="M503" i="21" s="1"/>
  <c r="J502" i="21"/>
  <c r="M502" i="21" s="1"/>
  <c r="J501" i="21"/>
  <c r="M501" i="21" s="1"/>
  <c r="J500" i="21"/>
  <c r="M500" i="21" s="1"/>
  <c r="J499" i="21"/>
  <c r="M499" i="21" s="1"/>
  <c r="J498" i="21"/>
  <c r="M498" i="21" s="1"/>
  <c r="J497" i="21"/>
  <c r="M497" i="21" s="1"/>
  <c r="J496" i="21"/>
  <c r="M496" i="21" s="1"/>
  <c r="J495" i="21"/>
  <c r="M495" i="21" s="1"/>
  <c r="J494" i="21"/>
  <c r="M494" i="21" s="1"/>
  <c r="J493" i="21"/>
  <c r="M493" i="21" s="1"/>
  <c r="J492" i="21"/>
  <c r="M492" i="21" s="1"/>
  <c r="J491" i="21"/>
  <c r="M491" i="21" s="1"/>
  <c r="J490" i="21"/>
  <c r="M490" i="21" s="1"/>
  <c r="J489" i="21"/>
  <c r="M489" i="21" s="1"/>
  <c r="J488" i="21"/>
  <c r="M488" i="21" s="1"/>
  <c r="J487" i="21"/>
  <c r="M487" i="21" s="1"/>
  <c r="J486" i="21"/>
  <c r="M486" i="21" s="1"/>
  <c r="J485" i="21"/>
  <c r="M485" i="21" s="1"/>
  <c r="J484" i="21"/>
  <c r="M484" i="21" s="1"/>
  <c r="J483" i="21"/>
  <c r="M483" i="21" s="1"/>
  <c r="J482" i="21"/>
  <c r="M482" i="21" s="1"/>
  <c r="J481" i="21"/>
  <c r="M481" i="21" s="1"/>
  <c r="J480" i="21"/>
  <c r="M480" i="21" s="1"/>
  <c r="J479" i="21"/>
  <c r="M479" i="21" s="1"/>
  <c r="J478" i="21"/>
  <c r="M478" i="21" s="1"/>
  <c r="J477" i="21"/>
  <c r="M477" i="21" s="1"/>
  <c r="J476" i="21"/>
  <c r="M476" i="21" s="1"/>
  <c r="J475" i="21"/>
  <c r="M475" i="21" s="1"/>
  <c r="J474" i="21"/>
  <c r="M474" i="21" s="1"/>
  <c r="J473" i="21"/>
  <c r="M473" i="21" s="1"/>
  <c r="J472" i="21"/>
  <c r="M472" i="21" s="1"/>
  <c r="J471" i="21"/>
  <c r="M471" i="21" s="1"/>
  <c r="J470" i="21"/>
  <c r="M470" i="21" s="1"/>
  <c r="J469" i="21"/>
  <c r="M469" i="21" s="1"/>
  <c r="J468" i="21"/>
  <c r="M468" i="21" s="1"/>
  <c r="J467" i="21"/>
  <c r="M467" i="21" s="1"/>
  <c r="J466" i="21"/>
  <c r="M466" i="21" s="1"/>
  <c r="J465" i="21"/>
  <c r="M465" i="21" s="1"/>
  <c r="J464" i="21"/>
  <c r="M464" i="21" s="1"/>
  <c r="J463" i="21"/>
  <c r="M463" i="21" s="1"/>
  <c r="J462" i="21"/>
  <c r="M462" i="21" s="1"/>
  <c r="J461" i="21"/>
  <c r="M461" i="21" s="1"/>
  <c r="J460" i="21"/>
  <c r="M460" i="21" s="1"/>
  <c r="J459" i="21"/>
  <c r="M459" i="21" s="1"/>
  <c r="J458" i="21"/>
  <c r="M458" i="21" s="1"/>
  <c r="J457" i="21"/>
  <c r="M457" i="21" s="1"/>
  <c r="J456" i="21"/>
  <c r="M456" i="21" s="1"/>
  <c r="J455" i="21"/>
  <c r="M455" i="21" s="1"/>
  <c r="J454" i="21"/>
  <c r="M454" i="21" s="1"/>
  <c r="J453" i="21"/>
  <c r="M453" i="21" s="1"/>
  <c r="J452" i="21"/>
  <c r="M452" i="21" s="1"/>
  <c r="J451" i="21"/>
  <c r="M451" i="21" s="1"/>
  <c r="J450" i="21"/>
  <c r="M450" i="21" s="1"/>
  <c r="J449" i="21"/>
  <c r="M449" i="21" s="1"/>
  <c r="J448" i="21"/>
  <c r="M448" i="21" s="1"/>
  <c r="J447" i="21"/>
  <c r="M447" i="21" s="1"/>
  <c r="J446" i="21"/>
  <c r="M446" i="21" s="1"/>
  <c r="J445" i="21"/>
  <c r="M445" i="21" s="1"/>
  <c r="J444" i="21"/>
  <c r="M444" i="21" s="1"/>
  <c r="J443" i="21"/>
  <c r="M443" i="21" s="1"/>
  <c r="J442" i="21"/>
  <c r="M442" i="21" s="1"/>
  <c r="J441" i="21"/>
  <c r="M441" i="21" s="1"/>
  <c r="J440" i="21"/>
  <c r="M440" i="21" s="1"/>
  <c r="J439" i="21"/>
  <c r="M439" i="21" s="1"/>
  <c r="J438" i="21"/>
  <c r="M438" i="21" s="1"/>
  <c r="J437" i="21"/>
  <c r="M437" i="21" s="1"/>
  <c r="J436" i="21"/>
  <c r="M436" i="21" s="1"/>
  <c r="J435" i="21"/>
  <c r="M435" i="21" s="1"/>
  <c r="J434" i="21"/>
  <c r="M434" i="21" s="1"/>
  <c r="J433" i="21"/>
  <c r="M433" i="21" s="1"/>
  <c r="J432" i="21"/>
  <c r="M432" i="21" s="1"/>
  <c r="J431" i="21"/>
  <c r="M431" i="21" s="1"/>
  <c r="J430" i="21"/>
  <c r="M430" i="21" s="1"/>
  <c r="M429" i="21"/>
  <c r="J429" i="21"/>
  <c r="J428" i="21"/>
  <c r="M428" i="21" s="1"/>
  <c r="J427" i="21"/>
  <c r="M427" i="21" s="1"/>
  <c r="J426" i="21"/>
  <c r="M426" i="21" s="1"/>
  <c r="J425" i="21"/>
  <c r="M425" i="21" s="1"/>
  <c r="J424" i="21"/>
  <c r="M424" i="21" s="1"/>
  <c r="J423" i="21"/>
  <c r="M423" i="21" s="1"/>
  <c r="J422" i="21"/>
  <c r="M422" i="21" s="1"/>
  <c r="J421" i="21"/>
  <c r="M421" i="21" s="1"/>
  <c r="J420" i="21"/>
  <c r="M420" i="21" s="1"/>
  <c r="J419" i="21"/>
  <c r="M419" i="21" s="1"/>
  <c r="J418" i="21"/>
  <c r="M418" i="21" s="1"/>
  <c r="J417" i="21"/>
  <c r="M417" i="21" s="1"/>
  <c r="J416" i="21"/>
  <c r="M416" i="21" s="1"/>
  <c r="J415" i="21"/>
  <c r="M415" i="21" s="1"/>
  <c r="J414" i="21"/>
  <c r="M414" i="21" s="1"/>
  <c r="J413" i="21"/>
  <c r="M413" i="21" s="1"/>
  <c r="J412" i="21"/>
  <c r="M412" i="21" s="1"/>
  <c r="J411" i="21"/>
  <c r="M411" i="21" s="1"/>
  <c r="J410" i="21"/>
  <c r="M410" i="21" s="1"/>
  <c r="J409" i="21"/>
  <c r="M409" i="21" s="1"/>
  <c r="J408" i="21"/>
  <c r="M408" i="21" s="1"/>
  <c r="J407" i="21"/>
  <c r="M407" i="21" s="1"/>
  <c r="J406" i="21"/>
  <c r="M406" i="21" s="1"/>
  <c r="J405" i="21"/>
  <c r="M405" i="21" s="1"/>
  <c r="J404" i="21"/>
  <c r="M404" i="21" s="1"/>
  <c r="J403" i="21"/>
  <c r="M403" i="21" s="1"/>
  <c r="J402" i="21"/>
  <c r="M402" i="21" s="1"/>
  <c r="J401" i="21"/>
  <c r="M401" i="21" s="1"/>
  <c r="J400" i="21"/>
  <c r="M400" i="21" s="1"/>
  <c r="J399" i="21"/>
  <c r="M399" i="21" s="1"/>
  <c r="J398" i="21"/>
  <c r="M398" i="21" s="1"/>
  <c r="J397" i="21"/>
  <c r="M397" i="21" s="1"/>
  <c r="J396" i="21"/>
  <c r="M396" i="21" s="1"/>
  <c r="J395" i="21"/>
  <c r="M395" i="21" s="1"/>
  <c r="J394" i="21"/>
  <c r="M394" i="21" s="1"/>
  <c r="J393" i="21"/>
  <c r="M393" i="21" s="1"/>
  <c r="J392" i="21"/>
  <c r="M392" i="21" s="1"/>
  <c r="J391" i="21"/>
  <c r="M391" i="21" s="1"/>
  <c r="J390" i="21"/>
  <c r="M390" i="21" s="1"/>
  <c r="J389" i="21"/>
  <c r="M389" i="21" s="1"/>
  <c r="J388" i="21"/>
  <c r="M388" i="21" s="1"/>
  <c r="J387" i="21"/>
  <c r="M387" i="21" s="1"/>
  <c r="J386" i="21"/>
  <c r="M386" i="21" s="1"/>
  <c r="J385" i="21"/>
  <c r="M385" i="21" s="1"/>
  <c r="J384" i="21"/>
  <c r="M384" i="21" s="1"/>
  <c r="J383" i="21"/>
  <c r="M383" i="21" s="1"/>
  <c r="J382" i="21"/>
  <c r="M382" i="21" s="1"/>
  <c r="J381" i="21"/>
  <c r="M381" i="21" s="1"/>
  <c r="J380" i="21"/>
  <c r="M380" i="21" s="1"/>
  <c r="J379" i="21"/>
  <c r="M379" i="21" s="1"/>
  <c r="J378" i="21"/>
  <c r="M378" i="21" s="1"/>
  <c r="J377" i="21"/>
  <c r="M377" i="21" s="1"/>
  <c r="J376" i="21"/>
  <c r="M376" i="21" s="1"/>
  <c r="J375" i="21"/>
  <c r="M375" i="21" s="1"/>
  <c r="J374" i="21"/>
  <c r="M374" i="21" s="1"/>
  <c r="J373" i="21"/>
  <c r="M373" i="21" s="1"/>
  <c r="J372" i="21"/>
  <c r="M372" i="21" s="1"/>
  <c r="J371" i="21"/>
  <c r="M371" i="21" s="1"/>
  <c r="J370" i="21"/>
  <c r="M370" i="21" s="1"/>
  <c r="J369" i="21"/>
  <c r="M369" i="21" s="1"/>
  <c r="J368" i="21"/>
  <c r="M368" i="21" s="1"/>
  <c r="J367" i="21"/>
  <c r="M367" i="21" s="1"/>
  <c r="J366" i="21"/>
  <c r="M366" i="21" s="1"/>
  <c r="J365" i="21"/>
  <c r="M365" i="21" s="1"/>
  <c r="J364" i="21"/>
  <c r="M364" i="21" s="1"/>
  <c r="J363" i="21"/>
  <c r="M363" i="21" s="1"/>
  <c r="J362" i="21"/>
  <c r="M362" i="21" s="1"/>
  <c r="J361" i="21"/>
  <c r="M361" i="21" s="1"/>
  <c r="J360" i="21"/>
  <c r="M360" i="21" s="1"/>
  <c r="J359" i="21"/>
  <c r="M359" i="21" s="1"/>
  <c r="J358" i="21"/>
  <c r="M358" i="21" s="1"/>
  <c r="J357" i="21"/>
  <c r="M357" i="21" s="1"/>
  <c r="J356" i="21"/>
  <c r="J355" i="21"/>
  <c r="M355" i="21" s="1"/>
  <c r="J354" i="21"/>
  <c r="M354" i="21" s="1"/>
  <c r="J353" i="21"/>
  <c r="M353" i="21" s="1"/>
  <c r="J352" i="21"/>
  <c r="M352" i="21" s="1"/>
  <c r="J351" i="21"/>
  <c r="M351" i="21" s="1"/>
  <c r="J350" i="21"/>
  <c r="M350" i="21" s="1"/>
  <c r="J349" i="21"/>
  <c r="M349" i="21" s="1"/>
  <c r="J348" i="21"/>
  <c r="M348" i="21" s="1"/>
  <c r="J347" i="21"/>
  <c r="M347" i="21" s="1"/>
  <c r="J346" i="21"/>
  <c r="M346" i="21" s="1"/>
  <c r="J345" i="21"/>
  <c r="M345" i="21" s="1"/>
  <c r="J344" i="21"/>
  <c r="M344" i="21" s="1"/>
  <c r="J343" i="21"/>
  <c r="M343" i="21" s="1"/>
  <c r="J342" i="21"/>
  <c r="M342" i="21" s="1"/>
  <c r="J341" i="21"/>
  <c r="M341" i="21" s="1"/>
  <c r="J340" i="21"/>
  <c r="M340" i="21" s="1"/>
  <c r="J339" i="21"/>
  <c r="M339" i="21" s="1"/>
  <c r="J338" i="21"/>
  <c r="M338" i="21" s="1"/>
  <c r="J337" i="21"/>
  <c r="M337" i="21" s="1"/>
  <c r="J336" i="21"/>
  <c r="M336" i="21" s="1"/>
  <c r="J335" i="21"/>
  <c r="M335" i="21" s="1"/>
  <c r="J334" i="21"/>
  <c r="M334" i="21" s="1"/>
  <c r="J333" i="21"/>
  <c r="M333" i="21" s="1"/>
  <c r="J332" i="21"/>
  <c r="M332" i="21" s="1"/>
  <c r="J331" i="21"/>
  <c r="M331" i="21" s="1"/>
  <c r="J330" i="21"/>
  <c r="M330" i="21" s="1"/>
  <c r="J329" i="21"/>
  <c r="M329" i="21" s="1"/>
  <c r="M328" i="21"/>
  <c r="J328" i="21"/>
  <c r="J327" i="21"/>
  <c r="M327" i="21" s="1"/>
  <c r="J326" i="21"/>
  <c r="M326" i="21" s="1"/>
  <c r="J325" i="21"/>
  <c r="M325" i="21" s="1"/>
  <c r="J324" i="21"/>
  <c r="M324" i="21" s="1"/>
  <c r="J323" i="21"/>
  <c r="M323" i="21" s="1"/>
  <c r="J322" i="21"/>
  <c r="M322" i="21" s="1"/>
  <c r="J321" i="21"/>
  <c r="M321" i="21" s="1"/>
  <c r="J320" i="21"/>
  <c r="M320" i="21" s="1"/>
  <c r="J319" i="21"/>
  <c r="M319" i="21" s="1"/>
  <c r="J318" i="21"/>
  <c r="M318" i="21" s="1"/>
  <c r="J317" i="21"/>
  <c r="M317" i="21" s="1"/>
  <c r="J316" i="21"/>
  <c r="M316" i="21" s="1"/>
  <c r="J315" i="21"/>
  <c r="M315" i="21" s="1"/>
  <c r="J314" i="21"/>
  <c r="M314" i="21" s="1"/>
  <c r="J313" i="21"/>
  <c r="M313" i="21" s="1"/>
  <c r="J312" i="21"/>
  <c r="M312" i="21" s="1"/>
  <c r="J311" i="21"/>
  <c r="M311" i="21" s="1"/>
  <c r="J310" i="21"/>
  <c r="M310" i="21" s="1"/>
  <c r="J309" i="21"/>
  <c r="M309" i="21" s="1"/>
  <c r="J308" i="21"/>
  <c r="M308" i="21" s="1"/>
  <c r="J307" i="21"/>
  <c r="M307" i="21" s="1"/>
  <c r="J306" i="21"/>
  <c r="M306" i="21" s="1"/>
  <c r="M305" i="21"/>
  <c r="J305" i="21"/>
  <c r="J304" i="21"/>
  <c r="M304" i="21" s="1"/>
  <c r="J303" i="21"/>
  <c r="M303" i="21" s="1"/>
  <c r="M302" i="21"/>
  <c r="J302" i="21"/>
  <c r="J301" i="21"/>
  <c r="M301" i="21" s="1"/>
  <c r="J300" i="21"/>
  <c r="M300" i="21" s="1"/>
  <c r="M299" i="21"/>
  <c r="J299" i="21"/>
  <c r="J298" i="21"/>
  <c r="M298" i="21" s="1"/>
  <c r="J297" i="21"/>
  <c r="M297" i="21" s="1"/>
  <c r="J296" i="21"/>
  <c r="M296" i="21" s="1"/>
  <c r="J295" i="21"/>
  <c r="M295" i="21" s="1"/>
  <c r="J294" i="21"/>
  <c r="M294" i="21" s="1"/>
  <c r="J293" i="21"/>
  <c r="M293" i="21" s="1"/>
  <c r="J292" i="21"/>
  <c r="M292" i="21" s="1"/>
  <c r="J291" i="21"/>
  <c r="M291" i="21" s="1"/>
  <c r="J290" i="21"/>
  <c r="M290" i="21" s="1"/>
  <c r="J289" i="21"/>
  <c r="M289" i="21" s="1"/>
  <c r="J288" i="21"/>
  <c r="M288" i="21" s="1"/>
  <c r="J287" i="21"/>
  <c r="M287" i="21" s="1"/>
  <c r="J286" i="21"/>
  <c r="M286" i="21" s="1"/>
  <c r="J285" i="21"/>
  <c r="M285" i="21" s="1"/>
  <c r="J284" i="21"/>
  <c r="M284" i="21" s="1"/>
  <c r="J283" i="21"/>
  <c r="M283" i="21" s="1"/>
  <c r="J282" i="21"/>
  <c r="M282" i="21" s="1"/>
  <c r="J281" i="21"/>
  <c r="M281" i="21" s="1"/>
  <c r="J280" i="21"/>
  <c r="M280" i="21" s="1"/>
  <c r="J279" i="21"/>
  <c r="M279" i="21" s="1"/>
  <c r="J278" i="21"/>
  <c r="M278" i="21" s="1"/>
  <c r="J277" i="21"/>
  <c r="M277" i="21" s="1"/>
  <c r="J276" i="21"/>
  <c r="M276" i="21" s="1"/>
  <c r="J275" i="21"/>
  <c r="M275" i="21" s="1"/>
  <c r="J274" i="21"/>
  <c r="M274" i="21" s="1"/>
  <c r="J273" i="21"/>
  <c r="M273" i="21" s="1"/>
  <c r="J272" i="21"/>
  <c r="M271" i="21"/>
  <c r="O257" i="21"/>
  <c r="O255" i="21"/>
  <c r="M235" i="21"/>
  <c r="M227" i="21"/>
  <c r="O219" i="21"/>
  <c r="N212" i="21"/>
  <c r="M207" i="21"/>
  <c r="M191" i="21"/>
  <c r="J187" i="21"/>
  <c r="M187" i="21" s="1"/>
  <c r="J186" i="21"/>
  <c r="M186" i="21" s="1"/>
  <c r="J185" i="21"/>
  <c r="M185" i="21" s="1"/>
  <c r="J184" i="21"/>
  <c r="M184" i="21" s="1"/>
  <c r="J183" i="21"/>
  <c r="M183" i="21" s="1"/>
  <c r="J182" i="21"/>
  <c r="M182" i="21" s="1"/>
  <c r="J181" i="21"/>
  <c r="M181" i="21" s="1"/>
  <c r="J180" i="21"/>
  <c r="M180" i="21" s="1"/>
  <c r="J179" i="21"/>
  <c r="M179" i="21" s="1"/>
  <c r="J178" i="21"/>
  <c r="M178" i="21" s="1"/>
  <c r="J177" i="21"/>
  <c r="M177" i="21" s="1"/>
  <c r="L176" i="21"/>
  <c r="O176" i="21" s="1"/>
  <c r="K176" i="21"/>
  <c r="N176" i="21" s="1"/>
  <c r="L175" i="21"/>
  <c r="O175" i="21" s="1"/>
  <c r="K175" i="21"/>
  <c r="N175" i="21" s="1"/>
  <c r="N174" i="21"/>
  <c r="L174" i="21"/>
  <c r="O174" i="21" s="1"/>
  <c r="K174" i="21"/>
  <c r="L173" i="21"/>
  <c r="O173" i="21" s="1"/>
  <c r="K173" i="21"/>
  <c r="N173" i="21" s="1"/>
  <c r="L172" i="21"/>
  <c r="O172" i="21" s="1"/>
  <c r="K172" i="21"/>
  <c r="N172" i="21" s="1"/>
  <c r="L171" i="21"/>
  <c r="O171" i="21" s="1"/>
  <c r="K171" i="21"/>
  <c r="N171" i="21" s="1"/>
  <c r="L170" i="21"/>
  <c r="O170" i="21" s="1"/>
  <c r="K170" i="21"/>
  <c r="N170" i="21" s="1"/>
  <c r="L169" i="21"/>
  <c r="O169" i="21" s="1"/>
  <c r="K169" i="21"/>
  <c r="N169" i="21" s="1"/>
  <c r="L168" i="21"/>
  <c r="O168" i="21" s="1"/>
  <c r="K168" i="21"/>
  <c r="N168" i="21" s="1"/>
  <c r="L167" i="21"/>
  <c r="O167" i="21" s="1"/>
  <c r="K167" i="21"/>
  <c r="N167" i="21" s="1"/>
  <c r="L166" i="21"/>
  <c r="O166" i="21" s="1"/>
  <c r="K166" i="21"/>
  <c r="N166" i="21" s="1"/>
  <c r="L165" i="21"/>
  <c r="O165" i="21" s="1"/>
  <c r="K165" i="21"/>
  <c r="N165" i="21" s="1"/>
  <c r="J164" i="21"/>
  <c r="M164" i="21" s="1"/>
  <c r="J163" i="21"/>
  <c r="M163" i="21" s="1"/>
  <c r="J162" i="21"/>
  <c r="M162" i="21" s="1"/>
  <c r="J161" i="21"/>
  <c r="M161" i="21" s="1"/>
  <c r="J160" i="21"/>
  <c r="M160" i="21" s="1"/>
  <c r="J159" i="21"/>
  <c r="M159" i="21" s="1"/>
  <c r="J158" i="21"/>
  <c r="M158" i="21" s="1"/>
  <c r="J157" i="21"/>
  <c r="M157" i="21" s="1"/>
  <c r="J156" i="21"/>
  <c r="M156" i="21" s="1"/>
  <c r="J155" i="21"/>
  <c r="M155" i="21" s="1"/>
  <c r="J154" i="21"/>
  <c r="M154" i="21" s="1"/>
  <c r="J153" i="21"/>
  <c r="M153" i="21" s="1"/>
  <c r="J152" i="21"/>
  <c r="M152" i="21" s="1"/>
  <c r="J151" i="21"/>
  <c r="M151" i="21" s="1"/>
  <c r="J150" i="21"/>
  <c r="M150" i="21" s="1"/>
  <c r="J149" i="21"/>
  <c r="M149" i="21" s="1"/>
  <c r="J148" i="21"/>
  <c r="M148" i="21" s="1"/>
  <c r="J147" i="21"/>
  <c r="M147" i="21" s="1"/>
  <c r="J146" i="21"/>
  <c r="M146" i="21" s="1"/>
  <c r="J145" i="21"/>
  <c r="M145" i="21" s="1"/>
  <c r="J144" i="21"/>
  <c r="M144" i="21" s="1"/>
  <c r="J143" i="21"/>
  <c r="M143" i="21" s="1"/>
  <c r="J142" i="21"/>
  <c r="M142" i="21" s="1"/>
  <c r="J141" i="21"/>
  <c r="M141" i="21" s="1"/>
  <c r="L140" i="21"/>
  <c r="O140" i="21" s="1"/>
  <c r="K140" i="21"/>
  <c r="N140" i="21" s="1"/>
  <c r="L139" i="21"/>
  <c r="O139" i="21" s="1"/>
  <c r="K139" i="21"/>
  <c r="N139" i="21" s="1"/>
  <c r="L138" i="21"/>
  <c r="O138" i="21" s="1"/>
  <c r="K138" i="21"/>
  <c r="N138" i="21" s="1"/>
  <c r="L137" i="21"/>
  <c r="O137" i="21" s="1"/>
  <c r="K137" i="21"/>
  <c r="N137" i="21" s="1"/>
  <c r="L136" i="21"/>
  <c r="O136" i="21" s="1"/>
  <c r="K136" i="21"/>
  <c r="N136" i="21" s="1"/>
  <c r="L135" i="21"/>
  <c r="O135" i="21" s="1"/>
  <c r="K135" i="21"/>
  <c r="N135" i="21" s="1"/>
  <c r="L134" i="21"/>
  <c r="O134" i="21" s="1"/>
  <c r="K134" i="21"/>
  <c r="N134" i="21" s="1"/>
  <c r="L133" i="21"/>
  <c r="O133" i="21" s="1"/>
  <c r="K133" i="21"/>
  <c r="N133" i="21" s="1"/>
  <c r="L132" i="21"/>
  <c r="O132" i="21" s="1"/>
  <c r="K132" i="21"/>
  <c r="N132" i="21" s="1"/>
  <c r="L131" i="21"/>
  <c r="O131" i="21" s="1"/>
  <c r="K131" i="21"/>
  <c r="N131" i="21" s="1"/>
  <c r="L130" i="21"/>
  <c r="O130" i="21" s="1"/>
  <c r="K130" i="21"/>
  <c r="N130" i="21" s="1"/>
  <c r="L129" i="21"/>
  <c r="O129" i="21" s="1"/>
  <c r="K129" i="21"/>
  <c r="N129" i="21" s="1"/>
  <c r="L128" i="21"/>
  <c r="O128" i="21" s="1"/>
  <c r="K128" i="21"/>
  <c r="N128" i="21" s="1"/>
  <c r="J127" i="21"/>
  <c r="M127" i="21" s="1"/>
  <c r="J126" i="21"/>
  <c r="M126" i="21" s="1"/>
  <c r="J125" i="21"/>
  <c r="M125" i="21" s="1"/>
  <c r="J124" i="21"/>
  <c r="M124" i="21" s="1"/>
  <c r="J123" i="21"/>
  <c r="M123" i="21" s="1"/>
  <c r="J122" i="21"/>
  <c r="M122" i="21" s="1"/>
  <c r="J121" i="21"/>
  <c r="M121" i="21" s="1"/>
  <c r="J120" i="21"/>
  <c r="M120" i="21" s="1"/>
  <c r="J119" i="21"/>
  <c r="M119" i="21" s="1"/>
  <c r="J118" i="21"/>
  <c r="M118" i="21" s="1"/>
  <c r="J117" i="21"/>
  <c r="M117" i="21" s="1"/>
  <c r="J116" i="21"/>
  <c r="M116" i="21" s="1"/>
  <c r="J115" i="21"/>
  <c r="M115" i="21" s="1"/>
  <c r="J114" i="21"/>
  <c r="M114" i="21" s="1"/>
  <c r="J113" i="21"/>
  <c r="M113" i="21" s="1"/>
  <c r="J112" i="21"/>
  <c r="M112" i="21" s="1"/>
  <c r="J111" i="21"/>
  <c r="M111" i="21" s="1"/>
  <c r="J110" i="21"/>
  <c r="M110" i="21" s="1"/>
  <c r="J109" i="21"/>
  <c r="M109" i="21" s="1"/>
  <c r="J108" i="21"/>
  <c r="M108" i="21" s="1"/>
  <c r="J107" i="21"/>
  <c r="M107" i="21" s="1"/>
  <c r="J106" i="21"/>
  <c r="M106" i="21" s="1"/>
  <c r="J105" i="21"/>
  <c r="M105" i="21" s="1"/>
  <c r="J104" i="21"/>
  <c r="M104" i="21" s="1"/>
  <c r="J103" i="21"/>
  <c r="M103" i="21" s="1"/>
  <c r="J102" i="21"/>
  <c r="M102" i="21" s="1"/>
  <c r="J101" i="21"/>
  <c r="M101" i="21" s="1"/>
  <c r="J100" i="21"/>
  <c r="M100" i="21" s="1"/>
  <c r="J99" i="21"/>
  <c r="M99" i="21" s="1"/>
  <c r="J98" i="21"/>
  <c r="M98" i="21" s="1"/>
  <c r="J97" i="21"/>
  <c r="M97" i="21" s="1"/>
  <c r="J96" i="21"/>
  <c r="M96" i="21" s="1"/>
  <c r="J95" i="21"/>
  <c r="M95" i="21" s="1"/>
  <c r="J94" i="21"/>
  <c r="M94" i="21" s="1"/>
  <c r="L93" i="21"/>
  <c r="O93" i="21" s="1"/>
  <c r="K93" i="21"/>
  <c r="N93" i="21" s="1"/>
  <c r="L92" i="21"/>
  <c r="O92" i="21" s="1"/>
  <c r="K92" i="21"/>
  <c r="N92" i="21" s="1"/>
  <c r="L91" i="21"/>
  <c r="O91" i="21" s="1"/>
  <c r="K91" i="21"/>
  <c r="N91" i="21" s="1"/>
  <c r="L90" i="21"/>
  <c r="O90" i="21" s="1"/>
  <c r="K90" i="21"/>
  <c r="N90" i="21" s="1"/>
  <c r="L89" i="21"/>
  <c r="O89" i="21" s="1"/>
  <c r="K89" i="21"/>
  <c r="N89" i="21" s="1"/>
  <c r="L88" i="21"/>
  <c r="O88" i="21" s="1"/>
  <c r="K88" i="21"/>
  <c r="N88" i="21" s="1"/>
  <c r="L87" i="21"/>
  <c r="O87" i="21" s="1"/>
  <c r="K87" i="21"/>
  <c r="N87" i="21" s="1"/>
  <c r="L86" i="21"/>
  <c r="O86" i="21" s="1"/>
  <c r="K86" i="21"/>
  <c r="N86" i="21" s="1"/>
  <c r="L85" i="21"/>
  <c r="O85" i="21" s="1"/>
  <c r="K85" i="21"/>
  <c r="N85" i="21" s="1"/>
  <c r="L84" i="21"/>
  <c r="O84" i="21" s="1"/>
  <c r="K84" i="21"/>
  <c r="N84" i="21" s="1"/>
  <c r="L83" i="21"/>
  <c r="O83" i="21" s="1"/>
  <c r="K83" i="21"/>
  <c r="N83" i="21" s="1"/>
  <c r="L82" i="21"/>
  <c r="O82" i="21" s="1"/>
  <c r="K82" i="21"/>
  <c r="N82" i="21" s="1"/>
  <c r="L81" i="21"/>
  <c r="O81" i="21" s="1"/>
  <c r="K81" i="21"/>
  <c r="N81" i="21" s="1"/>
  <c r="L80" i="21"/>
  <c r="O80" i="21" s="1"/>
  <c r="K80" i="21"/>
  <c r="N80" i="21" s="1"/>
  <c r="L79" i="21"/>
  <c r="O79" i="21" s="1"/>
  <c r="K79" i="21"/>
  <c r="N79" i="21" s="1"/>
  <c r="L78" i="21"/>
  <c r="O78" i="21" s="1"/>
  <c r="K78" i="21"/>
  <c r="N78" i="21" s="1"/>
  <c r="L77" i="21"/>
  <c r="O77" i="21" s="1"/>
  <c r="K77" i="21"/>
  <c r="N77" i="21" s="1"/>
  <c r="L76" i="21"/>
  <c r="O76" i="21" s="1"/>
  <c r="K76" i="21"/>
  <c r="N76" i="21" s="1"/>
  <c r="L75" i="21"/>
  <c r="O75" i="21" s="1"/>
  <c r="K75" i="21"/>
  <c r="N75" i="21" s="1"/>
  <c r="L74" i="21"/>
  <c r="O74" i="21" s="1"/>
  <c r="K74" i="21"/>
  <c r="N74" i="21" s="1"/>
  <c r="L73" i="21"/>
  <c r="O73" i="21" s="1"/>
  <c r="K73" i="21"/>
  <c r="N73" i="21" s="1"/>
  <c r="L72" i="21"/>
  <c r="O72" i="21" s="1"/>
  <c r="K72" i="21"/>
  <c r="N72" i="21" s="1"/>
  <c r="L71" i="21"/>
  <c r="O71" i="21" s="1"/>
  <c r="K71" i="21"/>
  <c r="N71" i="21" s="1"/>
  <c r="J70" i="21"/>
  <c r="M70" i="21" s="1"/>
  <c r="J69" i="21"/>
  <c r="M69" i="21" s="1"/>
  <c r="J68" i="21"/>
  <c r="M68" i="21" s="1"/>
  <c r="J67" i="21"/>
  <c r="M67" i="21" s="1"/>
  <c r="J66" i="21"/>
  <c r="M66" i="21" s="1"/>
  <c r="J65" i="21"/>
  <c r="M65" i="21" s="1"/>
  <c r="J64" i="21"/>
  <c r="M64" i="21" s="1"/>
  <c r="J63" i="21"/>
  <c r="M63" i="21" s="1"/>
  <c r="J62" i="21"/>
  <c r="M62" i="21" s="1"/>
  <c r="J61" i="21"/>
  <c r="M61" i="21" s="1"/>
  <c r="J60" i="21"/>
  <c r="M60" i="21" s="1"/>
  <c r="J59" i="21"/>
  <c r="M59" i="21" s="1"/>
  <c r="J58" i="21"/>
  <c r="M58" i="21" s="1"/>
  <c r="J57" i="21"/>
  <c r="M57" i="21" s="1"/>
  <c r="J56" i="21"/>
  <c r="M56" i="21" s="1"/>
  <c r="J55" i="21"/>
  <c r="M55" i="21" s="1"/>
  <c r="J54" i="21"/>
  <c r="M54" i="21" s="1"/>
  <c r="J53" i="21"/>
  <c r="M53" i="21" s="1"/>
  <c r="J52" i="21"/>
  <c r="M52" i="21" s="1"/>
  <c r="J51" i="21"/>
  <c r="M51" i="21" s="1"/>
  <c r="J50" i="21"/>
  <c r="M50" i="21" s="1"/>
  <c r="L49" i="21"/>
  <c r="O49" i="21" s="1"/>
  <c r="K49" i="21"/>
  <c r="N49" i="21" s="1"/>
  <c r="L48" i="21"/>
  <c r="O48" i="21" s="1"/>
  <c r="K48" i="21"/>
  <c r="N48" i="21" s="1"/>
  <c r="L47" i="21"/>
  <c r="O47" i="21" s="1"/>
  <c r="K47" i="21"/>
  <c r="N47" i="21" s="1"/>
  <c r="L46" i="21"/>
  <c r="O46" i="21" s="1"/>
  <c r="K46" i="21"/>
  <c r="N46" i="21" s="1"/>
  <c r="L45" i="21"/>
  <c r="O45" i="21" s="1"/>
  <c r="K45" i="21"/>
  <c r="N45" i="21" s="1"/>
  <c r="L44" i="21"/>
  <c r="O44" i="21" s="1"/>
  <c r="K44" i="21"/>
  <c r="N44" i="21" s="1"/>
  <c r="L43" i="21"/>
  <c r="O43" i="21" s="1"/>
  <c r="K43" i="21"/>
  <c r="N43" i="21" s="1"/>
  <c r="L42" i="21"/>
  <c r="O42" i="21" s="1"/>
  <c r="K42" i="21"/>
  <c r="N42" i="21" s="1"/>
  <c r="L41" i="21"/>
  <c r="O41" i="21" s="1"/>
  <c r="K41" i="21"/>
  <c r="N41" i="21" s="1"/>
  <c r="L40" i="21"/>
  <c r="O40" i="21" s="1"/>
  <c r="K40" i="21"/>
  <c r="N40" i="21" s="1"/>
  <c r="L39" i="21"/>
  <c r="O39" i="21" s="1"/>
  <c r="K39" i="21"/>
  <c r="N39" i="21" s="1"/>
  <c r="L38" i="21"/>
  <c r="O38" i="21" s="1"/>
  <c r="K38" i="21"/>
  <c r="N38" i="21" s="1"/>
  <c r="L37" i="21"/>
  <c r="O37" i="21" s="1"/>
  <c r="K37" i="21"/>
  <c r="N37" i="21" s="1"/>
  <c r="L36" i="21"/>
  <c r="O36" i="21" s="1"/>
  <c r="K36" i="21"/>
  <c r="N36" i="21" s="1"/>
  <c r="L35" i="21"/>
  <c r="O35" i="21" s="1"/>
  <c r="K35" i="21"/>
  <c r="N35" i="21" s="1"/>
  <c r="L34" i="21"/>
  <c r="O34" i="21" s="1"/>
  <c r="K34" i="21"/>
  <c r="N34" i="21" s="1"/>
  <c r="L33" i="21"/>
  <c r="O33" i="21" s="1"/>
  <c r="K33" i="21"/>
  <c r="N33" i="21" s="1"/>
  <c r="L32" i="21"/>
  <c r="O32" i="21" s="1"/>
  <c r="K32" i="21"/>
  <c r="N32" i="21" s="1"/>
  <c r="L31" i="21"/>
  <c r="O31" i="21" s="1"/>
  <c r="K31" i="21"/>
  <c r="N31" i="21" s="1"/>
  <c r="L30" i="21"/>
  <c r="O30" i="21" s="1"/>
  <c r="K30" i="21"/>
  <c r="N30" i="21" s="1"/>
  <c r="L29" i="21"/>
  <c r="O29" i="21" s="1"/>
  <c r="K29" i="21"/>
  <c r="N29" i="21" s="1"/>
  <c r="L28" i="21"/>
  <c r="O28" i="21" s="1"/>
  <c r="K28" i="21"/>
  <c r="N28" i="21" s="1"/>
  <c r="L27" i="21"/>
  <c r="O27" i="21" s="1"/>
  <c r="K27" i="21"/>
  <c r="N27" i="21" s="1"/>
  <c r="L26" i="21"/>
  <c r="O26" i="21" s="1"/>
  <c r="K26" i="21"/>
  <c r="N26" i="21" s="1"/>
  <c r="X533" i="16"/>
  <c r="AD533" i="16" s="1"/>
  <c r="W533" i="16"/>
  <c r="AC533" i="16" s="1"/>
  <c r="X532" i="16"/>
  <c r="W532" i="16"/>
  <c r="X531" i="16"/>
  <c r="W531" i="16"/>
  <c r="AC531" i="16" s="1"/>
  <c r="X530" i="16"/>
  <c r="W530" i="16"/>
  <c r="AC530" i="16" s="1"/>
  <c r="X529" i="16"/>
  <c r="AD529" i="16" s="1"/>
  <c r="W529" i="16"/>
  <c r="AC529" i="16" s="1"/>
  <c r="X528" i="16"/>
  <c r="W528" i="16"/>
  <c r="AC528" i="16" s="1"/>
  <c r="X527" i="16"/>
  <c r="AD527" i="16" s="1"/>
  <c r="W527" i="16"/>
  <c r="AC527" i="16" s="1"/>
  <c r="X526" i="16"/>
  <c r="W526" i="16"/>
  <c r="AC526" i="16" s="1"/>
  <c r="X525" i="16"/>
  <c r="AD525" i="16" s="1"/>
  <c r="W525" i="16"/>
  <c r="AC525" i="16" s="1"/>
  <c r="X524" i="16"/>
  <c r="AD524" i="16" s="1"/>
  <c r="W524" i="16"/>
  <c r="X523" i="16"/>
  <c r="W523" i="16"/>
  <c r="AC523" i="16" s="1"/>
  <c r="X522" i="16"/>
  <c r="W522" i="16"/>
  <c r="AC522" i="16" s="1"/>
  <c r="AD272" i="17"/>
  <c r="X272" i="17"/>
  <c r="W272" i="17"/>
  <c r="AD271" i="17"/>
  <c r="X271" i="17"/>
  <c r="W271" i="17"/>
  <c r="X271" i="16"/>
  <c r="AD271" i="16" s="1"/>
  <c r="W271" i="16"/>
  <c r="AC271" i="16" s="1"/>
  <c r="AD270" i="17"/>
  <c r="X270" i="17"/>
  <c r="W270" i="17"/>
  <c r="X270" i="16"/>
  <c r="W270" i="16"/>
  <c r="AD269" i="17"/>
  <c r="X269" i="17"/>
  <c r="W269" i="17"/>
  <c r="X269" i="16"/>
  <c r="W269" i="16"/>
  <c r="AC269" i="16" s="1"/>
  <c r="AD268" i="17"/>
  <c r="X268" i="17"/>
  <c r="W268" i="17"/>
  <c r="X268" i="16"/>
  <c r="W268" i="16"/>
  <c r="AD267" i="17"/>
  <c r="X267" i="17"/>
  <c r="W267" i="17"/>
  <c r="X267" i="16"/>
  <c r="AD267" i="16" s="1"/>
  <c r="W267" i="16"/>
  <c r="AC267" i="16" s="1"/>
  <c r="AD266" i="17"/>
  <c r="X266" i="17"/>
  <c r="W266" i="17"/>
  <c r="X266" i="16"/>
  <c r="W266" i="16"/>
  <c r="AD265" i="17"/>
  <c r="X265" i="17"/>
  <c r="W265" i="17"/>
  <c r="X265" i="16"/>
  <c r="AD265" i="16" s="1"/>
  <c r="W265" i="16"/>
  <c r="AC265" i="16" s="1"/>
  <c r="AD264" i="17"/>
  <c r="X264" i="17"/>
  <c r="W264" i="17"/>
  <c r="X264" i="16"/>
  <c r="W264" i="16"/>
  <c r="AD263" i="17"/>
  <c r="X263" i="17"/>
  <c r="W263" i="17"/>
  <c r="X263" i="16"/>
  <c r="AD263" i="16" s="1"/>
  <c r="W263" i="16"/>
  <c r="AC263" i="16" s="1"/>
  <c r="AD262" i="17"/>
  <c r="X262" i="17"/>
  <c r="W262" i="17"/>
  <c r="X262" i="16"/>
  <c r="W262" i="16"/>
  <c r="AD261" i="17"/>
  <c r="X261" i="17"/>
  <c r="W261" i="17"/>
  <c r="X261" i="16"/>
  <c r="W261" i="16"/>
  <c r="X260" i="16"/>
  <c r="W260" i="16"/>
  <c r="V259" i="16"/>
  <c r="AB259" i="16" s="1"/>
  <c r="V258" i="16"/>
  <c r="AB258" i="16" s="1"/>
  <c r="V257" i="16"/>
  <c r="V256" i="16"/>
  <c r="V255" i="16"/>
  <c r="AB255" i="16" s="1"/>
  <c r="V254" i="16"/>
  <c r="AB254" i="16" s="1"/>
  <c r="V253" i="16"/>
  <c r="V252" i="16"/>
  <c r="V251" i="16"/>
  <c r="AB251" i="16" s="1"/>
  <c r="V250" i="16"/>
  <c r="AB250" i="16" s="1"/>
  <c r="V249" i="16"/>
  <c r="V248" i="16"/>
  <c r="X247" i="16"/>
  <c r="AD247" i="16" s="1"/>
  <c r="W247" i="16"/>
  <c r="AC247" i="16" s="1"/>
  <c r="X246" i="16"/>
  <c r="AD246" i="16" s="1"/>
  <c r="W246" i="16"/>
  <c r="X245" i="16"/>
  <c r="W245" i="16"/>
  <c r="X244" i="16"/>
  <c r="W244" i="16"/>
  <c r="AC244" i="16" s="1"/>
  <c r="X243" i="16"/>
  <c r="AD243" i="16" s="1"/>
  <c r="W243" i="16"/>
  <c r="AC243" i="16" s="1"/>
  <c r="X242" i="16"/>
  <c r="W242" i="16"/>
  <c r="AC242" i="16" s="1"/>
  <c r="X241" i="16"/>
  <c r="AD241" i="16" s="1"/>
  <c r="W241" i="16"/>
  <c r="X240" i="16"/>
  <c r="W240" i="16"/>
  <c r="X239" i="16"/>
  <c r="AD239" i="16" s="1"/>
  <c r="W239" i="16"/>
  <c r="AC239" i="16" s="1"/>
  <c r="X238" i="16"/>
  <c r="AD238" i="16" s="1"/>
  <c r="W238" i="16"/>
  <c r="AC238" i="16" s="1"/>
  <c r="X237" i="16"/>
  <c r="AD237" i="16" s="1"/>
  <c r="W237" i="16"/>
  <c r="X236" i="16"/>
  <c r="AD236" i="16" s="1"/>
  <c r="W236" i="16"/>
  <c r="AC236" i="16" s="1"/>
  <c r="X235" i="16"/>
  <c r="W235" i="16"/>
  <c r="AC235" i="16" s="1"/>
  <c r="X234" i="16"/>
  <c r="W234" i="16"/>
  <c r="X233" i="16"/>
  <c r="AD233" i="16" s="1"/>
  <c r="W233" i="16"/>
  <c r="X232" i="16"/>
  <c r="W232" i="16"/>
  <c r="X231" i="16"/>
  <c r="AD231" i="16" s="1"/>
  <c r="W231" i="16"/>
  <c r="AC231" i="16" s="1"/>
  <c r="X230" i="16"/>
  <c r="AD230" i="16" s="1"/>
  <c r="W230" i="16"/>
  <c r="X229" i="16"/>
  <c r="W229" i="16"/>
  <c r="AC229" i="16" s="1"/>
  <c r="X228" i="16"/>
  <c r="AD228" i="16" s="1"/>
  <c r="W228" i="16"/>
  <c r="AC228" i="16" s="1"/>
  <c r="X227" i="16"/>
  <c r="AD227" i="16" s="1"/>
  <c r="W227" i="16"/>
  <c r="AC227" i="16" s="1"/>
  <c r="X226" i="16"/>
  <c r="W226" i="16"/>
  <c r="AC226" i="16" s="1"/>
  <c r="X225" i="16"/>
  <c r="AD225" i="16" s="1"/>
  <c r="W225" i="16"/>
  <c r="AC225" i="16" s="1"/>
  <c r="X224" i="16"/>
  <c r="W224" i="16"/>
  <c r="V223" i="16"/>
  <c r="AB223" i="16" s="1"/>
  <c r="V222" i="16"/>
  <c r="AB222" i="16" s="1"/>
  <c r="V221" i="16"/>
  <c r="AB221" i="16" s="1"/>
  <c r="V220" i="16"/>
  <c r="AB220" i="16" s="1"/>
  <c r="V219" i="16"/>
  <c r="AB219" i="16" s="1"/>
  <c r="V218" i="16"/>
  <c r="AB218" i="16" s="1"/>
  <c r="V217" i="16"/>
  <c r="V216" i="16"/>
  <c r="AB216" i="16" s="1"/>
  <c r="V215" i="16"/>
  <c r="V214" i="16"/>
  <c r="AB214" i="16" s="1"/>
  <c r="V213" i="16"/>
  <c r="AB213" i="16" s="1"/>
  <c r="V212" i="16"/>
  <c r="AB212" i="16" s="1"/>
  <c r="X211" i="16"/>
  <c r="AD211" i="16" s="1"/>
  <c r="W211" i="16"/>
  <c r="X210" i="16"/>
  <c r="AD210" i="16" s="1"/>
  <c r="W210" i="16"/>
  <c r="AC210" i="16" s="1"/>
  <c r="X209" i="16"/>
  <c r="W209" i="16"/>
  <c r="X208" i="16"/>
  <c r="AD208" i="16" s="1"/>
  <c r="W208" i="16"/>
  <c r="X207" i="16"/>
  <c r="AD207" i="16" s="1"/>
  <c r="W207" i="16"/>
  <c r="AC207" i="16" s="1"/>
  <c r="X206" i="16"/>
  <c r="W206" i="16"/>
  <c r="X205" i="16"/>
  <c r="AD205" i="16" s="1"/>
  <c r="W205" i="16"/>
  <c r="AC205" i="16" s="1"/>
  <c r="X204" i="16"/>
  <c r="AD204" i="16" s="1"/>
  <c r="W204" i="16"/>
  <c r="AC204" i="16" s="1"/>
  <c r="X203" i="16"/>
  <c r="W203" i="16"/>
  <c r="AC203" i="16" s="1"/>
  <c r="X202" i="16"/>
  <c r="W202" i="16"/>
  <c r="X201" i="16"/>
  <c r="AD201" i="16" s="1"/>
  <c r="W201" i="16"/>
  <c r="AC201" i="16" s="1"/>
  <c r="X200" i="16"/>
  <c r="AD200" i="16" s="1"/>
  <c r="W200" i="16"/>
  <c r="AC200" i="16" s="1"/>
  <c r="AD109" i="17"/>
  <c r="X109" i="17"/>
  <c r="W109" i="17"/>
  <c r="AD108" i="17"/>
  <c r="X108" i="17"/>
  <c r="W108" i="17"/>
  <c r="AD107" i="17"/>
  <c r="X107" i="17"/>
  <c r="W107" i="17"/>
  <c r="AD106" i="17"/>
  <c r="X106" i="17"/>
  <c r="W106" i="17"/>
  <c r="AD105" i="17"/>
  <c r="X105" i="17"/>
  <c r="W105" i="17"/>
  <c r="AD104" i="17"/>
  <c r="X104" i="17"/>
  <c r="W104" i="17"/>
  <c r="AD103" i="17"/>
  <c r="X103" i="17"/>
  <c r="W103" i="17"/>
  <c r="AD102" i="17"/>
  <c r="X102" i="17"/>
  <c r="W102" i="17"/>
  <c r="AD101" i="17"/>
  <c r="X101" i="17"/>
  <c r="W101" i="17"/>
  <c r="AD100" i="17"/>
  <c r="X100" i="17"/>
  <c r="W100" i="17"/>
  <c r="AD99" i="17"/>
  <c r="X99" i="17"/>
  <c r="W99" i="17"/>
  <c r="AD98" i="17"/>
  <c r="X98" i="17"/>
  <c r="W98" i="17"/>
  <c r="AE97" i="17"/>
  <c r="V97" i="17"/>
  <c r="AB97" i="17" s="1"/>
  <c r="AE96" i="17"/>
  <c r="V96" i="17"/>
  <c r="AB96" i="17" s="1"/>
  <c r="AE95" i="17"/>
  <c r="V95" i="17"/>
  <c r="AB95" i="17" s="1"/>
  <c r="AE94" i="17"/>
  <c r="V94" i="17"/>
  <c r="AB94" i="17" s="1"/>
  <c r="AE93" i="17"/>
  <c r="V93" i="17"/>
  <c r="AB93" i="17" s="1"/>
  <c r="AE92" i="17"/>
  <c r="V92" i="17"/>
  <c r="AB92" i="17" s="1"/>
  <c r="AE91" i="17"/>
  <c r="V91" i="17"/>
  <c r="AB91" i="17" s="1"/>
  <c r="AE90" i="17"/>
  <c r="V90" i="17"/>
  <c r="AB90" i="17" s="1"/>
  <c r="AE89" i="17"/>
  <c r="V89" i="17"/>
  <c r="AB89" i="17" s="1"/>
  <c r="AE88" i="17"/>
  <c r="V88" i="17"/>
  <c r="AB88" i="17" s="1"/>
  <c r="AE87" i="17"/>
  <c r="V87" i="17"/>
  <c r="AB87" i="17" s="1"/>
  <c r="AE86" i="17"/>
  <c r="V86" i="17"/>
  <c r="AB86" i="17" s="1"/>
  <c r="AD85" i="17"/>
  <c r="X85" i="17"/>
  <c r="W85" i="17"/>
  <c r="AD84" i="17"/>
  <c r="X84" i="17"/>
  <c r="W84" i="17"/>
  <c r="AC84" i="17" s="1"/>
  <c r="AD83" i="17"/>
  <c r="X83" i="17"/>
  <c r="W83" i="17"/>
  <c r="AD82" i="17"/>
  <c r="X82" i="17"/>
  <c r="W82" i="17"/>
  <c r="AD81" i="17"/>
  <c r="X81" i="17"/>
  <c r="W81" i="17"/>
  <c r="AD80" i="17"/>
  <c r="X80" i="17"/>
  <c r="W80" i="17"/>
  <c r="AC80" i="17" s="1"/>
  <c r="AD79" i="17"/>
  <c r="X79" i="17"/>
  <c r="W79" i="17"/>
  <c r="AD78" i="17"/>
  <c r="X78" i="17"/>
  <c r="W78" i="17"/>
  <c r="AD77" i="17"/>
  <c r="X77" i="17"/>
  <c r="W77" i="17"/>
  <c r="AD76" i="17"/>
  <c r="X76" i="17"/>
  <c r="W76" i="17"/>
  <c r="AC76" i="17" s="1"/>
  <c r="AD75" i="17"/>
  <c r="X75" i="17"/>
  <c r="W75" i="17"/>
  <c r="AD74" i="17"/>
  <c r="X74" i="17"/>
  <c r="W74" i="17"/>
  <c r="AD73" i="17"/>
  <c r="X73" i="17"/>
  <c r="W73" i="17"/>
  <c r="AD72" i="17"/>
  <c r="X72" i="17"/>
  <c r="W72" i="17"/>
  <c r="AC72" i="17" s="1"/>
  <c r="AD71" i="17"/>
  <c r="X71" i="17"/>
  <c r="W71" i="17"/>
  <c r="AD70" i="17"/>
  <c r="X70" i="17"/>
  <c r="W70" i="17"/>
  <c r="AD69" i="17"/>
  <c r="X69" i="17"/>
  <c r="W69" i="17"/>
  <c r="AD68" i="17"/>
  <c r="X68" i="17"/>
  <c r="W68" i="17"/>
  <c r="AC68" i="17" s="1"/>
  <c r="AD67" i="17"/>
  <c r="X67" i="17"/>
  <c r="W67" i="17"/>
  <c r="AD66" i="17"/>
  <c r="X66" i="17"/>
  <c r="W66" i="17"/>
  <c r="AD65" i="17"/>
  <c r="X65" i="17"/>
  <c r="W65" i="17"/>
  <c r="AD64" i="17"/>
  <c r="X64" i="17"/>
  <c r="W64" i="17"/>
  <c r="AC64" i="17" s="1"/>
  <c r="AD63" i="17"/>
  <c r="X63" i="17"/>
  <c r="W63" i="17"/>
  <c r="AD62" i="17"/>
  <c r="X62" i="17"/>
  <c r="W62" i="17"/>
  <c r="AE61" i="17"/>
  <c r="V61" i="17"/>
  <c r="AB61" i="17" s="1"/>
  <c r="AE60" i="17"/>
  <c r="V60" i="17"/>
  <c r="AB60" i="17" s="1"/>
  <c r="AE59" i="17"/>
  <c r="V59" i="17"/>
  <c r="AB59" i="17" s="1"/>
  <c r="AE58" i="17"/>
  <c r="V58" i="17"/>
  <c r="AB58" i="17" s="1"/>
  <c r="AE57" i="17"/>
  <c r="V57" i="17"/>
  <c r="AB57" i="17" s="1"/>
  <c r="AE56" i="17"/>
  <c r="V56" i="17"/>
  <c r="AB56" i="17" s="1"/>
  <c r="AE55" i="17"/>
  <c r="V55" i="17"/>
  <c r="AB55" i="17" s="1"/>
  <c r="AE54" i="17"/>
  <c r="V54" i="17"/>
  <c r="AB54" i="17" s="1"/>
  <c r="AE53" i="17"/>
  <c r="V53" i="17"/>
  <c r="AB53" i="17" s="1"/>
  <c r="AE52" i="17"/>
  <c r="V52" i="17"/>
  <c r="AB52" i="17" s="1"/>
  <c r="AE51" i="17"/>
  <c r="V51" i="17"/>
  <c r="AB51" i="17" s="1"/>
  <c r="AE50" i="17"/>
  <c r="V50" i="17"/>
  <c r="AB50" i="17" s="1"/>
  <c r="AD49" i="17"/>
  <c r="X49" i="17"/>
  <c r="W49" i="17"/>
  <c r="AD48" i="17"/>
  <c r="X48" i="17"/>
  <c r="W48" i="17"/>
  <c r="AD47" i="17"/>
  <c r="X47" i="17"/>
  <c r="W47" i="17"/>
  <c r="AD46" i="17"/>
  <c r="X46" i="17"/>
  <c r="W46" i="17"/>
  <c r="AD45" i="17"/>
  <c r="X45" i="17"/>
  <c r="W45" i="17"/>
  <c r="AD44" i="17"/>
  <c r="X44" i="17"/>
  <c r="W44" i="17"/>
  <c r="AC44" i="17" s="1"/>
  <c r="AD43" i="17"/>
  <c r="X43" i="17"/>
  <c r="W43" i="17"/>
  <c r="AD42" i="17"/>
  <c r="X42" i="17"/>
  <c r="W42" i="17"/>
  <c r="AD41" i="17"/>
  <c r="X41" i="17"/>
  <c r="W41" i="17"/>
  <c r="AD40" i="17"/>
  <c r="X40" i="17"/>
  <c r="W40" i="17"/>
  <c r="AC40" i="17" s="1"/>
  <c r="AD39" i="17"/>
  <c r="X39" i="17"/>
  <c r="W39" i="17"/>
  <c r="AD38" i="17"/>
  <c r="X38" i="17"/>
  <c r="W38" i="17"/>
  <c r="M40" i="5"/>
  <c r="M39" i="5"/>
  <c r="M38" i="5"/>
  <c r="AJ9" i="17"/>
  <c r="AI9" i="17"/>
  <c r="AJ4" i="17"/>
  <c r="AI4" i="17"/>
  <c r="AJ2" i="17"/>
  <c r="AI2" i="17"/>
  <c r="AD260" i="17"/>
  <c r="AD259" i="17"/>
  <c r="AD258" i="17"/>
  <c r="AD257" i="17"/>
  <c r="AD256" i="17"/>
  <c r="AD255" i="17"/>
  <c r="AD254" i="17"/>
  <c r="AD253" i="17"/>
  <c r="AD252" i="17"/>
  <c r="AD251" i="17"/>
  <c r="AD250" i="17"/>
  <c r="AD249" i="17"/>
  <c r="AD248" i="17"/>
  <c r="AD247" i="17"/>
  <c r="AD246" i="17"/>
  <c r="AD245" i="17"/>
  <c r="AD244" i="17"/>
  <c r="AD243" i="17"/>
  <c r="AD242" i="17"/>
  <c r="AD241" i="17"/>
  <c r="AD240" i="17"/>
  <c r="AD239" i="17"/>
  <c r="AD238" i="17"/>
  <c r="AD237" i="17"/>
  <c r="AD236" i="17"/>
  <c r="AD235" i="17"/>
  <c r="AD234" i="17"/>
  <c r="AD233" i="17"/>
  <c r="AD232" i="17"/>
  <c r="AD231" i="17"/>
  <c r="AD230" i="17"/>
  <c r="AD229" i="17"/>
  <c r="AD228" i="17"/>
  <c r="AD227" i="17"/>
  <c r="AD226" i="17"/>
  <c r="AD225" i="17"/>
  <c r="AD224" i="17"/>
  <c r="AD223" i="17"/>
  <c r="AD222" i="17"/>
  <c r="AD221" i="17"/>
  <c r="AD220" i="17"/>
  <c r="AD219" i="17"/>
  <c r="AD218" i="17"/>
  <c r="AD217" i="17"/>
  <c r="AD216" i="17"/>
  <c r="AD215" i="17"/>
  <c r="AD214" i="17"/>
  <c r="AD213" i="17"/>
  <c r="AD212" i="17"/>
  <c r="AD211" i="17"/>
  <c r="AD210" i="17"/>
  <c r="AD209" i="17"/>
  <c r="AD208" i="17"/>
  <c r="AD207" i="17"/>
  <c r="AD206" i="17"/>
  <c r="AD205" i="17"/>
  <c r="AD204" i="17"/>
  <c r="AD203" i="17"/>
  <c r="AD202" i="17"/>
  <c r="AD201" i="17"/>
  <c r="AD200" i="17"/>
  <c r="AD199" i="17"/>
  <c r="AD198" i="17"/>
  <c r="AD197" i="17"/>
  <c r="AD196" i="17"/>
  <c r="AD195" i="17"/>
  <c r="AD194" i="17"/>
  <c r="AD193" i="17"/>
  <c r="AD192" i="17"/>
  <c r="AD191" i="17"/>
  <c r="AD190" i="17"/>
  <c r="AD189" i="17"/>
  <c r="AD188" i="17"/>
  <c r="AD187" i="17"/>
  <c r="AD186" i="17"/>
  <c r="AD185" i="17"/>
  <c r="AD184" i="17"/>
  <c r="AD183" i="17"/>
  <c r="AD182" i="17"/>
  <c r="AD181" i="17"/>
  <c r="AD180" i="17"/>
  <c r="AD179" i="17"/>
  <c r="AD178" i="17"/>
  <c r="AD177" i="17"/>
  <c r="AD176" i="17"/>
  <c r="AD175" i="17"/>
  <c r="AD174" i="17"/>
  <c r="AD173" i="17"/>
  <c r="AD172" i="17"/>
  <c r="AD171" i="17"/>
  <c r="AD170" i="17"/>
  <c r="AD169" i="17"/>
  <c r="AD168" i="17"/>
  <c r="AD167" i="17"/>
  <c r="AD166" i="17"/>
  <c r="AD165" i="17"/>
  <c r="AD164" i="17"/>
  <c r="AD163" i="17"/>
  <c r="AD162" i="17"/>
  <c r="AD161" i="17"/>
  <c r="AD160" i="17"/>
  <c r="AD159" i="17"/>
  <c r="AD158" i="17"/>
  <c r="AD157" i="17"/>
  <c r="AD156" i="17"/>
  <c r="AD155" i="17"/>
  <c r="AD154" i="17"/>
  <c r="AD153" i="17"/>
  <c r="AD152" i="17"/>
  <c r="AD151" i="17"/>
  <c r="AD150" i="17"/>
  <c r="AD149" i="17"/>
  <c r="AD148" i="17"/>
  <c r="AD147" i="17"/>
  <c r="AD146" i="17"/>
  <c r="AD145" i="17"/>
  <c r="AD144" i="17"/>
  <c r="AD143" i="17"/>
  <c r="AD142" i="17"/>
  <c r="AD141" i="17"/>
  <c r="AD140" i="17"/>
  <c r="AD139" i="17"/>
  <c r="AD138" i="17"/>
  <c r="AD137" i="17"/>
  <c r="AD136" i="17"/>
  <c r="AD135" i="17"/>
  <c r="AD134" i="17"/>
  <c r="AD133" i="17"/>
  <c r="AD132" i="17"/>
  <c r="AD131" i="17"/>
  <c r="AD130" i="17"/>
  <c r="AD129" i="17"/>
  <c r="AD128" i="17"/>
  <c r="AD127" i="17"/>
  <c r="AD126" i="17"/>
  <c r="AD125" i="17"/>
  <c r="AD124" i="17"/>
  <c r="AD123" i="17"/>
  <c r="AD122" i="17"/>
  <c r="AD121" i="17"/>
  <c r="AD120" i="17"/>
  <c r="AD119" i="17"/>
  <c r="AD118" i="17"/>
  <c r="AD117" i="17"/>
  <c r="AD116" i="17"/>
  <c r="AD115" i="17"/>
  <c r="AD114" i="17"/>
  <c r="AD113" i="17"/>
  <c r="AD112" i="17"/>
  <c r="AD111" i="17"/>
  <c r="AD110" i="17"/>
  <c r="AD37" i="17"/>
  <c r="AD36" i="17"/>
  <c r="AD35" i="17"/>
  <c r="AD34" i="17"/>
  <c r="AD33" i="17"/>
  <c r="AD32" i="17"/>
  <c r="AD31" i="17"/>
  <c r="AD30" i="17"/>
  <c r="AD29" i="17"/>
  <c r="AD28" i="17"/>
  <c r="AD27" i="17"/>
  <c r="AD26" i="17"/>
  <c r="AE25" i="17"/>
  <c r="AE24" i="17"/>
  <c r="AE23" i="17"/>
  <c r="AE22" i="17"/>
  <c r="AE21" i="17"/>
  <c r="AE20" i="17"/>
  <c r="AE19" i="17"/>
  <c r="AE18" i="17"/>
  <c r="AE17" i="17"/>
  <c r="AE16" i="17"/>
  <c r="AE15" i="17"/>
  <c r="AE14" i="17"/>
  <c r="AE13" i="17"/>
  <c r="AE12" i="17"/>
  <c r="AE11" i="17"/>
  <c r="AE10" i="17"/>
  <c r="AE9" i="17"/>
  <c r="AE8" i="17"/>
  <c r="AE7" i="17"/>
  <c r="AE6" i="17"/>
  <c r="AE5" i="17"/>
  <c r="AE4" i="17"/>
  <c r="AE3" i="17"/>
  <c r="AE2" i="17"/>
  <c r="V272" i="17"/>
  <c r="AB272" i="17" s="1"/>
  <c r="V271" i="17"/>
  <c r="AB271" i="17" s="1"/>
  <c r="V270" i="17"/>
  <c r="AB270" i="17" s="1"/>
  <c r="V269" i="17"/>
  <c r="AB269" i="17" s="1"/>
  <c r="V268" i="17"/>
  <c r="AB268" i="17" s="1"/>
  <c r="V267" i="17"/>
  <c r="AB267" i="17" s="1"/>
  <c r="V266" i="17"/>
  <c r="AB266" i="17" s="1"/>
  <c r="V265" i="17"/>
  <c r="AB265" i="17" s="1"/>
  <c r="V264" i="17"/>
  <c r="AB264" i="17" s="1"/>
  <c r="V263" i="17"/>
  <c r="AB263" i="17" s="1"/>
  <c r="V262" i="17"/>
  <c r="AB262" i="17" s="1"/>
  <c r="V261" i="17"/>
  <c r="AB261" i="17" s="1"/>
  <c r="X260" i="17"/>
  <c r="W260" i="17"/>
  <c r="V260" i="17"/>
  <c r="AB260" i="17" s="1"/>
  <c r="X259" i="17"/>
  <c r="W259" i="17"/>
  <c r="V259" i="17"/>
  <c r="AB259" i="17" s="1"/>
  <c r="X258" i="17"/>
  <c r="W258" i="17"/>
  <c r="V258" i="17"/>
  <c r="AB258" i="17" s="1"/>
  <c r="X257" i="17"/>
  <c r="W257" i="17"/>
  <c r="V257" i="17"/>
  <c r="AB257" i="17" s="1"/>
  <c r="X256" i="17"/>
  <c r="W256" i="17"/>
  <c r="V256" i="17"/>
  <c r="AB256" i="17" s="1"/>
  <c r="X255" i="17"/>
  <c r="W255" i="17"/>
  <c r="V255" i="17"/>
  <c r="AB255" i="17" s="1"/>
  <c r="X254" i="17"/>
  <c r="W254" i="17"/>
  <c r="V254" i="17"/>
  <c r="AB254" i="17" s="1"/>
  <c r="X253" i="17"/>
  <c r="W253" i="17"/>
  <c r="V253" i="17"/>
  <c r="AB253" i="17" s="1"/>
  <c r="X252" i="17"/>
  <c r="W252" i="17"/>
  <c r="V252" i="17"/>
  <c r="AB252" i="17" s="1"/>
  <c r="X251" i="17"/>
  <c r="W251" i="17"/>
  <c r="V251" i="17"/>
  <c r="AB251" i="17" s="1"/>
  <c r="X250" i="17"/>
  <c r="W250" i="17"/>
  <c r="V250" i="17"/>
  <c r="AB250" i="17" s="1"/>
  <c r="X249" i="17"/>
  <c r="W249" i="17"/>
  <c r="V249" i="17"/>
  <c r="AB249" i="17" s="1"/>
  <c r="X248" i="17"/>
  <c r="W248" i="17"/>
  <c r="V248" i="17"/>
  <c r="AB248" i="17" s="1"/>
  <c r="X247" i="17"/>
  <c r="W247" i="17"/>
  <c r="V247" i="17"/>
  <c r="AB247" i="17" s="1"/>
  <c r="X246" i="17"/>
  <c r="W246" i="17"/>
  <c r="V246" i="17"/>
  <c r="AB246" i="17" s="1"/>
  <c r="X245" i="17"/>
  <c r="W245" i="17"/>
  <c r="V245" i="17"/>
  <c r="AB245" i="17" s="1"/>
  <c r="X244" i="17"/>
  <c r="W244" i="17"/>
  <c r="V244" i="17"/>
  <c r="AB244" i="17" s="1"/>
  <c r="X243" i="17"/>
  <c r="W243" i="17"/>
  <c r="V243" i="17"/>
  <c r="AB243" i="17" s="1"/>
  <c r="X242" i="17"/>
  <c r="W242" i="17"/>
  <c r="V242" i="17"/>
  <c r="AB242" i="17" s="1"/>
  <c r="X241" i="17"/>
  <c r="W241" i="17"/>
  <c r="V241" i="17"/>
  <c r="AB241" i="17" s="1"/>
  <c r="X240" i="17"/>
  <c r="W240" i="17"/>
  <c r="V240" i="17"/>
  <c r="AB240" i="17" s="1"/>
  <c r="X239" i="17"/>
  <c r="W239" i="17"/>
  <c r="V239" i="17"/>
  <c r="AB239" i="17" s="1"/>
  <c r="X238" i="17"/>
  <c r="W238" i="17"/>
  <c r="V238" i="17"/>
  <c r="AB238" i="17" s="1"/>
  <c r="X237" i="17"/>
  <c r="W237" i="17"/>
  <c r="V237" i="17"/>
  <c r="AB237" i="17" s="1"/>
  <c r="X236" i="17"/>
  <c r="W236" i="17"/>
  <c r="V236" i="17"/>
  <c r="AB236" i="17" s="1"/>
  <c r="X235" i="17"/>
  <c r="W235" i="17"/>
  <c r="V235" i="17"/>
  <c r="AB235" i="17" s="1"/>
  <c r="X234" i="17"/>
  <c r="W234" i="17"/>
  <c r="V234" i="17"/>
  <c r="AB234" i="17" s="1"/>
  <c r="X233" i="17"/>
  <c r="W233" i="17"/>
  <c r="V233" i="17"/>
  <c r="AB233" i="17" s="1"/>
  <c r="X232" i="17"/>
  <c r="W232" i="17"/>
  <c r="V232" i="17"/>
  <c r="AB232" i="17" s="1"/>
  <c r="X231" i="17"/>
  <c r="W231" i="17"/>
  <c r="V231" i="17"/>
  <c r="AB231" i="17" s="1"/>
  <c r="X230" i="17"/>
  <c r="W230" i="17"/>
  <c r="V230" i="17"/>
  <c r="AB230" i="17" s="1"/>
  <c r="X229" i="17"/>
  <c r="W229" i="17"/>
  <c r="V229" i="17"/>
  <c r="AB229" i="17" s="1"/>
  <c r="X228" i="17"/>
  <c r="W228" i="17"/>
  <c r="V228" i="17"/>
  <c r="AB228" i="17" s="1"/>
  <c r="X227" i="17"/>
  <c r="W227" i="17"/>
  <c r="V227" i="17"/>
  <c r="AB227" i="17" s="1"/>
  <c r="X226" i="17"/>
  <c r="W226" i="17"/>
  <c r="V226" i="17"/>
  <c r="AB226" i="17" s="1"/>
  <c r="X225" i="17"/>
  <c r="W225" i="17"/>
  <c r="V225" i="17"/>
  <c r="AB225" i="17" s="1"/>
  <c r="X224" i="17"/>
  <c r="W224" i="17"/>
  <c r="V224" i="17"/>
  <c r="AB224" i="17" s="1"/>
  <c r="X223" i="17"/>
  <c r="W223" i="17"/>
  <c r="V223" i="17"/>
  <c r="AB223" i="17" s="1"/>
  <c r="X222" i="17"/>
  <c r="W222" i="17"/>
  <c r="V222" i="17"/>
  <c r="AB222" i="17" s="1"/>
  <c r="X221" i="17"/>
  <c r="W221" i="17"/>
  <c r="V221" i="17"/>
  <c r="AB221" i="17" s="1"/>
  <c r="X220" i="17"/>
  <c r="W220" i="17"/>
  <c r="V220" i="17"/>
  <c r="AB220" i="17" s="1"/>
  <c r="X219" i="17"/>
  <c r="W219" i="17"/>
  <c r="V219" i="17"/>
  <c r="AB219" i="17" s="1"/>
  <c r="X218" i="17"/>
  <c r="W218" i="17"/>
  <c r="V218" i="17"/>
  <c r="AB218" i="17" s="1"/>
  <c r="X217" i="17"/>
  <c r="W217" i="17"/>
  <c r="V217" i="17"/>
  <c r="AB217" i="17" s="1"/>
  <c r="X216" i="17"/>
  <c r="W216" i="17"/>
  <c r="V216" i="17"/>
  <c r="AB216" i="17" s="1"/>
  <c r="X215" i="17"/>
  <c r="W215" i="17"/>
  <c r="V215" i="17"/>
  <c r="AB215" i="17" s="1"/>
  <c r="X214" i="17"/>
  <c r="W214" i="17"/>
  <c r="V214" i="17"/>
  <c r="AB214" i="17" s="1"/>
  <c r="X213" i="17"/>
  <c r="W213" i="17"/>
  <c r="V213" i="17"/>
  <c r="AB213" i="17" s="1"/>
  <c r="X212" i="17"/>
  <c r="W212" i="17"/>
  <c r="V212" i="17"/>
  <c r="AB212" i="17" s="1"/>
  <c r="X211" i="17"/>
  <c r="W211" i="17"/>
  <c r="V211" i="17"/>
  <c r="AB211" i="17" s="1"/>
  <c r="X210" i="17"/>
  <c r="W210" i="17"/>
  <c r="V210" i="17"/>
  <c r="AB210" i="17" s="1"/>
  <c r="X209" i="17"/>
  <c r="W209" i="17"/>
  <c r="V209" i="17"/>
  <c r="AB209" i="17" s="1"/>
  <c r="X208" i="17"/>
  <c r="W208" i="17"/>
  <c r="V208" i="17"/>
  <c r="AB208" i="17" s="1"/>
  <c r="X207" i="17"/>
  <c r="W207" i="17"/>
  <c r="V207" i="17"/>
  <c r="AB207" i="17" s="1"/>
  <c r="X206" i="17"/>
  <c r="W206" i="17"/>
  <c r="V206" i="17"/>
  <c r="AB206" i="17" s="1"/>
  <c r="X205" i="17"/>
  <c r="W205" i="17"/>
  <c r="V205" i="17"/>
  <c r="AB205" i="17" s="1"/>
  <c r="X204" i="17"/>
  <c r="W204" i="17"/>
  <c r="V204" i="17"/>
  <c r="AB204" i="17" s="1"/>
  <c r="X203" i="17"/>
  <c r="W203" i="17"/>
  <c r="V203" i="17"/>
  <c r="AB203" i="17" s="1"/>
  <c r="X202" i="17"/>
  <c r="W202" i="17"/>
  <c r="V202" i="17"/>
  <c r="AB202" i="17" s="1"/>
  <c r="X201" i="17"/>
  <c r="W201" i="17"/>
  <c r="V201" i="17"/>
  <c r="AB201" i="17" s="1"/>
  <c r="X200" i="17"/>
  <c r="W200" i="17"/>
  <c r="V200" i="17"/>
  <c r="AB200" i="17" s="1"/>
  <c r="X199" i="17"/>
  <c r="W199" i="17"/>
  <c r="V199" i="17"/>
  <c r="AB199" i="17" s="1"/>
  <c r="X198" i="17"/>
  <c r="W198" i="17"/>
  <c r="V198" i="17"/>
  <c r="AB198" i="17" s="1"/>
  <c r="X197" i="17"/>
  <c r="W197" i="17"/>
  <c r="V197" i="17"/>
  <c r="AB197" i="17" s="1"/>
  <c r="X196" i="17"/>
  <c r="W196" i="17"/>
  <c r="V196" i="17"/>
  <c r="AB196" i="17" s="1"/>
  <c r="X195" i="17"/>
  <c r="W195" i="17"/>
  <c r="V195" i="17"/>
  <c r="AB195" i="17" s="1"/>
  <c r="X194" i="17"/>
  <c r="W194" i="17"/>
  <c r="V194" i="17"/>
  <c r="AB194" i="17" s="1"/>
  <c r="X193" i="17"/>
  <c r="W193" i="17"/>
  <c r="V193" i="17"/>
  <c r="AB193" i="17" s="1"/>
  <c r="X192" i="17"/>
  <c r="W192" i="17"/>
  <c r="V192" i="17"/>
  <c r="AB192" i="17" s="1"/>
  <c r="X191" i="17"/>
  <c r="W191" i="17"/>
  <c r="V191" i="17"/>
  <c r="AB191" i="17" s="1"/>
  <c r="X190" i="17"/>
  <c r="W190" i="17"/>
  <c r="V190" i="17"/>
  <c r="AB190" i="17" s="1"/>
  <c r="X189" i="17"/>
  <c r="W189" i="17"/>
  <c r="V189" i="17"/>
  <c r="AB189" i="17" s="1"/>
  <c r="X188" i="17"/>
  <c r="W188" i="17"/>
  <c r="V188" i="17"/>
  <c r="AB188" i="17" s="1"/>
  <c r="X187" i="17"/>
  <c r="W187" i="17"/>
  <c r="V187" i="17"/>
  <c r="AB187" i="17" s="1"/>
  <c r="X186" i="17"/>
  <c r="W186" i="17"/>
  <c r="V186" i="17"/>
  <c r="AB186" i="17" s="1"/>
  <c r="X185" i="17"/>
  <c r="W185" i="17"/>
  <c r="V185" i="17"/>
  <c r="AB185" i="17" s="1"/>
  <c r="X184" i="17"/>
  <c r="W184" i="17"/>
  <c r="V184" i="17"/>
  <c r="AB184" i="17" s="1"/>
  <c r="X183" i="17"/>
  <c r="W183" i="17"/>
  <c r="V183" i="17"/>
  <c r="AB183" i="17" s="1"/>
  <c r="X182" i="17"/>
  <c r="W182" i="17"/>
  <c r="V182" i="17"/>
  <c r="AB182" i="17" s="1"/>
  <c r="X181" i="17"/>
  <c r="W181" i="17"/>
  <c r="V181" i="17"/>
  <c r="AB181" i="17" s="1"/>
  <c r="X180" i="17"/>
  <c r="W180" i="17"/>
  <c r="V180" i="17"/>
  <c r="AB180" i="17" s="1"/>
  <c r="X179" i="17"/>
  <c r="W179" i="17"/>
  <c r="V179" i="17"/>
  <c r="AB179" i="17" s="1"/>
  <c r="X178" i="17"/>
  <c r="W178" i="17"/>
  <c r="V178" i="17"/>
  <c r="AB178" i="17" s="1"/>
  <c r="X177" i="17"/>
  <c r="W177" i="17"/>
  <c r="V177" i="17"/>
  <c r="AB177" i="17" s="1"/>
  <c r="X176" i="17"/>
  <c r="W176" i="17"/>
  <c r="V176" i="17"/>
  <c r="AB176" i="17" s="1"/>
  <c r="X175" i="17"/>
  <c r="W175" i="17"/>
  <c r="V175" i="17"/>
  <c r="AB175" i="17" s="1"/>
  <c r="X174" i="17"/>
  <c r="W174" i="17"/>
  <c r="V174" i="17"/>
  <c r="AB174" i="17" s="1"/>
  <c r="X173" i="17"/>
  <c r="W173" i="17"/>
  <c r="V173" i="17"/>
  <c r="AB173" i="17" s="1"/>
  <c r="X172" i="17"/>
  <c r="W172" i="17"/>
  <c r="V172" i="17"/>
  <c r="AB172" i="17" s="1"/>
  <c r="X171" i="17"/>
  <c r="W171" i="17"/>
  <c r="V171" i="17"/>
  <c r="AB171" i="17" s="1"/>
  <c r="X170" i="17"/>
  <c r="W170" i="17"/>
  <c r="V170" i="17"/>
  <c r="AB170" i="17" s="1"/>
  <c r="X169" i="17"/>
  <c r="W169" i="17"/>
  <c r="V169" i="17"/>
  <c r="AB169" i="17" s="1"/>
  <c r="X168" i="17"/>
  <c r="W168" i="17"/>
  <c r="V168" i="17"/>
  <c r="AB168" i="17" s="1"/>
  <c r="X167" i="17"/>
  <c r="W167" i="17"/>
  <c r="V167" i="17"/>
  <c r="AB167" i="17" s="1"/>
  <c r="X166" i="17"/>
  <c r="W166" i="17"/>
  <c r="V166" i="17"/>
  <c r="AB166" i="17" s="1"/>
  <c r="X165" i="17"/>
  <c r="W165" i="17"/>
  <c r="V165" i="17"/>
  <c r="AB165" i="17" s="1"/>
  <c r="X164" i="17"/>
  <c r="W164" i="17"/>
  <c r="V164" i="17"/>
  <c r="AB164" i="17" s="1"/>
  <c r="X163" i="17"/>
  <c r="W163" i="17"/>
  <c r="V163" i="17"/>
  <c r="AB163" i="17" s="1"/>
  <c r="X162" i="17"/>
  <c r="W162" i="17"/>
  <c r="V162" i="17"/>
  <c r="AB162" i="17" s="1"/>
  <c r="X161" i="17"/>
  <c r="W161" i="17"/>
  <c r="V161" i="17"/>
  <c r="AB161" i="17" s="1"/>
  <c r="X160" i="17"/>
  <c r="W160" i="17"/>
  <c r="V160" i="17"/>
  <c r="AB160" i="17" s="1"/>
  <c r="X159" i="17"/>
  <c r="W159" i="17"/>
  <c r="V159" i="17"/>
  <c r="AB159" i="17" s="1"/>
  <c r="X158" i="17"/>
  <c r="W158" i="17"/>
  <c r="V158" i="17"/>
  <c r="AB158" i="17" s="1"/>
  <c r="X157" i="17"/>
  <c r="W157" i="17"/>
  <c r="V157" i="17"/>
  <c r="AB157" i="17" s="1"/>
  <c r="X156" i="17"/>
  <c r="W156" i="17"/>
  <c r="V156" i="17"/>
  <c r="AB156" i="17" s="1"/>
  <c r="X155" i="17"/>
  <c r="W155" i="17"/>
  <c r="V155" i="17"/>
  <c r="AB155" i="17" s="1"/>
  <c r="X154" i="17"/>
  <c r="W154" i="17"/>
  <c r="V154" i="17"/>
  <c r="AB154" i="17" s="1"/>
  <c r="X153" i="17"/>
  <c r="W153" i="17"/>
  <c r="V153" i="17"/>
  <c r="AB153" i="17" s="1"/>
  <c r="X152" i="17"/>
  <c r="W152" i="17"/>
  <c r="V152" i="17"/>
  <c r="AB152" i="17" s="1"/>
  <c r="X151" i="17"/>
  <c r="W151" i="17"/>
  <c r="V151" i="17"/>
  <c r="AB151" i="17" s="1"/>
  <c r="X150" i="17"/>
  <c r="W150" i="17"/>
  <c r="V150" i="17"/>
  <c r="AB150" i="17" s="1"/>
  <c r="X149" i="17"/>
  <c r="W149" i="17"/>
  <c r="V149" i="17"/>
  <c r="AB149" i="17" s="1"/>
  <c r="X148" i="17"/>
  <c r="W148" i="17"/>
  <c r="V148" i="17"/>
  <c r="AB148" i="17" s="1"/>
  <c r="X147" i="17"/>
  <c r="W147" i="17"/>
  <c r="V147" i="17"/>
  <c r="AB147" i="17" s="1"/>
  <c r="X146" i="17"/>
  <c r="W146" i="17"/>
  <c r="V146" i="17"/>
  <c r="AB146" i="17" s="1"/>
  <c r="X145" i="17"/>
  <c r="W145" i="17"/>
  <c r="V145" i="17"/>
  <c r="AB145" i="17" s="1"/>
  <c r="X144" i="17"/>
  <c r="W144" i="17"/>
  <c r="V144" i="17"/>
  <c r="AB144" i="17" s="1"/>
  <c r="X143" i="17"/>
  <c r="W143" i="17"/>
  <c r="V143" i="17"/>
  <c r="AB143" i="17" s="1"/>
  <c r="X142" i="17"/>
  <c r="W142" i="17"/>
  <c r="V142" i="17"/>
  <c r="AB142" i="17" s="1"/>
  <c r="X141" i="17"/>
  <c r="W141" i="17"/>
  <c r="V141" i="17"/>
  <c r="AB141" i="17" s="1"/>
  <c r="X140" i="17"/>
  <c r="W140" i="17"/>
  <c r="V140" i="17"/>
  <c r="AB140" i="17" s="1"/>
  <c r="X139" i="17"/>
  <c r="W139" i="17"/>
  <c r="V139" i="17"/>
  <c r="AB139" i="17" s="1"/>
  <c r="X138" i="17"/>
  <c r="W138" i="17"/>
  <c r="V138" i="17"/>
  <c r="AB138" i="17" s="1"/>
  <c r="X137" i="17"/>
  <c r="W137" i="17"/>
  <c r="V137" i="17"/>
  <c r="AB137" i="17" s="1"/>
  <c r="X136" i="17"/>
  <c r="W136" i="17"/>
  <c r="V136" i="17"/>
  <c r="AB136" i="17" s="1"/>
  <c r="X135" i="17"/>
  <c r="W135" i="17"/>
  <c r="V135" i="17"/>
  <c r="AB135" i="17" s="1"/>
  <c r="X134" i="17"/>
  <c r="W134" i="17"/>
  <c r="V134" i="17"/>
  <c r="AB134" i="17" s="1"/>
  <c r="X133" i="17"/>
  <c r="W133" i="17"/>
  <c r="V133" i="17"/>
  <c r="AB133" i="17" s="1"/>
  <c r="X132" i="17"/>
  <c r="W132" i="17"/>
  <c r="V132" i="17"/>
  <c r="AB132" i="17" s="1"/>
  <c r="X131" i="17"/>
  <c r="W131" i="17"/>
  <c r="V131" i="17"/>
  <c r="AB131" i="17" s="1"/>
  <c r="X130" i="17"/>
  <c r="W130" i="17"/>
  <c r="V130" i="17"/>
  <c r="AB130" i="17" s="1"/>
  <c r="X129" i="17"/>
  <c r="W129" i="17"/>
  <c r="V129" i="17"/>
  <c r="AB129" i="17" s="1"/>
  <c r="X128" i="17"/>
  <c r="W128" i="17"/>
  <c r="V128" i="17"/>
  <c r="AB128" i="17" s="1"/>
  <c r="X127" i="17"/>
  <c r="W127" i="17"/>
  <c r="V127" i="17"/>
  <c r="AB127" i="17" s="1"/>
  <c r="X126" i="17"/>
  <c r="W126" i="17"/>
  <c r="V126" i="17"/>
  <c r="AB126" i="17" s="1"/>
  <c r="X125" i="17"/>
  <c r="W125" i="17"/>
  <c r="V125" i="17"/>
  <c r="AB125" i="17" s="1"/>
  <c r="X124" i="17"/>
  <c r="W124" i="17"/>
  <c r="V124" i="17"/>
  <c r="AB124" i="17" s="1"/>
  <c r="X123" i="17"/>
  <c r="W123" i="17"/>
  <c r="V123" i="17"/>
  <c r="AB123" i="17" s="1"/>
  <c r="X122" i="17"/>
  <c r="W122" i="17"/>
  <c r="V122" i="17"/>
  <c r="AB122" i="17" s="1"/>
  <c r="X121" i="17"/>
  <c r="W121" i="17"/>
  <c r="V121" i="17"/>
  <c r="AB121" i="17" s="1"/>
  <c r="X120" i="17"/>
  <c r="W120" i="17"/>
  <c r="V120" i="17"/>
  <c r="AB120" i="17" s="1"/>
  <c r="X119" i="17"/>
  <c r="W119" i="17"/>
  <c r="V119" i="17"/>
  <c r="AB119" i="17" s="1"/>
  <c r="X118" i="17"/>
  <c r="W118" i="17"/>
  <c r="V118" i="17"/>
  <c r="AB118" i="17" s="1"/>
  <c r="X117" i="17"/>
  <c r="W117" i="17"/>
  <c r="V117" i="17"/>
  <c r="AB117" i="17" s="1"/>
  <c r="X116" i="17"/>
  <c r="W116" i="17"/>
  <c r="V116" i="17"/>
  <c r="AB116" i="17" s="1"/>
  <c r="X115" i="17"/>
  <c r="W115" i="17"/>
  <c r="V115" i="17"/>
  <c r="AB115" i="17" s="1"/>
  <c r="X114" i="17"/>
  <c r="W114" i="17"/>
  <c r="V114" i="17"/>
  <c r="AB114" i="17" s="1"/>
  <c r="X113" i="17"/>
  <c r="W113" i="17"/>
  <c r="V113" i="17"/>
  <c r="AB113" i="17" s="1"/>
  <c r="X112" i="17"/>
  <c r="W112" i="17"/>
  <c r="V112" i="17"/>
  <c r="AB112" i="17" s="1"/>
  <c r="X111" i="17"/>
  <c r="W111" i="17"/>
  <c r="V111" i="17"/>
  <c r="AB111" i="17" s="1"/>
  <c r="X110" i="17"/>
  <c r="W110" i="17"/>
  <c r="V110" i="17"/>
  <c r="AB110" i="17" s="1"/>
  <c r="V109" i="17"/>
  <c r="AB109" i="17" s="1"/>
  <c r="V108" i="17"/>
  <c r="AB108" i="17" s="1"/>
  <c r="V107" i="17"/>
  <c r="AB107" i="17" s="1"/>
  <c r="V106" i="17"/>
  <c r="AB106" i="17" s="1"/>
  <c r="V105" i="17"/>
  <c r="AB105" i="17" s="1"/>
  <c r="V104" i="17"/>
  <c r="AB104" i="17" s="1"/>
  <c r="V103" i="17"/>
  <c r="AB103" i="17" s="1"/>
  <c r="V102" i="17"/>
  <c r="AB102" i="17" s="1"/>
  <c r="V101" i="17"/>
  <c r="AB101" i="17" s="1"/>
  <c r="V100" i="17"/>
  <c r="AB100" i="17" s="1"/>
  <c r="V99" i="17"/>
  <c r="AB99" i="17" s="1"/>
  <c r="V98" i="17"/>
  <c r="AB98" i="17" s="1"/>
  <c r="X97" i="17"/>
  <c r="W97" i="17"/>
  <c r="X96" i="17"/>
  <c r="W96" i="17"/>
  <c r="X95" i="17"/>
  <c r="W95" i="17"/>
  <c r="X94" i="17"/>
  <c r="W94" i="17"/>
  <c r="X93" i="17"/>
  <c r="W93" i="17"/>
  <c r="X92" i="17"/>
  <c r="W92" i="17"/>
  <c r="X91" i="17"/>
  <c r="W91" i="17"/>
  <c r="X90" i="17"/>
  <c r="W90" i="17"/>
  <c r="X89" i="17"/>
  <c r="W89" i="17"/>
  <c r="X88" i="17"/>
  <c r="W88" i="17"/>
  <c r="X87" i="17"/>
  <c r="W87" i="17"/>
  <c r="X86" i="17"/>
  <c r="W86" i="17"/>
  <c r="V85" i="17"/>
  <c r="AB85" i="17" s="1"/>
  <c r="V84" i="17"/>
  <c r="AB84" i="17" s="1"/>
  <c r="V83" i="17"/>
  <c r="AB83" i="17" s="1"/>
  <c r="V82" i="17"/>
  <c r="AB82" i="17" s="1"/>
  <c r="V81" i="17"/>
  <c r="AB81" i="17" s="1"/>
  <c r="V80" i="17"/>
  <c r="AB80" i="17" s="1"/>
  <c r="V79" i="17"/>
  <c r="AB79" i="17" s="1"/>
  <c r="V78" i="17"/>
  <c r="AB78" i="17" s="1"/>
  <c r="V77" i="17"/>
  <c r="AB77" i="17" s="1"/>
  <c r="V76" i="17"/>
  <c r="AB76" i="17" s="1"/>
  <c r="V75" i="17"/>
  <c r="AB75" i="17" s="1"/>
  <c r="V74" i="17"/>
  <c r="AB74" i="17" s="1"/>
  <c r="V73" i="17"/>
  <c r="AB73" i="17" s="1"/>
  <c r="V72" i="17"/>
  <c r="AB72" i="17" s="1"/>
  <c r="V71" i="17"/>
  <c r="AB71" i="17" s="1"/>
  <c r="V70" i="17"/>
  <c r="AB70" i="17" s="1"/>
  <c r="V69" i="17"/>
  <c r="AB69" i="17" s="1"/>
  <c r="V68" i="17"/>
  <c r="AB68" i="17" s="1"/>
  <c r="V67" i="17"/>
  <c r="AB67" i="17" s="1"/>
  <c r="V66" i="17"/>
  <c r="AB66" i="17" s="1"/>
  <c r="V65" i="17"/>
  <c r="AB65" i="17" s="1"/>
  <c r="V64" i="17"/>
  <c r="AB64" i="17" s="1"/>
  <c r="V63" i="17"/>
  <c r="AB63" i="17" s="1"/>
  <c r="V62" i="17"/>
  <c r="AB62" i="17" s="1"/>
  <c r="X61" i="17"/>
  <c r="W61" i="17"/>
  <c r="X60" i="17"/>
  <c r="W60" i="17"/>
  <c r="X59" i="17"/>
  <c r="W59" i="17"/>
  <c r="X58" i="17"/>
  <c r="W58" i="17"/>
  <c r="X57" i="17"/>
  <c r="W57" i="17"/>
  <c r="X56" i="17"/>
  <c r="W56" i="17"/>
  <c r="X55" i="17"/>
  <c r="W55" i="17"/>
  <c r="X54" i="17"/>
  <c r="W54" i="17"/>
  <c r="X53" i="17"/>
  <c r="W53" i="17"/>
  <c r="X52" i="17"/>
  <c r="W52" i="17"/>
  <c r="X51" i="17"/>
  <c r="W51" i="17"/>
  <c r="X50" i="17"/>
  <c r="W50" i="17"/>
  <c r="V49" i="17"/>
  <c r="AB49" i="17" s="1"/>
  <c r="V48" i="17"/>
  <c r="AB48" i="17" s="1"/>
  <c r="V47" i="17"/>
  <c r="AB47" i="17" s="1"/>
  <c r="V46" i="17"/>
  <c r="AB46" i="17" s="1"/>
  <c r="V45" i="17"/>
  <c r="AB45" i="17" s="1"/>
  <c r="V44" i="17"/>
  <c r="AB44" i="17" s="1"/>
  <c r="V43" i="17"/>
  <c r="AB43" i="17" s="1"/>
  <c r="V42" i="17"/>
  <c r="AB42" i="17" s="1"/>
  <c r="V41" i="17"/>
  <c r="AB41" i="17" s="1"/>
  <c r="V40" i="17"/>
  <c r="AB40" i="17" s="1"/>
  <c r="V39" i="17"/>
  <c r="AB39" i="17" s="1"/>
  <c r="V38" i="17"/>
  <c r="AB38" i="17" s="1"/>
  <c r="X37" i="17"/>
  <c r="W37" i="17"/>
  <c r="V37" i="17"/>
  <c r="AB37" i="17" s="1"/>
  <c r="X36" i="17"/>
  <c r="W36" i="17"/>
  <c r="V36" i="17"/>
  <c r="AB36" i="17" s="1"/>
  <c r="X35" i="17"/>
  <c r="W35" i="17"/>
  <c r="V35" i="17"/>
  <c r="AB35" i="17" s="1"/>
  <c r="X34" i="17"/>
  <c r="W34" i="17"/>
  <c r="V34" i="17"/>
  <c r="AB34" i="17" s="1"/>
  <c r="X33" i="17"/>
  <c r="W33" i="17"/>
  <c r="V33" i="17"/>
  <c r="AB33" i="17" s="1"/>
  <c r="X32" i="17"/>
  <c r="W32" i="17"/>
  <c r="V32" i="17"/>
  <c r="AB32" i="17" s="1"/>
  <c r="X31" i="17"/>
  <c r="W31" i="17"/>
  <c r="V31" i="17"/>
  <c r="AB31" i="17" s="1"/>
  <c r="X30" i="17"/>
  <c r="W30" i="17"/>
  <c r="V30" i="17"/>
  <c r="AB30" i="17" s="1"/>
  <c r="X29" i="17"/>
  <c r="W29" i="17"/>
  <c r="V29" i="17"/>
  <c r="AB29" i="17" s="1"/>
  <c r="X28" i="17"/>
  <c r="W28" i="17"/>
  <c r="V28" i="17"/>
  <c r="AB28" i="17" s="1"/>
  <c r="X27" i="17"/>
  <c r="W27" i="17"/>
  <c r="V27" i="17"/>
  <c r="AB27" i="17" s="1"/>
  <c r="X26" i="17"/>
  <c r="W26" i="17"/>
  <c r="V26" i="17"/>
  <c r="AB26" i="17" s="1"/>
  <c r="X25" i="17"/>
  <c r="W25" i="17"/>
  <c r="V25" i="17"/>
  <c r="AB25" i="17" s="1"/>
  <c r="X24" i="17"/>
  <c r="W24" i="17"/>
  <c r="V24" i="17"/>
  <c r="AB24" i="17" s="1"/>
  <c r="X23" i="17"/>
  <c r="W23" i="17"/>
  <c r="V23" i="17"/>
  <c r="AB23" i="17" s="1"/>
  <c r="X22" i="17"/>
  <c r="W22" i="17"/>
  <c r="V22" i="17"/>
  <c r="AB22" i="17" s="1"/>
  <c r="X21" i="17"/>
  <c r="W21" i="17"/>
  <c r="V21" i="17"/>
  <c r="AB21" i="17" s="1"/>
  <c r="X20" i="17"/>
  <c r="W20" i="17"/>
  <c r="V20" i="17"/>
  <c r="AB20" i="17" s="1"/>
  <c r="X19" i="17"/>
  <c r="W19" i="17"/>
  <c r="V19" i="17"/>
  <c r="AB19" i="17" s="1"/>
  <c r="X18" i="17"/>
  <c r="W18" i="17"/>
  <c r="V18" i="17"/>
  <c r="AB18" i="17" s="1"/>
  <c r="X17" i="17"/>
  <c r="W17" i="17"/>
  <c r="V17" i="17"/>
  <c r="AB17" i="17" s="1"/>
  <c r="X16" i="17"/>
  <c r="W16" i="17"/>
  <c r="V16" i="17"/>
  <c r="AB16" i="17" s="1"/>
  <c r="X15" i="17"/>
  <c r="W15" i="17"/>
  <c r="V15" i="17"/>
  <c r="AB15" i="17" s="1"/>
  <c r="X14" i="17"/>
  <c r="W14" i="17"/>
  <c r="V14" i="17"/>
  <c r="AB14" i="17" s="1"/>
  <c r="X13" i="17"/>
  <c r="W13" i="17"/>
  <c r="V13" i="17"/>
  <c r="AB13" i="17" s="1"/>
  <c r="X12" i="17"/>
  <c r="W12" i="17"/>
  <c r="V12" i="17"/>
  <c r="AB12" i="17" s="1"/>
  <c r="X11" i="17"/>
  <c r="W11" i="17"/>
  <c r="V11" i="17"/>
  <c r="AB11" i="17" s="1"/>
  <c r="X10" i="17"/>
  <c r="W10" i="17"/>
  <c r="V10" i="17"/>
  <c r="AB10" i="17" s="1"/>
  <c r="X9" i="17"/>
  <c r="W9" i="17"/>
  <c r="V9" i="17"/>
  <c r="AB9" i="17" s="1"/>
  <c r="X8" i="17"/>
  <c r="W8" i="17"/>
  <c r="V8" i="17"/>
  <c r="AB8" i="17" s="1"/>
  <c r="X7" i="17"/>
  <c r="W7" i="17"/>
  <c r="V7" i="17"/>
  <c r="AB7" i="17" s="1"/>
  <c r="X6" i="17"/>
  <c r="W6" i="17"/>
  <c r="V6" i="17"/>
  <c r="AB6" i="17" s="1"/>
  <c r="X5" i="17"/>
  <c r="W5" i="17"/>
  <c r="V5" i="17"/>
  <c r="AB5" i="17" s="1"/>
  <c r="X4" i="17"/>
  <c r="W4" i="17"/>
  <c r="V4" i="17"/>
  <c r="AB4" i="17" s="1"/>
  <c r="X3" i="17"/>
  <c r="W3" i="17"/>
  <c r="V3" i="17"/>
  <c r="AB3" i="17" s="1"/>
  <c r="X2" i="17"/>
  <c r="W2" i="17"/>
  <c r="V2" i="17"/>
  <c r="AB2" i="17" s="1"/>
  <c r="AE545" i="16"/>
  <c r="AE544" i="16"/>
  <c r="AE543" i="16"/>
  <c r="AE542" i="16"/>
  <c r="AE541" i="16"/>
  <c r="AE540" i="16"/>
  <c r="AE539" i="16"/>
  <c r="AE538" i="16"/>
  <c r="AE537" i="16"/>
  <c r="AE536" i="16"/>
  <c r="AE535" i="16"/>
  <c r="AE534" i="16"/>
  <c r="AE533" i="16"/>
  <c r="AE532" i="16"/>
  <c r="AD532" i="16"/>
  <c r="AC532" i="16"/>
  <c r="AE531" i="16"/>
  <c r="AD531" i="16"/>
  <c r="AE530" i="16"/>
  <c r="AD530" i="16"/>
  <c r="AE529" i="16"/>
  <c r="AE528" i="16"/>
  <c r="AD528" i="16"/>
  <c r="AE527" i="16"/>
  <c r="AE526" i="16"/>
  <c r="AD526" i="16"/>
  <c r="AE525" i="16"/>
  <c r="AE524" i="16"/>
  <c r="AC524" i="16"/>
  <c r="AE523" i="16"/>
  <c r="AD523" i="16"/>
  <c r="AE522" i="16"/>
  <c r="AD522" i="16"/>
  <c r="AE521" i="16"/>
  <c r="AE520" i="16"/>
  <c r="AE519" i="16"/>
  <c r="AE518" i="16"/>
  <c r="AE517" i="16"/>
  <c r="AE516" i="16"/>
  <c r="AE515" i="16"/>
  <c r="AE514" i="16"/>
  <c r="AE513" i="16"/>
  <c r="AE512" i="16"/>
  <c r="AE511" i="16"/>
  <c r="AE510" i="16"/>
  <c r="AE509" i="16"/>
  <c r="AE508" i="16"/>
  <c r="AE507" i="16"/>
  <c r="AE506" i="16"/>
  <c r="AE505" i="16"/>
  <c r="AE504" i="16"/>
  <c r="AE503" i="16"/>
  <c r="AE502" i="16"/>
  <c r="AE501" i="16"/>
  <c r="AE500" i="16"/>
  <c r="AE499" i="16"/>
  <c r="AE498" i="16"/>
  <c r="AE497" i="16"/>
  <c r="AE496" i="16"/>
  <c r="AE495" i="16"/>
  <c r="AE494" i="16"/>
  <c r="AE493" i="16"/>
  <c r="AE492" i="16"/>
  <c r="AE491" i="16"/>
  <c r="AE490" i="16"/>
  <c r="AE489" i="16"/>
  <c r="AE488" i="16"/>
  <c r="AE487" i="16"/>
  <c r="AE486" i="16"/>
  <c r="AE485" i="16"/>
  <c r="AE484" i="16"/>
  <c r="AE483" i="16"/>
  <c r="AE482" i="16"/>
  <c r="AE481" i="16"/>
  <c r="AE480" i="16"/>
  <c r="AE479" i="16"/>
  <c r="AE478" i="16"/>
  <c r="AE477" i="16"/>
  <c r="AE476" i="16"/>
  <c r="AE475" i="16"/>
  <c r="AE474" i="16"/>
  <c r="AE473" i="16"/>
  <c r="AE472" i="16"/>
  <c r="AE471" i="16"/>
  <c r="AE470" i="16"/>
  <c r="AE469" i="16"/>
  <c r="AE468" i="16"/>
  <c r="AE467" i="16"/>
  <c r="AE466" i="16"/>
  <c r="AE465" i="16"/>
  <c r="AE464" i="16"/>
  <c r="AE463" i="16"/>
  <c r="AE462" i="16"/>
  <c r="AE461" i="16"/>
  <c r="AE460" i="16"/>
  <c r="AE459" i="16"/>
  <c r="AE458" i="16"/>
  <c r="AE457" i="16"/>
  <c r="AE456" i="16"/>
  <c r="AE455" i="16"/>
  <c r="AE454" i="16"/>
  <c r="AE453" i="16"/>
  <c r="AE452" i="16"/>
  <c r="AE451" i="16"/>
  <c r="AE450" i="16"/>
  <c r="AE449" i="16"/>
  <c r="AE448" i="16"/>
  <c r="AE447" i="16"/>
  <c r="AE446" i="16"/>
  <c r="AE445" i="16"/>
  <c r="AE444" i="16"/>
  <c r="AE443" i="16"/>
  <c r="AE442" i="16"/>
  <c r="AE441" i="16"/>
  <c r="AE440" i="16"/>
  <c r="AE439" i="16"/>
  <c r="AE438" i="16"/>
  <c r="AE437" i="16"/>
  <c r="AE436" i="16"/>
  <c r="AE435" i="16"/>
  <c r="AE434" i="16"/>
  <c r="AE433" i="16"/>
  <c r="AE432" i="16"/>
  <c r="AE431" i="16"/>
  <c r="AE430" i="16"/>
  <c r="AE429" i="16"/>
  <c r="AE428" i="16"/>
  <c r="AE427" i="16"/>
  <c r="AE426" i="16"/>
  <c r="AE425" i="16"/>
  <c r="AE424" i="16"/>
  <c r="AE423" i="16"/>
  <c r="AE422" i="16"/>
  <c r="AE421" i="16"/>
  <c r="AE420" i="16"/>
  <c r="AE419" i="16"/>
  <c r="AE418" i="16"/>
  <c r="AE417" i="16"/>
  <c r="AE416" i="16"/>
  <c r="AE415" i="16"/>
  <c r="AE414" i="16"/>
  <c r="AE413" i="16"/>
  <c r="AE412" i="16"/>
  <c r="AE411" i="16"/>
  <c r="AE410" i="16"/>
  <c r="AE409" i="16"/>
  <c r="AE408" i="16"/>
  <c r="AE407" i="16"/>
  <c r="AE406" i="16"/>
  <c r="AE405" i="16"/>
  <c r="AE404" i="16"/>
  <c r="AE403" i="16"/>
  <c r="AE402" i="16"/>
  <c r="AE401" i="16"/>
  <c r="AE400" i="16"/>
  <c r="AE399" i="16"/>
  <c r="AE398" i="16"/>
  <c r="AE397" i="16"/>
  <c r="AE396" i="16"/>
  <c r="AE395" i="16"/>
  <c r="AE394" i="16"/>
  <c r="AE393" i="16"/>
  <c r="AE392" i="16"/>
  <c r="AE391" i="16"/>
  <c r="AE390" i="16"/>
  <c r="AE389" i="16"/>
  <c r="AE388" i="16"/>
  <c r="AE387" i="16"/>
  <c r="AE386" i="16"/>
  <c r="AE385" i="16"/>
  <c r="AE384" i="16"/>
  <c r="AE383" i="16"/>
  <c r="AE382" i="16"/>
  <c r="AE381" i="16"/>
  <c r="AE380" i="16"/>
  <c r="AE379" i="16"/>
  <c r="AE378" i="16"/>
  <c r="AE377" i="16"/>
  <c r="AE376" i="16"/>
  <c r="AE375" i="16"/>
  <c r="AE374" i="16"/>
  <c r="AE373" i="16"/>
  <c r="AE372" i="16"/>
  <c r="AE371" i="16"/>
  <c r="AE370" i="16"/>
  <c r="AE369" i="16"/>
  <c r="AE368" i="16"/>
  <c r="AE367" i="16"/>
  <c r="AE366" i="16"/>
  <c r="AE365" i="16"/>
  <c r="AE364" i="16"/>
  <c r="AE363" i="16"/>
  <c r="AE362" i="16"/>
  <c r="AE361" i="16"/>
  <c r="AE360" i="16"/>
  <c r="AE359" i="16"/>
  <c r="AE358" i="16"/>
  <c r="AE357" i="16"/>
  <c r="AE356" i="16"/>
  <c r="AE355" i="16"/>
  <c r="AE354" i="16"/>
  <c r="AE353" i="16"/>
  <c r="AE352" i="16"/>
  <c r="AE351" i="16"/>
  <c r="AE350" i="16"/>
  <c r="AE349" i="16"/>
  <c r="AE348" i="16"/>
  <c r="AE347" i="16"/>
  <c r="AE346" i="16"/>
  <c r="AE345" i="16"/>
  <c r="AE344" i="16"/>
  <c r="AE343" i="16"/>
  <c r="AE342" i="16"/>
  <c r="AE341" i="16"/>
  <c r="AE340" i="16"/>
  <c r="AE339" i="16"/>
  <c r="AE338" i="16"/>
  <c r="AE337" i="16"/>
  <c r="AE336" i="16"/>
  <c r="AE335" i="16"/>
  <c r="AE334" i="16"/>
  <c r="AE333" i="16"/>
  <c r="AE332" i="16"/>
  <c r="AE331" i="16"/>
  <c r="AE330" i="16"/>
  <c r="AE329" i="16"/>
  <c r="AE328" i="16"/>
  <c r="AE327" i="16"/>
  <c r="AE326" i="16"/>
  <c r="AE325" i="16"/>
  <c r="AE324" i="16"/>
  <c r="AE323" i="16"/>
  <c r="AE322" i="16"/>
  <c r="AE321" i="16"/>
  <c r="AE320" i="16"/>
  <c r="AE319" i="16"/>
  <c r="AE318" i="16"/>
  <c r="AE317" i="16"/>
  <c r="AE316" i="16"/>
  <c r="AE315" i="16"/>
  <c r="AE314" i="16"/>
  <c r="AE313" i="16"/>
  <c r="AE312" i="16"/>
  <c r="AE311" i="16"/>
  <c r="AE310" i="16"/>
  <c r="AE309" i="16"/>
  <c r="AE308" i="16"/>
  <c r="AE307" i="16"/>
  <c r="AE306" i="16"/>
  <c r="AE305" i="16"/>
  <c r="AE304" i="16"/>
  <c r="AE303" i="16"/>
  <c r="AE302" i="16"/>
  <c r="AE301" i="16"/>
  <c r="AE300" i="16"/>
  <c r="AE299" i="16"/>
  <c r="AE298" i="16"/>
  <c r="AE297" i="16"/>
  <c r="AE296" i="16"/>
  <c r="AE295" i="16"/>
  <c r="AE294" i="16"/>
  <c r="AE293" i="16"/>
  <c r="AE292" i="16"/>
  <c r="AE291" i="16"/>
  <c r="AE290" i="16"/>
  <c r="AE289" i="16"/>
  <c r="AE288" i="16"/>
  <c r="AE287" i="16"/>
  <c r="AE286" i="16"/>
  <c r="AE285" i="16"/>
  <c r="AE284" i="16"/>
  <c r="AE283" i="16"/>
  <c r="AE282" i="16"/>
  <c r="AE281" i="16"/>
  <c r="AE280" i="16"/>
  <c r="AE279" i="16"/>
  <c r="AE278" i="16"/>
  <c r="AE277" i="16"/>
  <c r="AE276" i="16"/>
  <c r="AE275" i="16"/>
  <c r="AE274" i="16"/>
  <c r="AE273" i="16"/>
  <c r="AE272" i="16"/>
  <c r="AE271" i="16"/>
  <c r="AE270" i="16"/>
  <c r="AD270" i="16"/>
  <c r="AC270" i="16"/>
  <c r="AE269" i="16"/>
  <c r="AD269" i="16"/>
  <c r="AE268" i="16"/>
  <c r="AD268" i="16"/>
  <c r="AC268" i="16"/>
  <c r="AE267" i="16"/>
  <c r="AE266" i="16"/>
  <c r="AD266" i="16"/>
  <c r="AC266" i="16"/>
  <c r="AE265" i="16"/>
  <c r="AE264" i="16"/>
  <c r="AD264" i="16"/>
  <c r="AC264" i="16"/>
  <c r="AE263" i="16"/>
  <c r="AE262" i="16"/>
  <c r="AD262" i="16"/>
  <c r="AC262" i="16"/>
  <c r="AE261" i="16"/>
  <c r="AD261" i="16"/>
  <c r="AC261" i="16"/>
  <c r="AE260" i="16"/>
  <c r="AD260" i="16"/>
  <c r="AC260" i="16"/>
  <c r="AG259" i="16"/>
  <c r="AF259" i="16"/>
  <c r="AG258" i="16"/>
  <c r="AF258" i="16"/>
  <c r="AG257" i="16"/>
  <c r="AF257" i="16"/>
  <c r="AB257" i="16"/>
  <c r="AG256" i="16"/>
  <c r="AF256" i="16"/>
  <c r="AB256" i="16"/>
  <c r="AG255" i="16"/>
  <c r="AF255" i="16"/>
  <c r="AG254" i="16"/>
  <c r="AF254" i="16"/>
  <c r="AG253" i="16"/>
  <c r="AF253" i="16"/>
  <c r="AB253" i="16"/>
  <c r="AG252" i="16"/>
  <c r="AF252" i="16"/>
  <c r="AB252" i="16"/>
  <c r="AG251" i="16"/>
  <c r="AF251" i="16"/>
  <c r="AG250" i="16"/>
  <c r="AF250" i="16"/>
  <c r="AG249" i="16"/>
  <c r="AF249" i="16"/>
  <c r="AB249" i="16"/>
  <c r="AG248" i="16"/>
  <c r="AF248" i="16"/>
  <c r="AB248" i="16"/>
  <c r="AE247" i="16"/>
  <c r="AE246" i="16"/>
  <c r="AC246" i="16"/>
  <c r="AE245" i="16"/>
  <c r="AD245" i="16"/>
  <c r="AC245" i="16"/>
  <c r="AE244" i="16"/>
  <c r="AD244" i="16"/>
  <c r="AE243" i="16"/>
  <c r="AE242" i="16"/>
  <c r="AD242" i="16"/>
  <c r="AE241" i="16"/>
  <c r="AC241" i="16"/>
  <c r="AE240" i="16"/>
  <c r="AD240" i="16"/>
  <c r="AC240" i="16"/>
  <c r="AE239" i="16"/>
  <c r="AE238" i="16"/>
  <c r="AE237" i="16"/>
  <c r="AC237" i="16"/>
  <c r="AE236" i="16"/>
  <c r="AE235" i="16"/>
  <c r="AD235" i="16"/>
  <c r="AE234" i="16"/>
  <c r="AD234" i="16"/>
  <c r="AC234" i="16"/>
  <c r="AE233" i="16"/>
  <c r="AC233" i="16"/>
  <c r="AE232" i="16"/>
  <c r="AD232" i="16"/>
  <c r="AC232" i="16"/>
  <c r="AE231" i="16"/>
  <c r="AE230" i="16"/>
  <c r="AC230" i="16"/>
  <c r="AE229" i="16"/>
  <c r="AD229" i="16"/>
  <c r="AE228" i="16"/>
  <c r="AE227" i="16"/>
  <c r="AE226" i="16"/>
  <c r="AD226" i="16"/>
  <c r="AE225" i="16"/>
  <c r="AE224" i="16"/>
  <c r="AD224" i="16"/>
  <c r="AC224" i="16"/>
  <c r="AG223" i="16"/>
  <c r="AF223" i="16"/>
  <c r="AG222" i="16"/>
  <c r="AF222" i="16"/>
  <c r="AG221" i="16"/>
  <c r="AF221" i="16"/>
  <c r="AG220" i="16"/>
  <c r="AF220" i="16"/>
  <c r="AG219" i="16"/>
  <c r="AF219" i="16"/>
  <c r="AG218" i="16"/>
  <c r="AF218" i="16"/>
  <c r="AG217" i="16"/>
  <c r="AF217" i="16"/>
  <c r="AB217" i="16"/>
  <c r="AG216" i="16"/>
  <c r="AF216" i="16"/>
  <c r="AG215" i="16"/>
  <c r="AF215" i="16"/>
  <c r="AB215" i="16"/>
  <c r="AG214" i="16"/>
  <c r="AF214" i="16"/>
  <c r="AG213" i="16"/>
  <c r="AF213" i="16"/>
  <c r="AG212" i="16"/>
  <c r="AF212" i="16"/>
  <c r="AE211" i="16"/>
  <c r="AC211" i="16"/>
  <c r="AE210" i="16"/>
  <c r="AE209" i="16"/>
  <c r="AD209" i="16"/>
  <c r="AC209" i="16"/>
  <c r="AE208" i="16"/>
  <c r="AC208" i="16"/>
  <c r="AE207" i="16"/>
  <c r="AE206" i="16"/>
  <c r="AD206" i="16"/>
  <c r="AC206" i="16"/>
  <c r="AE205" i="16"/>
  <c r="AE204" i="16"/>
  <c r="AE203" i="16"/>
  <c r="AD203" i="16"/>
  <c r="AE202" i="16"/>
  <c r="AD202" i="16"/>
  <c r="AC202" i="16"/>
  <c r="AE201" i="16"/>
  <c r="AE200" i="16"/>
  <c r="AE199" i="16"/>
  <c r="AE198" i="16"/>
  <c r="AE197" i="16"/>
  <c r="AE196" i="16"/>
  <c r="AE195" i="16"/>
  <c r="AE194" i="16"/>
  <c r="AE193" i="16"/>
  <c r="AE192" i="16"/>
  <c r="AE191" i="16"/>
  <c r="AE190" i="16"/>
  <c r="AE189" i="16"/>
  <c r="AE188" i="16"/>
  <c r="AE187" i="16"/>
  <c r="AE186" i="16"/>
  <c r="AE185" i="16"/>
  <c r="AE184" i="16"/>
  <c r="AE183" i="16"/>
  <c r="AE182" i="16"/>
  <c r="AE181" i="16"/>
  <c r="AE180" i="16"/>
  <c r="AE179" i="16"/>
  <c r="AE178" i="16"/>
  <c r="AE177" i="16"/>
  <c r="AG176" i="16"/>
  <c r="AF176" i="16"/>
  <c r="AG175" i="16"/>
  <c r="AF175" i="16"/>
  <c r="AG174" i="16"/>
  <c r="AF174" i="16"/>
  <c r="AG173" i="16"/>
  <c r="AF173" i="16"/>
  <c r="AG172" i="16"/>
  <c r="AF172" i="16"/>
  <c r="AG171" i="16"/>
  <c r="AF171" i="16"/>
  <c r="AG170" i="16"/>
  <c r="AF170" i="16"/>
  <c r="AG169" i="16"/>
  <c r="AF169" i="16"/>
  <c r="AG168" i="16"/>
  <c r="AF168" i="16"/>
  <c r="AG167" i="16"/>
  <c r="AF167" i="16"/>
  <c r="AG166" i="16"/>
  <c r="AF166" i="16"/>
  <c r="AG165" i="16"/>
  <c r="AF165" i="16"/>
  <c r="AE164" i="16"/>
  <c r="AE163" i="16"/>
  <c r="AE162" i="16"/>
  <c r="AE161" i="16"/>
  <c r="AE160" i="16"/>
  <c r="AE159" i="16"/>
  <c r="AE158" i="16"/>
  <c r="AE157" i="16"/>
  <c r="AE156" i="16"/>
  <c r="AE155" i="16"/>
  <c r="AE154" i="16"/>
  <c r="AE153" i="16"/>
  <c r="AE152" i="16"/>
  <c r="AE151" i="16"/>
  <c r="AE150" i="16"/>
  <c r="AE149" i="16"/>
  <c r="AE148" i="16"/>
  <c r="AE147" i="16"/>
  <c r="AE146" i="16"/>
  <c r="AE145" i="16"/>
  <c r="AE144" i="16"/>
  <c r="AE143" i="16"/>
  <c r="AE142" i="16"/>
  <c r="AE141" i="16"/>
  <c r="AG140" i="16"/>
  <c r="AF140" i="16"/>
  <c r="AG139" i="16"/>
  <c r="AF139" i="16"/>
  <c r="AG138" i="16"/>
  <c r="AF138" i="16"/>
  <c r="AG137" i="16"/>
  <c r="AF137" i="16"/>
  <c r="AG136" i="16"/>
  <c r="AF136" i="16"/>
  <c r="AG135" i="16"/>
  <c r="AF135" i="16"/>
  <c r="AG134" i="16"/>
  <c r="AF134" i="16"/>
  <c r="AG133" i="16"/>
  <c r="AF133" i="16"/>
  <c r="AG132" i="16"/>
  <c r="AF132" i="16"/>
  <c r="AG131" i="16"/>
  <c r="AF131" i="16"/>
  <c r="AG130" i="16"/>
  <c r="AF130" i="16"/>
  <c r="AG129" i="16"/>
  <c r="AF129" i="16"/>
  <c r="AG128" i="16"/>
  <c r="AF128" i="16"/>
  <c r="AE127" i="16"/>
  <c r="AE126" i="16"/>
  <c r="AE125" i="16"/>
  <c r="AE124" i="16"/>
  <c r="AE123" i="16"/>
  <c r="AE122" i="16"/>
  <c r="AE121" i="16"/>
  <c r="AE120" i="16"/>
  <c r="AE119" i="16"/>
  <c r="AE118" i="16"/>
  <c r="AE117" i="16"/>
  <c r="AE116" i="16"/>
  <c r="AE115" i="16"/>
  <c r="AE114" i="16"/>
  <c r="AE113" i="16"/>
  <c r="AE112" i="16"/>
  <c r="AE111" i="16"/>
  <c r="AE110" i="16"/>
  <c r="AE109" i="16"/>
  <c r="AE108" i="16"/>
  <c r="AE107" i="16"/>
  <c r="AE106" i="16"/>
  <c r="AE105" i="16"/>
  <c r="AE104" i="16"/>
  <c r="AE103" i="16"/>
  <c r="AE102" i="16"/>
  <c r="AE101" i="16"/>
  <c r="AE100" i="16"/>
  <c r="AE99" i="16"/>
  <c r="AE98" i="16"/>
  <c r="AE97" i="16"/>
  <c r="AE96" i="16"/>
  <c r="AE95" i="16"/>
  <c r="AE94" i="16"/>
  <c r="AG93" i="16"/>
  <c r="AF93" i="16"/>
  <c r="AG92" i="16"/>
  <c r="AF92" i="16"/>
  <c r="AG91" i="16"/>
  <c r="AF91" i="16"/>
  <c r="AG90" i="16"/>
  <c r="AF90" i="16"/>
  <c r="AG89" i="16"/>
  <c r="AF89" i="16"/>
  <c r="AG88" i="16"/>
  <c r="AF88" i="16"/>
  <c r="AG87" i="16"/>
  <c r="AF87" i="16"/>
  <c r="AG86" i="16"/>
  <c r="AF86" i="16"/>
  <c r="AG85" i="16"/>
  <c r="AF85" i="16"/>
  <c r="AG84" i="16"/>
  <c r="AF84" i="16"/>
  <c r="AG83" i="16"/>
  <c r="AF83" i="16"/>
  <c r="AG82" i="16"/>
  <c r="AF82" i="16"/>
  <c r="AG81" i="16"/>
  <c r="AF81" i="16"/>
  <c r="AG80" i="16"/>
  <c r="AF80" i="16"/>
  <c r="AG79" i="16"/>
  <c r="AF79" i="16"/>
  <c r="AG78" i="16"/>
  <c r="AF78" i="16"/>
  <c r="AG77" i="16"/>
  <c r="AF77" i="16"/>
  <c r="AG76" i="16"/>
  <c r="AF76" i="16"/>
  <c r="AG75" i="16"/>
  <c r="AF75" i="16"/>
  <c r="AG74" i="16"/>
  <c r="AF74" i="16"/>
  <c r="AG73" i="16"/>
  <c r="AF73" i="16"/>
  <c r="AG72" i="16"/>
  <c r="AF72" i="16"/>
  <c r="AG71" i="16"/>
  <c r="AF71" i="16"/>
  <c r="AE70" i="16"/>
  <c r="AE69" i="16"/>
  <c r="AE68" i="16"/>
  <c r="AE67" i="16"/>
  <c r="AE66" i="16"/>
  <c r="AE65" i="16"/>
  <c r="AE64" i="16"/>
  <c r="AE63" i="16"/>
  <c r="AE62" i="16"/>
  <c r="AE61" i="16"/>
  <c r="AE60" i="16"/>
  <c r="AE59" i="16"/>
  <c r="AE58" i="16"/>
  <c r="AE57" i="16"/>
  <c r="AE56" i="16"/>
  <c r="AE55" i="16"/>
  <c r="AE54" i="16"/>
  <c r="AE53" i="16"/>
  <c r="AE52" i="16"/>
  <c r="AE51" i="16"/>
  <c r="AE50" i="16"/>
  <c r="AG49" i="16"/>
  <c r="AF49" i="16"/>
  <c r="AG48" i="16"/>
  <c r="AF48" i="16"/>
  <c r="AG47" i="16"/>
  <c r="AF47" i="16"/>
  <c r="AG46" i="16"/>
  <c r="AF46" i="16"/>
  <c r="AG45" i="16"/>
  <c r="AF45" i="16"/>
  <c r="AG44" i="16"/>
  <c r="AF44" i="16"/>
  <c r="AG43" i="16"/>
  <c r="AF43" i="16"/>
  <c r="AG42" i="16"/>
  <c r="AF42" i="16"/>
  <c r="AG41" i="16"/>
  <c r="AF41" i="16"/>
  <c r="AG40" i="16"/>
  <c r="AF40" i="16"/>
  <c r="AG39" i="16"/>
  <c r="AF39" i="16"/>
  <c r="AG38" i="16"/>
  <c r="AF38" i="16"/>
  <c r="AG37" i="16"/>
  <c r="AF37" i="16"/>
  <c r="AG36" i="16"/>
  <c r="AF36" i="16"/>
  <c r="AG35" i="16"/>
  <c r="AF35" i="16"/>
  <c r="AG34" i="16"/>
  <c r="AF34" i="16"/>
  <c r="AG33" i="16"/>
  <c r="AF33" i="16"/>
  <c r="AG32" i="16"/>
  <c r="AF32" i="16"/>
  <c r="AG31" i="16"/>
  <c r="AF31" i="16"/>
  <c r="AG30" i="16"/>
  <c r="AF30" i="16"/>
  <c r="AG29" i="16"/>
  <c r="AF29" i="16"/>
  <c r="AG28" i="16"/>
  <c r="AF28" i="16"/>
  <c r="AG27" i="16"/>
  <c r="AF27" i="16"/>
  <c r="AG26" i="16"/>
  <c r="AF26" i="16"/>
  <c r="X545" i="16"/>
  <c r="AD545" i="16" s="1"/>
  <c r="W545" i="16"/>
  <c r="AC545" i="16" s="1"/>
  <c r="V545" i="16"/>
  <c r="AB545" i="16" s="1"/>
  <c r="X544" i="16"/>
  <c r="AD544" i="16" s="1"/>
  <c r="W544" i="16"/>
  <c r="AC544" i="16" s="1"/>
  <c r="V544" i="16"/>
  <c r="AB544" i="16" s="1"/>
  <c r="X543" i="16"/>
  <c r="AD543" i="16" s="1"/>
  <c r="W543" i="16"/>
  <c r="AC543" i="16" s="1"/>
  <c r="V543" i="16"/>
  <c r="AB543" i="16" s="1"/>
  <c r="X542" i="16"/>
  <c r="AD542" i="16" s="1"/>
  <c r="W542" i="16"/>
  <c r="AC542" i="16" s="1"/>
  <c r="V542" i="16"/>
  <c r="AB542" i="16" s="1"/>
  <c r="X541" i="16"/>
  <c r="AD541" i="16" s="1"/>
  <c r="W541" i="16"/>
  <c r="AC541" i="16" s="1"/>
  <c r="V541" i="16"/>
  <c r="AB541" i="16" s="1"/>
  <c r="X540" i="16"/>
  <c r="AD540" i="16" s="1"/>
  <c r="W540" i="16"/>
  <c r="AC540" i="16" s="1"/>
  <c r="V540" i="16"/>
  <c r="AB540" i="16" s="1"/>
  <c r="X539" i="16"/>
  <c r="AD539" i="16" s="1"/>
  <c r="W539" i="16"/>
  <c r="AC539" i="16" s="1"/>
  <c r="V539" i="16"/>
  <c r="AB539" i="16" s="1"/>
  <c r="X538" i="16"/>
  <c r="AD538" i="16" s="1"/>
  <c r="W538" i="16"/>
  <c r="AC538" i="16" s="1"/>
  <c r="V538" i="16"/>
  <c r="AB538" i="16" s="1"/>
  <c r="X537" i="16"/>
  <c r="AD537" i="16" s="1"/>
  <c r="W537" i="16"/>
  <c r="AC537" i="16" s="1"/>
  <c r="V537" i="16"/>
  <c r="AB537" i="16" s="1"/>
  <c r="X536" i="16"/>
  <c r="AD536" i="16" s="1"/>
  <c r="W536" i="16"/>
  <c r="AC536" i="16" s="1"/>
  <c r="V536" i="16"/>
  <c r="AB536" i="16" s="1"/>
  <c r="X535" i="16"/>
  <c r="AD535" i="16" s="1"/>
  <c r="W535" i="16"/>
  <c r="AC535" i="16" s="1"/>
  <c r="V535" i="16"/>
  <c r="AB535" i="16" s="1"/>
  <c r="X534" i="16"/>
  <c r="AD534" i="16" s="1"/>
  <c r="W534" i="16"/>
  <c r="AC534" i="16" s="1"/>
  <c r="V534" i="16"/>
  <c r="AB534" i="16" s="1"/>
  <c r="V533" i="16"/>
  <c r="AB533" i="16" s="1"/>
  <c r="V532" i="16"/>
  <c r="AB532" i="16" s="1"/>
  <c r="V531" i="16"/>
  <c r="AB531" i="16" s="1"/>
  <c r="V530" i="16"/>
  <c r="AB530" i="16" s="1"/>
  <c r="V529" i="16"/>
  <c r="AB529" i="16" s="1"/>
  <c r="V528" i="16"/>
  <c r="AB528" i="16" s="1"/>
  <c r="V527" i="16"/>
  <c r="AB527" i="16" s="1"/>
  <c r="V526" i="16"/>
  <c r="AB526" i="16" s="1"/>
  <c r="V525" i="16"/>
  <c r="AB525" i="16" s="1"/>
  <c r="V524" i="16"/>
  <c r="AB524" i="16" s="1"/>
  <c r="V523" i="16"/>
  <c r="AB523" i="16" s="1"/>
  <c r="V522" i="16"/>
  <c r="AB522" i="16" s="1"/>
  <c r="X521" i="16"/>
  <c r="AD521" i="16" s="1"/>
  <c r="W521" i="16"/>
  <c r="AC521" i="16" s="1"/>
  <c r="V521" i="16"/>
  <c r="AB521" i="16" s="1"/>
  <c r="X520" i="16"/>
  <c r="AD520" i="16" s="1"/>
  <c r="W520" i="16"/>
  <c r="AC520" i="16" s="1"/>
  <c r="V520" i="16"/>
  <c r="AB520" i="16" s="1"/>
  <c r="X519" i="16"/>
  <c r="AD519" i="16" s="1"/>
  <c r="W519" i="16"/>
  <c r="AC519" i="16" s="1"/>
  <c r="V519" i="16"/>
  <c r="AB519" i="16" s="1"/>
  <c r="X518" i="16"/>
  <c r="AD518" i="16" s="1"/>
  <c r="W518" i="16"/>
  <c r="AC518" i="16" s="1"/>
  <c r="V518" i="16"/>
  <c r="AB518" i="16" s="1"/>
  <c r="X517" i="16"/>
  <c r="AD517" i="16" s="1"/>
  <c r="W517" i="16"/>
  <c r="AC517" i="16" s="1"/>
  <c r="V517" i="16"/>
  <c r="AB517" i="16" s="1"/>
  <c r="X516" i="16"/>
  <c r="AD516" i="16" s="1"/>
  <c r="W516" i="16"/>
  <c r="AC516" i="16" s="1"/>
  <c r="V516" i="16"/>
  <c r="AB516" i="16" s="1"/>
  <c r="X515" i="16"/>
  <c r="AD515" i="16" s="1"/>
  <c r="W515" i="16"/>
  <c r="AC515" i="16" s="1"/>
  <c r="V515" i="16"/>
  <c r="AB515" i="16" s="1"/>
  <c r="X514" i="16"/>
  <c r="AD514" i="16" s="1"/>
  <c r="W514" i="16"/>
  <c r="AC514" i="16" s="1"/>
  <c r="V514" i="16"/>
  <c r="AB514" i="16" s="1"/>
  <c r="X513" i="16"/>
  <c r="AD513" i="16" s="1"/>
  <c r="W513" i="16"/>
  <c r="AC513" i="16" s="1"/>
  <c r="V513" i="16"/>
  <c r="AB513" i="16" s="1"/>
  <c r="X512" i="16"/>
  <c r="AD512" i="16" s="1"/>
  <c r="W512" i="16"/>
  <c r="AC512" i="16" s="1"/>
  <c r="V512" i="16"/>
  <c r="AB512" i="16" s="1"/>
  <c r="X511" i="16"/>
  <c r="AD511" i="16" s="1"/>
  <c r="W511" i="16"/>
  <c r="AC511" i="16" s="1"/>
  <c r="V511" i="16"/>
  <c r="AB511" i="16" s="1"/>
  <c r="X510" i="16"/>
  <c r="AD510" i="16" s="1"/>
  <c r="W510" i="16"/>
  <c r="AC510" i="16" s="1"/>
  <c r="V510" i="16"/>
  <c r="AB510" i="16" s="1"/>
  <c r="X509" i="16"/>
  <c r="AD509" i="16" s="1"/>
  <c r="W509" i="16"/>
  <c r="AC509" i="16" s="1"/>
  <c r="V509" i="16"/>
  <c r="AB509" i="16" s="1"/>
  <c r="X508" i="16"/>
  <c r="AD508" i="16" s="1"/>
  <c r="W508" i="16"/>
  <c r="AC508" i="16" s="1"/>
  <c r="V508" i="16"/>
  <c r="AB508" i="16" s="1"/>
  <c r="X507" i="16"/>
  <c r="AD507" i="16" s="1"/>
  <c r="W507" i="16"/>
  <c r="AC507" i="16" s="1"/>
  <c r="V507" i="16"/>
  <c r="AB507" i="16" s="1"/>
  <c r="X506" i="16"/>
  <c r="AD506" i="16" s="1"/>
  <c r="W506" i="16"/>
  <c r="AC506" i="16" s="1"/>
  <c r="V506" i="16"/>
  <c r="AB506" i="16" s="1"/>
  <c r="X505" i="16"/>
  <c r="AD505" i="16" s="1"/>
  <c r="W505" i="16"/>
  <c r="AC505" i="16" s="1"/>
  <c r="V505" i="16"/>
  <c r="AB505" i="16" s="1"/>
  <c r="X504" i="16"/>
  <c r="AD504" i="16" s="1"/>
  <c r="W504" i="16"/>
  <c r="AC504" i="16" s="1"/>
  <c r="V504" i="16"/>
  <c r="AB504" i="16" s="1"/>
  <c r="X503" i="16"/>
  <c r="AD503" i="16" s="1"/>
  <c r="W503" i="16"/>
  <c r="AC503" i="16" s="1"/>
  <c r="V503" i="16"/>
  <c r="AB503" i="16" s="1"/>
  <c r="X502" i="16"/>
  <c r="AD502" i="16" s="1"/>
  <c r="W502" i="16"/>
  <c r="AC502" i="16" s="1"/>
  <c r="V502" i="16"/>
  <c r="AB502" i="16" s="1"/>
  <c r="X501" i="16"/>
  <c r="AD501" i="16" s="1"/>
  <c r="W501" i="16"/>
  <c r="AC501" i="16" s="1"/>
  <c r="V501" i="16"/>
  <c r="AB501" i="16" s="1"/>
  <c r="X500" i="16"/>
  <c r="AD500" i="16" s="1"/>
  <c r="W500" i="16"/>
  <c r="AC500" i="16" s="1"/>
  <c r="V500" i="16"/>
  <c r="AB500" i="16" s="1"/>
  <c r="X499" i="16"/>
  <c r="AD499" i="16" s="1"/>
  <c r="W499" i="16"/>
  <c r="AC499" i="16" s="1"/>
  <c r="V499" i="16"/>
  <c r="AB499" i="16" s="1"/>
  <c r="X498" i="16"/>
  <c r="AD498" i="16" s="1"/>
  <c r="W498" i="16"/>
  <c r="AC498" i="16" s="1"/>
  <c r="V498" i="16"/>
  <c r="AB498" i="16" s="1"/>
  <c r="X497" i="16"/>
  <c r="AD497" i="16" s="1"/>
  <c r="W497" i="16"/>
  <c r="AC497" i="16" s="1"/>
  <c r="V497" i="16"/>
  <c r="AB497" i="16" s="1"/>
  <c r="X496" i="16"/>
  <c r="AD496" i="16" s="1"/>
  <c r="W496" i="16"/>
  <c r="AC496" i="16" s="1"/>
  <c r="V496" i="16"/>
  <c r="AB496" i="16" s="1"/>
  <c r="X495" i="16"/>
  <c r="AD495" i="16" s="1"/>
  <c r="W495" i="16"/>
  <c r="AC495" i="16" s="1"/>
  <c r="V495" i="16"/>
  <c r="AB495" i="16" s="1"/>
  <c r="X494" i="16"/>
  <c r="AD494" i="16" s="1"/>
  <c r="W494" i="16"/>
  <c r="AC494" i="16" s="1"/>
  <c r="V494" i="16"/>
  <c r="AB494" i="16" s="1"/>
  <c r="X493" i="16"/>
  <c r="AD493" i="16" s="1"/>
  <c r="W493" i="16"/>
  <c r="AC493" i="16" s="1"/>
  <c r="V493" i="16"/>
  <c r="AB493" i="16" s="1"/>
  <c r="X492" i="16"/>
  <c r="AD492" i="16" s="1"/>
  <c r="W492" i="16"/>
  <c r="AC492" i="16" s="1"/>
  <c r="V492" i="16"/>
  <c r="AB492" i="16" s="1"/>
  <c r="X491" i="16"/>
  <c r="AD491" i="16" s="1"/>
  <c r="W491" i="16"/>
  <c r="AC491" i="16" s="1"/>
  <c r="V491" i="16"/>
  <c r="AB491" i="16" s="1"/>
  <c r="X490" i="16"/>
  <c r="AD490" i="16" s="1"/>
  <c r="W490" i="16"/>
  <c r="AC490" i="16" s="1"/>
  <c r="V490" i="16"/>
  <c r="AB490" i="16" s="1"/>
  <c r="X489" i="16"/>
  <c r="AD489" i="16" s="1"/>
  <c r="W489" i="16"/>
  <c r="AC489" i="16" s="1"/>
  <c r="V489" i="16"/>
  <c r="AB489" i="16" s="1"/>
  <c r="X488" i="16"/>
  <c r="AD488" i="16" s="1"/>
  <c r="W488" i="16"/>
  <c r="AC488" i="16" s="1"/>
  <c r="V488" i="16"/>
  <c r="AB488" i="16" s="1"/>
  <c r="X487" i="16"/>
  <c r="AD487" i="16" s="1"/>
  <c r="W487" i="16"/>
  <c r="AC487" i="16" s="1"/>
  <c r="V487" i="16"/>
  <c r="AB487" i="16" s="1"/>
  <c r="X486" i="16"/>
  <c r="AD486" i="16" s="1"/>
  <c r="W486" i="16"/>
  <c r="AC486" i="16" s="1"/>
  <c r="V486" i="16"/>
  <c r="AB486" i="16" s="1"/>
  <c r="X485" i="16"/>
  <c r="AD485" i="16" s="1"/>
  <c r="W485" i="16"/>
  <c r="AC485" i="16" s="1"/>
  <c r="V485" i="16"/>
  <c r="AB485" i="16" s="1"/>
  <c r="X484" i="16"/>
  <c r="AD484" i="16" s="1"/>
  <c r="W484" i="16"/>
  <c r="AC484" i="16" s="1"/>
  <c r="V484" i="16"/>
  <c r="AB484" i="16" s="1"/>
  <c r="X483" i="16"/>
  <c r="AD483" i="16" s="1"/>
  <c r="W483" i="16"/>
  <c r="AC483" i="16" s="1"/>
  <c r="V483" i="16"/>
  <c r="AB483" i="16" s="1"/>
  <c r="X482" i="16"/>
  <c r="AD482" i="16" s="1"/>
  <c r="W482" i="16"/>
  <c r="AC482" i="16" s="1"/>
  <c r="V482" i="16"/>
  <c r="AB482" i="16" s="1"/>
  <c r="X481" i="16"/>
  <c r="AD481" i="16" s="1"/>
  <c r="W481" i="16"/>
  <c r="AC481" i="16" s="1"/>
  <c r="V481" i="16"/>
  <c r="AB481" i="16" s="1"/>
  <c r="X480" i="16"/>
  <c r="AD480" i="16" s="1"/>
  <c r="W480" i="16"/>
  <c r="AC480" i="16" s="1"/>
  <c r="V480" i="16"/>
  <c r="AB480" i="16" s="1"/>
  <c r="X479" i="16"/>
  <c r="AD479" i="16" s="1"/>
  <c r="W479" i="16"/>
  <c r="AC479" i="16" s="1"/>
  <c r="V479" i="16"/>
  <c r="AB479" i="16" s="1"/>
  <c r="X478" i="16"/>
  <c r="AD478" i="16" s="1"/>
  <c r="W478" i="16"/>
  <c r="AC478" i="16" s="1"/>
  <c r="V478" i="16"/>
  <c r="AB478" i="16" s="1"/>
  <c r="X477" i="16"/>
  <c r="AD477" i="16" s="1"/>
  <c r="W477" i="16"/>
  <c r="AC477" i="16" s="1"/>
  <c r="V477" i="16"/>
  <c r="AB477" i="16" s="1"/>
  <c r="X476" i="16"/>
  <c r="AD476" i="16" s="1"/>
  <c r="W476" i="16"/>
  <c r="AC476" i="16" s="1"/>
  <c r="V476" i="16"/>
  <c r="AB476" i="16" s="1"/>
  <c r="X475" i="16"/>
  <c r="AD475" i="16" s="1"/>
  <c r="W475" i="16"/>
  <c r="AC475" i="16" s="1"/>
  <c r="V475" i="16"/>
  <c r="AB475" i="16" s="1"/>
  <c r="X474" i="16"/>
  <c r="AD474" i="16" s="1"/>
  <c r="W474" i="16"/>
  <c r="AC474" i="16" s="1"/>
  <c r="V474" i="16"/>
  <c r="AB474" i="16" s="1"/>
  <c r="X473" i="16"/>
  <c r="AD473" i="16" s="1"/>
  <c r="W473" i="16"/>
  <c r="AC473" i="16" s="1"/>
  <c r="V473" i="16"/>
  <c r="AB473" i="16" s="1"/>
  <c r="X472" i="16"/>
  <c r="AD472" i="16" s="1"/>
  <c r="W472" i="16"/>
  <c r="AC472" i="16" s="1"/>
  <c r="V472" i="16"/>
  <c r="AB472" i="16" s="1"/>
  <c r="X471" i="16"/>
  <c r="AD471" i="16" s="1"/>
  <c r="W471" i="16"/>
  <c r="AC471" i="16" s="1"/>
  <c r="V471" i="16"/>
  <c r="AB471" i="16" s="1"/>
  <c r="X470" i="16"/>
  <c r="AD470" i="16" s="1"/>
  <c r="W470" i="16"/>
  <c r="AC470" i="16" s="1"/>
  <c r="V470" i="16"/>
  <c r="AB470" i="16" s="1"/>
  <c r="X469" i="16"/>
  <c r="AD469" i="16" s="1"/>
  <c r="W469" i="16"/>
  <c r="AC469" i="16" s="1"/>
  <c r="V469" i="16"/>
  <c r="AB469" i="16" s="1"/>
  <c r="X468" i="16"/>
  <c r="AD468" i="16" s="1"/>
  <c r="W468" i="16"/>
  <c r="AC468" i="16" s="1"/>
  <c r="V468" i="16"/>
  <c r="AB468" i="16" s="1"/>
  <c r="X467" i="16"/>
  <c r="AD467" i="16" s="1"/>
  <c r="W467" i="16"/>
  <c r="AC467" i="16" s="1"/>
  <c r="V467" i="16"/>
  <c r="AB467" i="16" s="1"/>
  <c r="X466" i="16"/>
  <c r="AD466" i="16" s="1"/>
  <c r="W466" i="16"/>
  <c r="AC466" i="16" s="1"/>
  <c r="V466" i="16"/>
  <c r="AB466" i="16" s="1"/>
  <c r="X465" i="16"/>
  <c r="AD465" i="16" s="1"/>
  <c r="W465" i="16"/>
  <c r="AC465" i="16" s="1"/>
  <c r="V465" i="16"/>
  <c r="AB465" i="16" s="1"/>
  <c r="X464" i="16"/>
  <c r="AD464" i="16" s="1"/>
  <c r="W464" i="16"/>
  <c r="AC464" i="16" s="1"/>
  <c r="V464" i="16"/>
  <c r="AB464" i="16" s="1"/>
  <c r="X463" i="16"/>
  <c r="AD463" i="16" s="1"/>
  <c r="W463" i="16"/>
  <c r="AC463" i="16" s="1"/>
  <c r="V463" i="16"/>
  <c r="AB463" i="16" s="1"/>
  <c r="X462" i="16"/>
  <c r="AD462" i="16" s="1"/>
  <c r="W462" i="16"/>
  <c r="AC462" i="16" s="1"/>
  <c r="V462" i="16"/>
  <c r="AB462" i="16" s="1"/>
  <c r="X461" i="16"/>
  <c r="AD461" i="16" s="1"/>
  <c r="W461" i="16"/>
  <c r="AC461" i="16" s="1"/>
  <c r="V461" i="16"/>
  <c r="AB461" i="16" s="1"/>
  <c r="X460" i="16"/>
  <c r="AD460" i="16" s="1"/>
  <c r="W460" i="16"/>
  <c r="AC460" i="16" s="1"/>
  <c r="V460" i="16"/>
  <c r="AB460" i="16" s="1"/>
  <c r="X459" i="16"/>
  <c r="AD459" i="16" s="1"/>
  <c r="W459" i="16"/>
  <c r="AC459" i="16" s="1"/>
  <c r="V459" i="16"/>
  <c r="AB459" i="16" s="1"/>
  <c r="X458" i="16"/>
  <c r="AD458" i="16" s="1"/>
  <c r="W458" i="16"/>
  <c r="AC458" i="16" s="1"/>
  <c r="V458" i="16"/>
  <c r="AB458" i="16" s="1"/>
  <c r="X457" i="16"/>
  <c r="AD457" i="16" s="1"/>
  <c r="W457" i="16"/>
  <c r="AC457" i="16" s="1"/>
  <c r="V457" i="16"/>
  <c r="AB457" i="16" s="1"/>
  <c r="X456" i="16"/>
  <c r="AD456" i="16" s="1"/>
  <c r="W456" i="16"/>
  <c r="AC456" i="16" s="1"/>
  <c r="V456" i="16"/>
  <c r="AB456" i="16" s="1"/>
  <c r="X455" i="16"/>
  <c r="AD455" i="16" s="1"/>
  <c r="W455" i="16"/>
  <c r="AC455" i="16" s="1"/>
  <c r="V455" i="16"/>
  <c r="AB455" i="16" s="1"/>
  <c r="X454" i="16"/>
  <c r="AD454" i="16" s="1"/>
  <c r="W454" i="16"/>
  <c r="AC454" i="16" s="1"/>
  <c r="V454" i="16"/>
  <c r="AB454" i="16" s="1"/>
  <c r="X453" i="16"/>
  <c r="AD453" i="16" s="1"/>
  <c r="W453" i="16"/>
  <c r="AC453" i="16" s="1"/>
  <c r="V453" i="16"/>
  <c r="AB453" i="16" s="1"/>
  <c r="X452" i="16"/>
  <c r="AD452" i="16" s="1"/>
  <c r="W452" i="16"/>
  <c r="AC452" i="16" s="1"/>
  <c r="V452" i="16"/>
  <c r="AB452" i="16" s="1"/>
  <c r="X451" i="16"/>
  <c r="AD451" i="16" s="1"/>
  <c r="W451" i="16"/>
  <c r="AC451" i="16" s="1"/>
  <c r="V451" i="16"/>
  <c r="AB451" i="16" s="1"/>
  <c r="X450" i="16"/>
  <c r="AD450" i="16" s="1"/>
  <c r="W450" i="16"/>
  <c r="AC450" i="16" s="1"/>
  <c r="V450" i="16"/>
  <c r="AB450" i="16" s="1"/>
  <c r="X449" i="16"/>
  <c r="AD449" i="16" s="1"/>
  <c r="W449" i="16"/>
  <c r="AC449" i="16" s="1"/>
  <c r="V449" i="16"/>
  <c r="AB449" i="16" s="1"/>
  <c r="X448" i="16"/>
  <c r="AD448" i="16" s="1"/>
  <c r="W448" i="16"/>
  <c r="AC448" i="16" s="1"/>
  <c r="V448" i="16"/>
  <c r="AB448" i="16" s="1"/>
  <c r="X447" i="16"/>
  <c r="AD447" i="16" s="1"/>
  <c r="W447" i="16"/>
  <c r="AC447" i="16" s="1"/>
  <c r="V447" i="16"/>
  <c r="AB447" i="16" s="1"/>
  <c r="X446" i="16"/>
  <c r="AD446" i="16" s="1"/>
  <c r="W446" i="16"/>
  <c r="AC446" i="16" s="1"/>
  <c r="V446" i="16"/>
  <c r="AB446" i="16" s="1"/>
  <c r="X445" i="16"/>
  <c r="AD445" i="16" s="1"/>
  <c r="W445" i="16"/>
  <c r="AC445" i="16" s="1"/>
  <c r="V445" i="16"/>
  <c r="AB445" i="16" s="1"/>
  <c r="X444" i="16"/>
  <c r="AD444" i="16" s="1"/>
  <c r="W444" i="16"/>
  <c r="AC444" i="16" s="1"/>
  <c r="V444" i="16"/>
  <c r="AB444" i="16" s="1"/>
  <c r="X443" i="16"/>
  <c r="AD443" i="16" s="1"/>
  <c r="W443" i="16"/>
  <c r="AC443" i="16" s="1"/>
  <c r="V443" i="16"/>
  <c r="AB443" i="16" s="1"/>
  <c r="X442" i="16"/>
  <c r="AD442" i="16" s="1"/>
  <c r="W442" i="16"/>
  <c r="AC442" i="16" s="1"/>
  <c r="V442" i="16"/>
  <c r="AB442" i="16" s="1"/>
  <c r="X441" i="16"/>
  <c r="AD441" i="16" s="1"/>
  <c r="W441" i="16"/>
  <c r="AC441" i="16" s="1"/>
  <c r="V441" i="16"/>
  <c r="AB441" i="16" s="1"/>
  <c r="X440" i="16"/>
  <c r="AD440" i="16" s="1"/>
  <c r="W440" i="16"/>
  <c r="AC440" i="16" s="1"/>
  <c r="V440" i="16"/>
  <c r="AB440" i="16" s="1"/>
  <c r="X439" i="16"/>
  <c r="AD439" i="16" s="1"/>
  <c r="W439" i="16"/>
  <c r="AC439" i="16" s="1"/>
  <c r="V439" i="16"/>
  <c r="AB439" i="16" s="1"/>
  <c r="X438" i="16"/>
  <c r="AD438" i="16" s="1"/>
  <c r="W438" i="16"/>
  <c r="AC438" i="16" s="1"/>
  <c r="V438" i="16"/>
  <c r="AB438" i="16" s="1"/>
  <c r="X437" i="16"/>
  <c r="AD437" i="16" s="1"/>
  <c r="W437" i="16"/>
  <c r="AC437" i="16" s="1"/>
  <c r="V437" i="16"/>
  <c r="AB437" i="16" s="1"/>
  <c r="X436" i="16"/>
  <c r="AD436" i="16" s="1"/>
  <c r="W436" i="16"/>
  <c r="AC436" i="16" s="1"/>
  <c r="V436" i="16"/>
  <c r="AB436" i="16" s="1"/>
  <c r="X435" i="16"/>
  <c r="AD435" i="16" s="1"/>
  <c r="W435" i="16"/>
  <c r="AC435" i="16" s="1"/>
  <c r="V435" i="16"/>
  <c r="AB435" i="16" s="1"/>
  <c r="X434" i="16"/>
  <c r="AD434" i="16" s="1"/>
  <c r="W434" i="16"/>
  <c r="AC434" i="16" s="1"/>
  <c r="V434" i="16"/>
  <c r="AB434" i="16" s="1"/>
  <c r="X433" i="16"/>
  <c r="AD433" i="16" s="1"/>
  <c r="W433" i="16"/>
  <c r="AC433" i="16" s="1"/>
  <c r="V433" i="16"/>
  <c r="AB433" i="16" s="1"/>
  <c r="X432" i="16"/>
  <c r="AD432" i="16" s="1"/>
  <c r="W432" i="16"/>
  <c r="AC432" i="16" s="1"/>
  <c r="V432" i="16"/>
  <c r="AB432" i="16" s="1"/>
  <c r="X431" i="16"/>
  <c r="AD431" i="16" s="1"/>
  <c r="W431" i="16"/>
  <c r="AC431" i="16" s="1"/>
  <c r="V431" i="16"/>
  <c r="AB431" i="16" s="1"/>
  <c r="X430" i="16"/>
  <c r="AD430" i="16" s="1"/>
  <c r="W430" i="16"/>
  <c r="AC430" i="16" s="1"/>
  <c r="V430" i="16"/>
  <c r="AB430" i="16" s="1"/>
  <c r="X429" i="16"/>
  <c r="AD429" i="16" s="1"/>
  <c r="W429" i="16"/>
  <c r="AC429" i="16" s="1"/>
  <c r="V429" i="16"/>
  <c r="AB429" i="16" s="1"/>
  <c r="X428" i="16"/>
  <c r="AD428" i="16" s="1"/>
  <c r="W428" i="16"/>
  <c r="AC428" i="16" s="1"/>
  <c r="V428" i="16"/>
  <c r="AB428" i="16" s="1"/>
  <c r="X427" i="16"/>
  <c r="AD427" i="16" s="1"/>
  <c r="W427" i="16"/>
  <c r="AC427" i="16" s="1"/>
  <c r="V427" i="16"/>
  <c r="AB427" i="16" s="1"/>
  <c r="X426" i="16"/>
  <c r="AD426" i="16" s="1"/>
  <c r="W426" i="16"/>
  <c r="AC426" i="16" s="1"/>
  <c r="V426" i="16"/>
  <c r="AB426" i="16" s="1"/>
  <c r="X425" i="16"/>
  <c r="AD425" i="16" s="1"/>
  <c r="W425" i="16"/>
  <c r="AC425" i="16" s="1"/>
  <c r="V425" i="16"/>
  <c r="AB425" i="16" s="1"/>
  <c r="X424" i="16"/>
  <c r="AD424" i="16" s="1"/>
  <c r="W424" i="16"/>
  <c r="AC424" i="16" s="1"/>
  <c r="V424" i="16"/>
  <c r="AB424" i="16" s="1"/>
  <c r="X423" i="16"/>
  <c r="AD423" i="16" s="1"/>
  <c r="W423" i="16"/>
  <c r="AC423" i="16" s="1"/>
  <c r="V423" i="16"/>
  <c r="AB423" i="16" s="1"/>
  <c r="X422" i="16"/>
  <c r="AD422" i="16" s="1"/>
  <c r="W422" i="16"/>
  <c r="AC422" i="16" s="1"/>
  <c r="V422" i="16"/>
  <c r="AB422" i="16" s="1"/>
  <c r="X421" i="16"/>
  <c r="AD421" i="16" s="1"/>
  <c r="W421" i="16"/>
  <c r="AC421" i="16" s="1"/>
  <c r="V421" i="16"/>
  <c r="AB421" i="16" s="1"/>
  <c r="X420" i="16"/>
  <c r="AD420" i="16" s="1"/>
  <c r="W420" i="16"/>
  <c r="AC420" i="16" s="1"/>
  <c r="V420" i="16"/>
  <c r="AB420" i="16" s="1"/>
  <c r="X419" i="16"/>
  <c r="AD419" i="16" s="1"/>
  <c r="W419" i="16"/>
  <c r="AC419" i="16" s="1"/>
  <c r="V419" i="16"/>
  <c r="AB419" i="16" s="1"/>
  <c r="X418" i="16"/>
  <c r="AD418" i="16" s="1"/>
  <c r="W418" i="16"/>
  <c r="AC418" i="16" s="1"/>
  <c r="V418" i="16"/>
  <c r="AB418" i="16" s="1"/>
  <c r="X417" i="16"/>
  <c r="AD417" i="16" s="1"/>
  <c r="W417" i="16"/>
  <c r="AC417" i="16" s="1"/>
  <c r="V417" i="16"/>
  <c r="AB417" i="16" s="1"/>
  <c r="X416" i="16"/>
  <c r="AD416" i="16" s="1"/>
  <c r="W416" i="16"/>
  <c r="AC416" i="16" s="1"/>
  <c r="V416" i="16"/>
  <c r="AB416" i="16" s="1"/>
  <c r="X415" i="16"/>
  <c r="AD415" i="16" s="1"/>
  <c r="W415" i="16"/>
  <c r="AC415" i="16" s="1"/>
  <c r="V415" i="16"/>
  <c r="AB415" i="16" s="1"/>
  <c r="X414" i="16"/>
  <c r="AD414" i="16" s="1"/>
  <c r="W414" i="16"/>
  <c r="AC414" i="16" s="1"/>
  <c r="V414" i="16"/>
  <c r="AB414" i="16" s="1"/>
  <c r="X413" i="16"/>
  <c r="AD413" i="16" s="1"/>
  <c r="W413" i="16"/>
  <c r="AC413" i="16" s="1"/>
  <c r="V413" i="16"/>
  <c r="AB413" i="16" s="1"/>
  <c r="X412" i="16"/>
  <c r="AD412" i="16" s="1"/>
  <c r="W412" i="16"/>
  <c r="AC412" i="16" s="1"/>
  <c r="V412" i="16"/>
  <c r="AB412" i="16" s="1"/>
  <c r="X411" i="16"/>
  <c r="AD411" i="16" s="1"/>
  <c r="W411" i="16"/>
  <c r="AC411" i="16" s="1"/>
  <c r="V411" i="16"/>
  <c r="AB411" i="16" s="1"/>
  <c r="X410" i="16"/>
  <c r="AD410" i="16" s="1"/>
  <c r="W410" i="16"/>
  <c r="AC410" i="16" s="1"/>
  <c r="V410" i="16"/>
  <c r="AB410" i="16" s="1"/>
  <c r="X409" i="16"/>
  <c r="AD409" i="16" s="1"/>
  <c r="W409" i="16"/>
  <c r="AC409" i="16" s="1"/>
  <c r="V409" i="16"/>
  <c r="AB409" i="16" s="1"/>
  <c r="X408" i="16"/>
  <c r="AD408" i="16" s="1"/>
  <c r="W408" i="16"/>
  <c r="AC408" i="16" s="1"/>
  <c r="V408" i="16"/>
  <c r="AB408" i="16" s="1"/>
  <c r="X407" i="16"/>
  <c r="AD407" i="16" s="1"/>
  <c r="W407" i="16"/>
  <c r="AC407" i="16" s="1"/>
  <c r="V407" i="16"/>
  <c r="AB407" i="16" s="1"/>
  <c r="X406" i="16"/>
  <c r="AD406" i="16" s="1"/>
  <c r="W406" i="16"/>
  <c r="AC406" i="16" s="1"/>
  <c r="V406" i="16"/>
  <c r="AB406" i="16" s="1"/>
  <c r="X405" i="16"/>
  <c r="AD405" i="16" s="1"/>
  <c r="W405" i="16"/>
  <c r="AC405" i="16" s="1"/>
  <c r="V405" i="16"/>
  <c r="AB405" i="16" s="1"/>
  <c r="X404" i="16"/>
  <c r="AD404" i="16" s="1"/>
  <c r="W404" i="16"/>
  <c r="AC404" i="16" s="1"/>
  <c r="V404" i="16"/>
  <c r="AB404" i="16" s="1"/>
  <c r="X403" i="16"/>
  <c r="AD403" i="16" s="1"/>
  <c r="W403" i="16"/>
  <c r="AC403" i="16" s="1"/>
  <c r="V403" i="16"/>
  <c r="AB403" i="16" s="1"/>
  <c r="X402" i="16"/>
  <c r="AD402" i="16" s="1"/>
  <c r="W402" i="16"/>
  <c r="AC402" i="16" s="1"/>
  <c r="V402" i="16"/>
  <c r="AB402" i="16" s="1"/>
  <c r="X401" i="16"/>
  <c r="AD401" i="16" s="1"/>
  <c r="W401" i="16"/>
  <c r="AC401" i="16" s="1"/>
  <c r="V401" i="16"/>
  <c r="AB401" i="16" s="1"/>
  <c r="X400" i="16"/>
  <c r="AD400" i="16" s="1"/>
  <c r="W400" i="16"/>
  <c r="AC400" i="16" s="1"/>
  <c r="V400" i="16"/>
  <c r="AB400" i="16" s="1"/>
  <c r="X399" i="16"/>
  <c r="AD399" i="16" s="1"/>
  <c r="W399" i="16"/>
  <c r="AC399" i="16" s="1"/>
  <c r="V399" i="16"/>
  <c r="AB399" i="16" s="1"/>
  <c r="X398" i="16"/>
  <c r="AD398" i="16" s="1"/>
  <c r="W398" i="16"/>
  <c r="AC398" i="16" s="1"/>
  <c r="V398" i="16"/>
  <c r="AB398" i="16" s="1"/>
  <c r="X397" i="16"/>
  <c r="AD397" i="16" s="1"/>
  <c r="W397" i="16"/>
  <c r="AC397" i="16" s="1"/>
  <c r="V397" i="16"/>
  <c r="AB397" i="16" s="1"/>
  <c r="X396" i="16"/>
  <c r="AD396" i="16" s="1"/>
  <c r="W396" i="16"/>
  <c r="AC396" i="16" s="1"/>
  <c r="V396" i="16"/>
  <c r="AB396" i="16" s="1"/>
  <c r="X395" i="16"/>
  <c r="AD395" i="16" s="1"/>
  <c r="W395" i="16"/>
  <c r="AC395" i="16" s="1"/>
  <c r="V395" i="16"/>
  <c r="AB395" i="16" s="1"/>
  <c r="X394" i="16"/>
  <c r="AD394" i="16" s="1"/>
  <c r="W394" i="16"/>
  <c r="AC394" i="16" s="1"/>
  <c r="V394" i="16"/>
  <c r="AB394" i="16" s="1"/>
  <c r="X393" i="16"/>
  <c r="AD393" i="16" s="1"/>
  <c r="W393" i="16"/>
  <c r="AC393" i="16" s="1"/>
  <c r="V393" i="16"/>
  <c r="AB393" i="16" s="1"/>
  <c r="X392" i="16"/>
  <c r="AD392" i="16" s="1"/>
  <c r="W392" i="16"/>
  <c r="AC392" i="16" s="1"/>
  <c r="V392" i="16"/>
  <c r="AB392" i="16" s="1"/>
  <c r="X391" i="16"/>
  <c r="AD391" i="16" s="1"/>
  <c r="W391" i="16"/>
  <c r="AC391" i="16" s="1"/>
  <c r="V391" i="16"/>
  <c r="AB391" i="16" s="1"/>
  <c r="X390" i="16"/>
  <c r="AD390" i="16" s="1"/>
  <c r="W390" i="16"/>
  <c r="AC390" i="16" s="1"/>
  <c r="V390" i="16"/>
  <c r="AB390" i="16" s="1"/>
  <c r="X389" i="16"/>
  <c r="AD389" i="16" s="1"/>
  <c r="W389" i="16"/>
  <c r="AC389" i="16" s="1"/>
  <c r="V389" i="16"/>
  <c r="AB389" i="16" s="1"/>
  <c r="X388" i="16"/>
  <c r="AD388" i="16" s="1"/>
  <c r="W388" i="16"/>
  <c r="AC388" i="16" s="1"/>
  <c r="V388" i="16"/>
  <c r="AB388" i="16" s="1"/>
  <c r="X387" i="16"/>
  <c r="AD387" i="16" s="1"/>
  <c r="W387" i="16"/>
  <c r="AC387" i="16" s="1"/>
  <c r="V387" i="16"/>
  <c r="AB387" i="16" s="1"/>
  <c r="X386" i="16"/>
  <c r="AD386" i="16" s="1"/>
  <c r="W386" i="16"/>
  <c r="AC386" i="16" s="1"/>
  <c r="V386" i="16"/>
  <c r="AB386" i="16" s="1"/>
  <c r="X385" i="16"/>
  <c r="AD385" i="16" s="1"/>
  <c r="W385" i="16"/>
  <c r="AC385" i="16" s="1"/>
  <c r="V385" i="16"/>
  <c r="AB385" i="16" s="1"/>
  <c r="X384" i="16"/>
  <c r="AD384" i="16" s="1"/>
  <c r="W384" i="16"/>
  <c r="AC384" i="16" s="1"/>
  <c r="V384" i="16"/>
  <c r="AB384" i="16" s="1"/>
  <c r="X383" i="16"/>
  <c r="AD383" i="16" s="1"/>
  <c r="W383" i="16"/>
  <c r="AC383" i="16" s="1"/>
  <c r="V383" i="16"/>
  <c r="AB383" i="16" s="1"/>
  <c r="X382" i="16"/>
  <c r="AD382" i="16" s="1"/>
  <c r="W382" i="16"/>
  <c r="AC382" i="16" s="1"/>
  <c r="V382" i="16"/>
  <c r="AB382" i="16" s="1"/>
  <c r="X381" i="16"/>
  <c r="AD381" i="16" s="1"/>
  <c r="W381" i="16"/>
  <c r="AC381" i="16" s="1"/>
  <c r="V381" i="16"/>
  <c r="AB381" i="16" s="1"/>
  <c r="X380" i="16"/>
  <c r="AD380" i="16" s="1"/>
  <c r="W380" i="16"/>
  <c r="AC380" i="16" s="1"/>
  <c r="V380" i="16"/>
  <c r="AB380" i="16" s="1"/>
  <c r="X379" i="16"/>
  <c r="AD379" i="16" s="1"/>
  <c r="W379" i="16"/>
  <c r="AC379" i="16" s="1"/>
  <c r="V379" i="16"/>
  <c r="AB379" i="16" s="1"/>
  <c r="X378" i="16"/>
  <c r="AD378" i="16" s="1"/>
  <c r="W378" i="16"/>
  <c r="AC378" i="16" s="1"/>
  <c r="V378" i="16"/>
  <c r="AB378" i="16" s="1"/>
  <c r="X377" i="16"/>
  <c r="AD377" i="16" s="1"/>
  <c r="W377" i="16"/>
  <c r="AC377" i="16" s="1"/>
  <c r="V377" i="16"/>
  <c r="AB377" i="16" s="1"/>
  <c r="X376" i="16"/>
  <c r="AD376" i="16" s="1"/>
  <c r="W376" i="16"/>
  <c r="AC376" i="16" s="1"/>
  <c r="V376" i="16"/>
  <c r="AB376" i="16" s="1"/>
  <c r="X375" i="16"/>
  <c r="AD375" i="16" s="1"/>
  <c r="W375" i="16"/>
  <c r="AC375" i="16" s="1"/>
  <c r="V375" i="16"/>
  <c r="AB375" i="16" s="1"/>
  <c r="X374" i="16"/>
  <c r="AD374" i="16" s="1"/>
  <c r="W374" i="16"/>
  <c r="AC374" i="16" s="1"/>
  <c r="V374" i="16"/>
  <c r="AB374" i="16" s="1"/>
  <c r="X373" i="16"/>
  <c r="AD373" i="16" s="1"/>
  <c r="W373" i="16"/>
  <c r="AC373" i="16" s="1"/>
  <c r="V373" i="16"/>
  <c r="AB373" i="16" s="1"/>
  <c r="X372" i="16"/>
  <c r="AD372" i="16" s="1"/>
  <c r="W372" i="16"/>
  <c r="AC372" i="16" s="1"/>
  <c r="V372" i="16"/>
  <c r="AB372" i="16" s="1"/>
  <c r="X371" i="16"/>
  <c r="AD371" i="16" s="1"/>
  <c r="W371" i="16"/>
  <c r="AC371" i="16" s="1"/>
  <c r="V371" i="16"/>
  <c r="AB371" i="16" s="1"/>
  <c r="X370" i="16"/>
  <c r="AD370" i="16" s="1"/>
  <c r="W370" i="16"/>
  <c r="AC370" i="16" s="1"/>
  <c r="V370" i="16"/>
  <c r="AB370" i="16" s="1"/>
  <c r="X369" i="16"/>
  <c r="AD369" i="16" s="1"/>
  <c r="W369" i="16"/>
  <c r="AC369" i="16" s="1"/>
  <c r="V369" i="16"/>
  <c r="AB369" i="16" s="1"/>
  <c r="X368" i="16"/>
  <c r="AD368" i="16" s="1"/>
  <c r="W368" i="16"/>
  <c r="AC368" i="16" s="1"/>
  <c r="V368" i="16"/>
  <c r="AB368" i="16" s="1"/>
  <c r="X367" i="16"/>
  <c r="AD367" i="16" s="1"/>
  <c r="W367" i="16"/>
  <c r="AC367" i="16" s="1"/>
  <c r="V367" i="16"/>
  <c r="AB367" i="16" s="1"/>
  <c r="X366" i="16"/>
  <c r="AD366" i="16" s="1"/>
  <c r="W366" i="16"/>
  <c r="AC366" i="16" s="1"/>
  <c r="V366" i="16"/>
  <c r="AB366" i="16" s="1"/>
  <c r="X365" i="16"/>
  <c r="AD365" i="16" s="1"/>
  <c r="W365" i="16"/>
  <c r="AC365" i="16" s="1"/>
  <c r="V365" i="16"/>
  <c r="AB365" i="16" s="1"/>
  <c r="X364" i="16"/>
  <c r="AD364" i="16" s="1"/>
  <c r="W364" i="16"/>
  <c r="AC364" i="16" s="1"/>
  <c r="V364" i="16"/>
  <c r="AB364" i="16" s="1"/>
  <c r="X363" i="16"/>
  <c r="AD363" i="16" s="1"/>
  <c r="W363" i="16"/>
  <c r="AC363" i="16" s="1"/>
  <c r="V363" i="16"/>
  <c r="AB363" i="16" s="1"/>
  <c r="X362" i="16"/>
  <c r="AD362" i="16" s="1"/>
  <c r="W362" i="16"/>
  <c r="AC362" i="16" s="1"/>
  <c r="V362" i="16"/>
  <c r="AB362" i="16" s="1"/>
  <c r="X361" i="16"/>
  <c r="AD361" i="16" s="1"/>
  <c r="W361" i="16"/>
  <c r="AC361" i="16" s="1"/>
  <c r="V361" i="16"/>
  <c r="AB361" i="16" s="1"/>
  <c r="X360" i="16"/>
  <c r="AD360" i="16" s="1"/>
  <c r="W360" i="16"/>
  <c r="AC360" i="16" s="1"/>
  <c r="V360" i="16"/>
  <c r="AB360" i="16" s="1"/>
  <c r="X359" i="16"/>
  <c r="AD359" i="16" s="1"/>
  <c r="W359" i="16"/>
  <c r="AC359" i="16" s="1"/>
  <c r="V359" i="16"/>
  <c r="AB359" i="16" s="1"/>
  <c r="X358" i="16"/>
  <c r="AD358" i="16" s="1"/>
  <c r="W358" i="16"/>
  <c r="AC358" i="16" s="1"/>
  <c r="V358" i="16"/>
  <c r="AB358" i="16" s="1"/>
  <c r="X357" i="16"/>
  <c r="AD357" i="16" s="1"/>
  <c r="W357" i="16"/>
  <c r="AC357" i="16" s="1"/>
  <c r="V357" i="16"/>
  <c r="AB357" i="16" s="1"/>
  <c r="X356" i="16"/>
  <c r="AD356" i="16" s="1"/>
  <c r="W356" i="16"/>
  <c r="AC356" i="16" s="1"/>
  <c r="V356" i="16"/>
  <c r="AB356" i="16" s="1"/>
  <c r="X355" i="16"/>
  <c r="AD355" i="16" s="1"/>
  <c r="W355" i="16"/>
  <c r="AC355" i="16" s="1"/>
  <c r="V355" i="16"/>
  <c r="AB355" i="16" s="1"/>
  <c r="X354" i="16"/>
  <c r="AD354" i="16" s="1"/>
  <c r="W354" i="16"/>
  <c r="AC354" i="16" s="1"/>
  <c r="V354" i="16"/>
  <c r="AB354" i="16" s="1"/>
  <c r="X353" i="16"/>
  <c r="AD353" i="16" s="1"/>
  <c r="W353" i="16"/>
  <c r="AC353" i="16" s="1"/>
  <c r="V353" i="16"/>
  <c r="AB353" i="16" s="1"/>
  <c r="X352" i="16"/>
  <c r="AD352" i="16" s="1"/>
  <c r="W352" i="16"/>
  <c r="AC352" i="16" s="1"/>
  <c r="V352" i="16"/>
  <c r="AB352" i="16" s="1"/>
  <c r="X351" i="16"/>
  <c r="AD351" i="16" s="1"/>
  <c r="W351" i="16"/>
  <c r="AC351" i="16" s="1"/>
  <c r="V351" i="16"/>
  <c r="AB351" i="16" s="1"/>
  <c r="X350" i="16"/>
  <c r="AD350" i="16" s="1"/>
  <c r="W350" i="16"/>
  <c r="AC350" i="16" s="1"/>
  <c r="V350" i="16"/>
  <c r="AB350" i="16" s="1"/>
  <c r="X349" i="16"/>
  <c r="AD349" i="16" s="1"/>
  <c r="W349" i="16"/>
  <c r="AC349" i="16" s="1"/>
  <c r="V349" i="16"/>
  <c r="AB349" i="16" s="1"/>
  <c r="X348" i="16"/>
  <c r="AD348" i="16" s="1"/>
  <c r="W348" i="16"/>
  <c r="AC348" i="16" s="1"/>
  <c r="V348" i="16"/>
  <c r="AB348" i="16" s="1"/>
  <c r="X347" i="16"/>
  <c r="AD347" i="16" s="1"/>
  <c r="W347" i="16"/>
  <c r="AC347" i="16" s="1"/>
  <c r="V347" i="16"/>
  <c r="AB347" i="16" s="1"/>
  <c r="X346" i="16"/>
  <c r="AD346" i="16" s="1"/>
  <c r="W346" i="16"/>
  <c r="AC346" i="16" s="1"/>
  <c r="V346" i="16"/>
  <c r="AB346" i="16" s="1"/>
  <c r="X345" i="16"/>
  <c r="AD345" i="16" s="1"/>
  <c r="W345" i="16"/>
  <c r="AC345" i="16" s="1"/>
  <c r="V345" i="16"/>
  <c r="AB345" i="16" s="1"/>
  <c r="X344" i="16"/>
  <c r="AD344" i="16" s="1"/>
  <c r="W344" i="16"/>
  <c r="AC344" i="16" s="1"/>
  <c r="V344" i="16"/>
  <c r="AB344" i="16" s="1"/>
  <c r="X343" i="16"/>
  <c r="AD343" i="16" s="1"/>
  <c r="W343" i="16"/>
  <c r="AC343" i="16" s="1"/>
  <c r="V343" i="16"/>
  <c r="AB343" i="16" s="1"/>
  <c r="X342" i="16"/>
  <c r="AD342" i="16" s="1"/>
  <c r="W342" i="16"/>
  <c r="AC342" i="16" s="1"/>
  <c r="V342" i="16"/>
  <c r="AB342" i="16" s="1"/>
  <c r="X341" i="16"/>
  <c r="AD341" i="16" s="1"/>
  <c r="W341" i="16"/>
  <c r="AC341" i="16" s="1"/>
  <c r="V341" i="16"/>
  <c r="AB341" i="16" s="1"/>
  <c r="X340" i="16"/>
  <c r="AD340" i="16" s="1"/>
  <c r="W340" i="16"/>
  <c r="AC340" i="16" s="1"/>
  <c r="V340" i="16"/>
  <c r="AB340" i="16" s="1"/>
  <c r="X339" i="16"/>
  <c r="AD339" i="16" s="1"/>
  <c r="W339" i="16"/>
  <c r="AC339" i="16" s="1"/>
  <c r="V339" i="16"/>
  <c r="AB339" i="16" s="1"/>
  <c r="X338" i="16"/>
  <c r="AD338" i="16" s="1"/>
  <c r="W338" i="16"/>
  <c r="AC338" i="16" s="1"/>
  <c r="V338" i="16"/>
  <c r="AB338" i="16" s="1"/>
  <c r="X337" i="16"/>
  <c r="AD337" i="16" s="1"/>
  <c r="W337" i="16"/>
  <c r="AC337" i="16" s="1"/>
  <c r="V337" i="16"/>
  <c r="AB337" i="16" s="1"/>
  <c r="X336" i="16"/>
  <c r="AD336" i="16" s="1"/>
  <c r="W336" i="16"/>
  <c r="AC336" i="16" s="1"/>
  <c r="V336" i="16"/>
  <c r="AB336" i="16" s="1"/>
  <c r="X335" i="16"/>
  <c r="AD335" i="16" s="1"/>
  <c r="W335" i="16"/>
  <c r="AC335" i="16" s="1"/>
  <c r="V335" i="16"/>
  <c r="AB335" i="16" s="1"/>
  <c r="X334" i="16"/>
  <c r="AD334" i="16" s="1"/>
  <c r="W334" i="16"/>
  <c r="AC334" i="16" s="1"/>
  <c r="V334" i="16"/>
  <c r="AB334" i="16" s="1"/>
  <c r="X333" i="16"/>
  <c r="AD333" i="16" s="1"/>
  <c r="W333" i="16"/>
  <c r="AC333" i="16" s="1"/>
  <c r="V333" i="16"/>
  <c r="AB333" i="16" s="1"/>
  <c r="X332" i="16"/>
  <c r="AD332" i="16" s="1"/>
  <c r="W332" i="16"/>
  <c r="AC332" i="16" s="1"/>
  <c r="V332" i="16"/>
  <c r="AB332" i="16" s="1"/>
  <c r="X331" i="16"/>
  <c r="AD331" i="16" s="1"/>
  <c r="W331" i="16"/>
  <c r="AC331" i="16" s="1"/>
  <c r="V331" i="16"/>
  <c r="AB331" i="16" s="1"/>
  <c r="X330" i="16"/>
  <c r="AD330" i="16" s="1"/>
  <c r="W330" i="16"/>
  <c r="AC330" i="16" s="1"/>
  <c r="V330" i="16"/>
  <c r="AB330" i="16" s="1"/>
  <c r="X329" i="16"/>
  <c r="AD329" i="16" s="1"/>
  <c r="W329" i="16"/>
  <c r="AC329" i="16" s="1"/>
  <c r="V329" i="16"/>
  <c r="AB329" i="16" s="1"/>
  <c r="X328" i="16"/>
  <c r="AD328" i="16" s="1"/>
  <c r="W328" i="16"/>
  <c r="AC328" i="16" s="1"/>
  <c r="V328" i="16"/>
  <c r="AB328" i="16" s="1"/>
  <c r="X327" i="16"/>
  <c r="AD327" i="16" s="1"/>
  <c r="W327" i="16"/>
  <c r="AC327" i="16" s="1"/>
  <c r="V327" i="16"/>
  <c r="AB327" i="16" s="1"/>
  <c r="X326" i="16"/>
  <c r="AD326" i="16" s="1"/>
  <c r="W326" i="16"/>
  <c r="AC326" i="16" s="1"/>
  <c r="V326" i="16"/>
  <c r="AB326" i="16" s="1"/>
  <c r="X325" i="16"/>
  <c r="AD325" i="16" s="1"/>
  <c r="W325" i="16"/>
  <c r="AC325" i="16" s="1"/>
  <c r="V325" i="16"/>
  <c r="AB325" i="16" s="1"/>
  <c r="X324" i="16"/>
  <c r="AD324" i="16" s="1"/>
  <c r="W324" i="16"/>
  <c r="AC324" i="16" s="1"/>
  <c r="V324" i="16"/>
  <c r="AB324" i="16" s="1"/>
  <c r="X323" i="16"/>
  <c r="AD323" i="16" s="1"/>
  <c r="W323" i="16"/>
  <c r="AC323" i="16" s="1"/>
  <c r="V323" i="16"/>
  <c r="AB323" i="16" s="1"/>
  <c r="X322" i="16"/>
  <c r="AD322" i="16" s="1"/>
  <c r="W322" i="16"/>
  <c r="AC322" i="16" s="1"/>
  <c r="V322" i="16"/>
  <c r="AB322" i="16" s="1"/>
  <c r="X321" i="16"/>
  <c r="AD321" i="16" s="1"/>
  <c r="W321" i="16"/>
  <c r="AC321" i="16" s="1"/>
  <c r="V321" i="16"/>
  <c r="AB321" i="16" s="1"/>
  <c r="X320" i="16"/>
  <c r="AD320" i="16" s="1"/>
  <c r="W320" i="16"/>
  <c r="AC320" i="16" s="1"/>
  <c r="V320" i="16"/>
  <c r="AB320" i="16" s="1"/>
  <c r="X319" i="16"/>
  <c r="AD319" i="16" s="1"/>
  <c r="W319" i="16"/>
  <c r="AC319" i="16" s="1"/>
  <c r="V319" i="16"/>
  <c r="AB319" i="16" s="1"/>
  <c r="X318" i="16"/>
  <c r="AD318" i="16" s="1"/>
  <c r="W318" i="16"/>
  <c r="AC318" i="16" s="1"/>
  <c r="V318" i="16"/>
  <c r="AB318" i="16" s="1"/>
  <c r="X317" i="16"/>
  <c r="AD317" i="16" s="1"/>
  <c r="W317" i="16"/>
  <c r="AC317" i="16" s="1"/>
  <c r="V317" i="16"/>
  <c r="AB317" i="16" s="1"/>
  <c r="X316" i="16"/>
  <c r="AD316" i="16" s="1"/>
  <c r="W316" i="16"/>
  <c r="AC316" i="16" s="1"/>
  <c r="V316" i="16"/>
  <c r="AB316" i="16" s="1"/>
  <c r="X315" i="16"/>
  <c r="AD315" i="16" s="1"/>
  <c r="W315" i="16"/>
  <c r="AC315" i="16" s="1"/>
  <c r="V315" i="16"/>
  <c r="AB315" i="16" s="1"/>
  <c r="X314" i="16"/>
  <c r="AD314" i="16" s="1"/>
  <c r="W314" i="16"/>
  <c r="AC314" i="16" s="1"/>
  <c r="V314" i="16"/>
  <c r="AB314" i="16" s="1"/>
  <c r="X313" i="16"/>
  <c r="AD313" i="16" s="1"/>
  <c r="W313" i="16"/>
  <c r="AC313" i="16" s="1"/>
  <c r="V313" i="16"/>
  <c r="AB313" i="16" s="1"/>
  <c r="X312" i="16"/>
  <c r="AD312" i="16" s="1"/>
  <c r="W312" i="16"/>
  <c r="AC312" i="16" s="1"/>
  <c r="V312" i="16"/>
  <c r="AB312" i="16" s="1"/>
  <c r="X311" i="16"/>
  <c r="AD311" i="16" s="1"/>
  <c r="W311" i="16"/>
  <c r="AC311" i="16" s="1"/>
  <c r="V311" i="16"/>
  <c r="AB311" i="16" s="1"/>
  <c r="X310" i="16"/>
  <c r="AD310" i="16" s="1"/>
  <c r="W310" i="16"/>
  <c r="AC310" i="16" s="1"/>
  <c r="V310" i="16"/>
  <c r="AB310" i="16" s="1"/>
  <c r="X309" i="16"/>
  <c r="AD309" i="16" s="1"/>
  <c r="W309" i="16"/>
  <c r="AC309" i="16" s="1"/>
  <c r="V309" i="16"/>
  <c r="AB309" i="16" s="1"/>
  <c r="X308" i="16"/>
  <c r="AD308" i="16" s="1"/>
  <c r="W308" i="16"/>
  <c r="AC308" i="16" s="1"/>
  <c r="V308" i="16"/>
  <c r="AB308" i="16" s="1"/>
  <c r="X307" i="16"/>
  <c r="AD307" i="16" s="1"/>
  <c r="W307" i="16"/>
  <c r="AC307" i="16" s="1"/>
  <c r="V307" i="16"/>
  <c r="AB307" i="16" s="1"/>
  <c r="X306" i="16"/>
  <c r="AD306" i="16" s="1"/>
  <c r="W306" i="16"/>
  <c r="AC306" i="16" s="1"/>
  <c r="V306" i="16"/>
  <c r="AB306" i="16" s="1"/>
  <c r="X305" i="16"/>
  <c r="AD305" i="16" s="1"/>
  <c r="W305" i="16"/>
  <c r="AC305" i="16" s="1"/>
  <c r="V305" i="16"/>
  <c r="AB305" i="16" s="1"/>
  <c r="X304" i="16"/>
  <c r="AD304" i="16" s="1"/>
  <c r="W304" i="16"/>
  <c r="AC304" i="16" s="1"/>
  <c r="V304" i="16"/>
  <c r="AB304" i="16" s="1"/>
  <c r="X303" i="16"/>
  <c r="AD303" i="16" s="1"/>
  <c r="W303" i="16"/>
  <c r="AC303" i="16" s="1"/>
  <c r="V303" i="16"/>
  <c r="AB303" i="16" s="1"/>
  <c r="X302" i="16"/>
  <c r="AD302" i="16" s="1"/>
  <c r="W302" i="16"/>
  <c r="AC302" i="16" s="1"/>
  <c r="V302" i="16"/>
  <c r="AB302" i="16" s="1"/>
  <c r="X301" i="16"/>
  <c r="AD301" i="16" s="1"/>
  <c r="W301" i="16"/>
  <c r="AC301" i="16" s="1"/>
  <c r="V301" i="16"/>
  <c r="AB301" i="16" s="1"/>
  <c r="X300" i="16"/>
  <c r="AD300" i="16" s="1"/>
  <c r="W300" i="16"/>
  <c r="AC300" i="16" s="1"/>
  <c r="V300" i="16"/>
  <c r="AB300" i="16" s="1"/>
  <c r="X299" i="16"/>
  <c r="AD299" i="16" s="1"/>
  <c r="W299" i="16"/>
  <c r="AC299" i="16" s="1"/>
  <c r="V299" i="16"/>
  <c r="AB299" i="16" s="1"/>
  <c r="X298" i="16"/>
  <c r="AD298" i="16" s="1"/>
  <c r="W298" i="16"/>
  <c r="AC298" i="16" s="1"/>
  <c r="V298" i="16"/>
  <c r="AB298" i="16" s="1"/>
  <c r="X297" i="16"/>
  <c r="AD297" i="16" s="1"/>
  <c r="W297" i="16"/>
  <c r="AC297" i="16" s="1"/>
  <c r="V297" i="16"/>
  <c r="AB297" i="16" s="1"/>
  <c r="X296" i="16"/>
  <c r="AD296" i="16" s="1"/>
  <c r="W296" i="16"/>
  <c r="AC296" i="16" s="1"/>
  <c r="V296" i="16"/>
  <c r="AB296" i="16" s="1"/>
  <c r="X295" i="16"/>
  <c r="AD295" i="16" s="1"/>
  <c r="W295" i="16"/>
  <c r="AC295" i="16" s="1"/>
  <c r="V295" i="16"/>
  <c r="AB295" i="16" s="1"/>
  <c r="X294" i="16"/>
  <c r="AD294" i="16" s="1"/>
  <c r="W294" i="16"/>
  <c r="AC294" i="16" s="1"/>
  <c r="V294" i="16"/>
  <c r="AB294" i="16" s="1"/>
  <c r="X293" i="16"/>
  <c r="AD293" i="16" s="1"/>
  <c r="W293" i="16"/>
  <c r="AC293" i="16" s="1"/>
  <c r="V293" i="16"/>
  <c r="AB293" i="16" s="1"/>
  <c r="X292" i="16"/>
  <c r="AD292" i="16" s="1"/>
  <c r="W292" i="16"/>
  <c r="AC292" i="16" s="1"/>
  <c r="V292" i="16"/>
  <c r="AB292" i="16" s="1"/>
  <c r="X291" i="16"/>
  <c r="AD291" i="16" s="1"/>
  <c r="W291" i="16"/>
  <c r="AC291" i="16" s="1"/>
  <c r="V291" i="16"/>
  <c r="AB291" i="16" s="1"/>
  <c r="X290" i="16"/>
  <c r="AD290" i="16" s="1"/>
  <c r="W290" i="16"/>
  <c r="AC290" i="16" s="1"/>
  <c r="V290" i="16"/>
  <c r="AB290" i="16" s="1"/>
  <c r="X289" i="16"/>
  <c r="AD289" i="16" s="1"/>
  <c r="W289" i="16"/>
  <c r="AC289" i="16" s="1"/>
  <c r="V289" i="16"/>
  <c r="AB289" i="16" s="1"/>
  <c r="X288" i="16"/>
  <c r="AD288" i="16" s="1"/>
  <c r="W288" i="16"/>
  <c r="AC288" i="16" s="1"/>
  <c r="V288" i="16"/>
  <c r="AB288" i="16" s="1"/>
  <c r="X287" i="16"/>
  <c r="AD287" i="16" s="1"/>
  <c r="W287" i="16"/>
  <c r="AC287" i="16" s="1"/>
  <c r="V287" i="16"/>
  <c r="AB287" i="16" s="1"/>
  <c r="X286" i="16"/>
  <c r="AD286" i="16" s="1"/>
  <c r="W286" i="16"/>
  <c r="AC286" i="16" s="1"/>
  <c r="V286" i="16"/>
  <c r="AB286" i="16" s="1"/>
  <c r="X285" i="16"/>
  <c r="AD285" i="16" s="1"/>
  <c r="W285" i="16"/>
  <c r="AC285" i="16" s="1"/>
  <c r="V285" i="16"/>
  <c r="AB285" i="16" s="1"/>
  <c r="X284" i="16"/>
  <c r="AD284" i="16" s="1"/>
  <c r="W284" i="16"/>
  <c r="AC284" i="16" s="1"/>
  <c r="V284" i="16"/>
  <c r="AB284" i="16" s="1"/>
  <c r="X283" i="16"/>
  <c r="AD283" i="16" s="1"/>
  <c r="W283" i="16"/>
  <c r="AC283" i="16" s="1"/>
  <c r="V283" i="16"/>
  <c r="AB283" i="16" s="1"/>
  <c r="X282" i="16"/>
  <c r="AD282" i="16" s="1"/>
  <c r="W282" i="16"/>
  <c r="AC282" i="16" s="1"/>
  <c r="V282" i="16"/>
  <c r="AB282" i="16" s="1"/>
  <c r="X281" i="16"/>
  <c r="AD281" i="16" s="1"/>
  <c r="W281" i="16"/>
  <c r="AC281" i="16" s="1"/>
  <c r="V281" i="16"/>
  <c r="AB281" i="16" s="1"/>
  <c r="X280" i="16"/>
  <c r="AD280" i="16" s="1"/>
  <c r="W280" i="16"/>
  <c r="AC280" i="16" s="1"/>
  <c r="V280" i="16"/>
  <c r="AB280" i="16" s="1"/>
  <c r="X279" i="16"/>
  <c r="AD279" i="16" s="1"/>
  <c r="W279" i="16"/>
  <c r="AC279" i="16" s="1"/>
  <c r="V279" i="16"/>
  <c r="AB279" i="16" s="1"/>
  <c r="X278" i="16"/>
  <c r="AD278" i="16" s="1"/>
  <c r="W278" i="16"/>
  <c r="AC278" i="16" s="1"/>
  <c r="V278" i="16"/>
  <c r="AB278" i="16" s="1"/>
  <c r="X277" i="16"/>
  <c r="AD277" i="16" s="1"/>
  <c r="W277" i="16"/>
  <c r="AC277" i="16" s="1"/>
  <c r="V277" i="16"/>
  <c r="AB277" i="16" s="1"/>
  <c r="X276" i="16"/>
  <c r="AD276" i="16" s="1"/>
  <c r="W276" i="16"/>
  <c r="AC276" i="16" s="1"/>
  <c r="V276" i="16"/>
  <c r="AB276" i="16" s="1"/>
  <c r="X275" i="16"/>
  <c r="AD275" i="16" s="1"/>
  <c r="W275" i="16"/>
  <c r="AC275" i="16" s="1"/>
  <c r="V275" i="16"/>
  <c r="AB275" i="16" s="1"/>
  <c r="X274" i="16"/>
  <c r="AD274" i="16" s="1"/>
  <c r="W274" i="16"/>
  <c r="AC274" i="16" s="1"/>
  <c r="V274" i="16"/>
  <c r="AB274" i="16" s="1"/>
  <c r="X273" i="16"/>
  <c r="AD273" i="16" s="1"/>
  <c r="W273" i="16"/>
  <c r="AC273" i="16" s="1"/>
  <c r="V273" i="16"/>
  <c r="AB273" i="16" s="1"/>
  <c r="X272" i="16"/>
  <c r="AD272" i="16" s="1"/>
  <c r="W272" i="16"/>
  <c r="AC272" i="16" s="1"/>
  <c r="V272" i="16"/>
  <c r="AB272" i="16" s="1"/>
  <c r="V271" i="16"/>
  <c r="AB271" i="16" s="1"/>
  <c r="V270" i="16"/>
  <c r="AB270" i="16" s="1"/>
  <c r="V269" i="16"/>
  <c r="AB269" i="16" s="1"/>
  <c r="V268" i="16"/>
  <c r="AB268" i="16" s="1"/>
  <c r="V267" i="16"/>
  <c r="AB267" i="16" s="1"/>
  <c r="V266" i="16"/>
  <c r="AB266" i="16" s="1"/>
  <c r="V265" i="16"/>
  <c r="AB265" i="16" s="1"/>
  <c r="V264" i="16"/>
  <c r="AB264" i="16" s="1"/>
  <c r="V263" i="16"/>
  <c r="AB263" i="16" s="1"/>
  <c r="V262" i="16"/>
  <c r="AB262" i="16" s="1"/>
  <c r="V261" i="16"/>
  <c r="AB261" i="16" s="1"/>
  <c r="V260" i="16"/>
  <c r="AB260" i="16" s="1"/>
  <c r="X259" i="16"/>
  <c r="AD259" i="16" s="1"/>
  <c r="W259" i="16"/>
  <c r="AC259" i="16" s="1"/>
  <c r="X258" i="16"/>
  <c r="AD258" i="16" s="1"/>
  <c r="W258" i="16"/>
  <c r="AC258" i="16" s="1"/>
  <c r="X257" i="16"/>
  <c r="AD257" i="16" s="1"/>
  <c r="W257" i="16"/>
  <c r="AC257" i="16" s="1"/>
  <c r="X256" i="16"/>
  <c r="AD256" i="16" s="1"/>
  <c r="W256" i="16"/>
  <c r="AC256" i="16" s="1"/>
  <c r="X255" i="16"/>
  <c r="AD255" i="16" s="1"/>
  <c r="W255" i="16"/>
  <c r="AC255" i="16" s="1"/>
  <c r="X254" i="16"/>
  <c r="AD254" i="16" s="1"/>
  <c r="W254" i="16"/>
  <c r="AC254" i="16" s="1"/>
  <c r="X253" i="16"/>
  <c r="AD253" i="16" s="1"/>
  <c r="W253" i="16"/>
  <c r="AC253" i="16" s="1"/>
  <c r="X252" i="16"/>
  <c r="AD252" i="16" s="1"/>
  <c r="W252" i="16"/>
  <c r="AC252" i="16" s="1"/>
  <c r="X251" i="16"/>
  <c r="AD251" i="16" s="1"/>
  <c r="W251" i="16"/>
  <c r="AC251" i="16" s="1"/>
  <c r="X250" i="16"/>
  <c r="AD250" i="16" s="1"/>
  <c r="W250" i="16"/>
  <c r="AC250" i="16" s="1"/>
  <c r="X249" i="16"/>
  <c r="AD249" i="16" s="1"/>
  <c r="W249" i="16"/>
  <c r="AC249" i="16" s="1"/>
  <c r="X248" i="16"/>
  <c r="AD248" i="16" s="1"/>
  <c r="W248" i="16"/>
  <c r="AC248" i="16" s="1"/>
  <c r="V247" i="16"/>
  <c r="AB247" i="16" s="1"/>
  <c r="V246" i="16"/>
  <c r="AB246" i="16" s="1"/>
  <c r="V245" i="16"/>
  <c r="AB245" i="16" s="1"/>
  <c r="V244" i="16"/>
  <c r="AB244" i="16" s="1"/>
  <c r="V243" i="16"/>
  <c r="AB243" i="16" s="1"/>
  <c r="V242" i="16"/>
  <c r="AB242" i="16" s="1"/>
  <c r="V241" i="16"/>
  <c r="AB241" i="16" s="1"/>
  <c r="V240" i="16"/>
  <c r="AB240" i="16" s="1"/>
  <c r="V239" i="16"/>
  <c r="AB239" i="16" s="1"/>
  <c r="V238" i="16"/>
  <c r="AB238" i="16" s="1"/>
  <c r="V237" i="16"/>
  <c r="AB237" i="16" s="1"/>
  <c r="V236" i="16"/>
  <c r="AB236" i="16" s="1"/>
  <c r="V235" i="16"/>
  <c r="AB235" i="16" s="1"/>
  <c r="V234" i="16"/>
  <c r="AB234" i="16" s="1"/>
  <c r="V233" i="16"/>
  <c r="AB233" i="16" s="1"/>
  <c r="V232" i="16"/>
  <c r="AB232" i="16" s="1"/>
  <c r="V231" i="16"/>
  <c r="AB231" i="16" s="1"/>
  <c r="V230" i="16"/>
  <c r="AB230" i="16" s="1"/>
  <c r="V229" i="16"/>
  <c r="AB229" i="16" s="1"/>
  <c r="V228" i="16"/>
  <c r="AB228" i="16" s="1"/>
  <c r="V227" i="16"/>
  <c r="AB227" i="16" s="1"/>
  <c r="V226" i="16"/>
  <c r="AB226" i="16" s="1"/>
  <c r="V225" i="16"/>
  <c r="AB225" i="16" s="1"/>
  <c r="V224" i="16"/>
  <c r="AB224" i="16" s="1"/>
  <c r="X223" i="16"/>
  <c r="AD223" i="16" s="1"/>
  <c r="W223" i="16"/>
  <c r="AC223" i="16" s="1"/>
  <c r="X222" i="16"/>
  <c r="AD222" i="16" s="1"/>
  <c r="W222" i="16"/>
  <c r="AC222" i="16" s="1"/>
  <c r="X221" i="16"/>
  <c r="AD221" i="16" s="1"/>
  <c r="W221" i="16"/>
  <c r="AC221" i="16" s="1"/>
  <c r="X220" i="16"/>
  <c r="AD220" i="16" s="1"/>
  <c r="W220" i="16"/>
  <c r="AC220" i="16" s="1"/>
  <c r="X219" i="16"/>
  <c r="AD219" i="16" s="1"/>
  <c r="W219" i="16"/>
  <c r="AC219" i="16" s="1"/>
  <c r="X218" i="16"/>
  <c r="AD218" i="16" s="1"/>
  <c r="W218" i="16"/>
  <c r="AC218" i="16" s="1"/>
  <c r="X217" i="16"/>
  <c r="AD217" i="16" s="1"/>
  <c r="W217" i="16"/>
  <c r="AC217" i="16" s="1"/>
  <c r="X216" i="16"/>
  <c r="AD216" i="16" s="1"/>
  <c r="W216" i="16"/>
  <c r="AC216" i="16" s="1"/>
  <c r="X215" i="16"/>
  <c r="AD215" i="16" s="1"/>
  <c r="W215" i="16"/>
  <c r="AC215" i="16" s="1"/>
  <c r="X214" i="16"/>
  <c r="AD214" i="16" s="1"/>
  <c r="W214" i="16"/>
  <c r="AC214" i="16" s="1"/>
  <c r="X213" i="16"/>
  <c r="AD213" i="16" s="1"/>
  <c r="W213" i="16"/>
  <c r="AC213" i="16" s="1"/>
  <c r="X212" i="16"/>
  <c r="AD212" i="16" s="1"/>
  <c r="W212" i="16"/>
  <c r="AC212" i="16" s="1"/>
  <c r="V211" i="16"/>
  <c r="AB211" i="16" s="1"/>
  <c r="V210" i="16"/>
  <c r="AB210" i="16" s="1"/>
  <c r="V209" i="16"/>
  <c r="AB209" i="16" s="1"/>
  <c r="V208" i="16"/>
  <c r="AB208" i="16" s="1"/>
  <c r="V207" i="16"/>
  <c r="AB207" i="16" s="1"/>
  <c r="V206" i="16"/>
  <c r="AB206" i="16" s="1"/>
  <c r="V205" i="16"/>
  <c r="AB205" i="16" s="1"/>
  <c r="V204" i="16"/>
  <c r="AB204" i="16" s="1"/>
  <c r="V203" i="16"/>
  <c r="AB203" i="16" s="1"/>
  <c r="V202" i="16"/>
  <c r="AB202" i="16" s="1"/>
  <c r="V201" i="16"/>
  <c r="AB201" i="16" s="1"/>
  <c r="V200" i="16"/>
  <c r="AB200" i="16" s="1"/>
  <c r="X199" i="16"/>
  <c r="AD199" i="16" s="1"/>
  <c r="W199" i="16"/>
  <c r="AC199" i="16" s="1"/>
  <c r="V199" i="16"/>
  <c r="AB199" i="16" s="1"/>
  <c r="X198" i="16"/>
  <c r="AD198" i="16" s="1"/>
  <c r="W198" i="16"/>
  <c r="AC198" i="16" s="1"/>
  <c r="V198" i="16"/>
  <c r="AB198" i="16" s="1"/>
  <c r="X197" i="16"/>
  <c r="AD197" i="16" s="1"/>
  <c r="W197" i="16"/>
  <c r="AC197" i="16" s="1"/>
  <c r="V197" i="16"/>
  <c r="AB197" i="16" s="1"/>
  <c r="X196" i="16"/>
  <c r="AD196" i="16" s="1"/>
  <c r="W196" i="16"/>
  <c r="AC196" i="16" s="1"/>
  <c r="V196" i="16"/>
  <c r="AB196" i="16" s="1"/>
  <c r="X195" i="16"/>
  <c r="AD195" i="16" s="1"/>
  <c r="W195" i="16"/>
  <c r="AC195" i="16" s="1"/>
  <c r="V195" i="16"/>
  <c r="AB195" i="16" s="1"/>
  <c r="X194" i="16"/>
  <c r="AD194" i="16" s="1"/>
  <c r="W194" i="16"/>
  <c r="AC194" i="16" s="1"/>
  <c r="V194" i="16"/>
  <c r="AB194" i="16" s="1"/>
  <c r="X193" i="16"/>
  <c r="AD193" i="16" s="1"/>
  <c r="W193" i="16"/>
  <c r="AC193" i="16" s="1"/>
  <c r="V193" i="16"/>
  <c r="AB193" i="16" s="1"/>
  <c r="X192" i="16"/>
  <c r="AD192" i="16" s="1"/>
  <c r="W192" i="16"/>
  <c r="AC192" i="16" s="1"/>
  <c r="V192" i="16"/>
  <c r="AB192" i="16" s="1"/>
  <c r="X191" i="16"/>
  <c r="AD191" i="16" s="1"/>
  <c r="W191" i="16"/>
  <c r="AC191" i="16" s="1"/>
  <c r="V191" i="16"/>
  <c r="AB191" i="16" s="1"/>
  <c r="X190" i="16"/>
  <c r="AD190" i="16" s="1"/>
  <c r="W190" i="16"/>
  <c r="AC190" i="16" s="1"/>
  <c r="V190" i="16"/>
  <c r="AB190" i="16" s="1"/>
  <c r="X189" i="16"/>
  <c r="AD189" i="16" s="1"/>
  <c r="W189" i="16"/>
  <c r="AC189" i="16" s="1"/>
  <c r="V189" i="16"/>
  <c r="AB189" i="16" s="1"/>
  <c r="X188" i="16"/>
  <c r="AD188" i="16" s="1"/>
  <c r="W188" i="16"/>
  <c r="AC188" i="16" s="1"/>
  <c r="V188" i="16"/>
  <c r="AB188" i="16" s="1"/>
  <c r="X187" i="16"/>
  <c r="AD187" i="16" s="1"/>
  <c r="W187" i="16"/>
  <c r="AC187" i="16" s="1"/>
  <c r="V187" i="16"/>
  <c r="AB187" i="16" s="1"/>
  <c r="X186" i="16"/>
  <c r="AD186" i="16" s="1"/>
  <c r="W186" i="16"/>
  <c r="AC186" i="16" s="1"/>
  <c r="V186" i="16"/>
  <c r="AB186" i="16" s="1"/>
  <c r="X185" i="16"/>
  <c r="AD185" i="16" s="1"/>
  <c r="W185" i="16"/>
  <c r="AC185" i="16" s="1"/>
  <c r="V185" i="16"/>
  <c r="AB185" i="16" s="1"/>
  <c r="X184" i="16"/>
  <c r="AD184" i="16" s="1"/>
  <c r="W184" i="16"/>
  <c r="AC184" i="16" s="1"/>
  <c r="V184" i="16"/>
  <c r="AB184" i="16" s="1"/>
  <c r="X183" i="16"/>
  <c r="AD183" i="16" s="1"/>
  <c r="W183" i="16"/>
  <c r="AC183" i="16" s="1"/>
  <c r="V183" i="16"/>
  <c r="AB183" i="16" s="1"/>
  <c r="X182" i="16"/>
  <c r="AD182" i="16" s="1"/>
  <c r="W182" i="16"/>
  <c r="AC182" i="16" s="1"/>
  <c r="V182" i="16"/>
  <c r="AB182" i="16" s="1"/>
  <c r="X181" i="16"/>
  <c r="AD181" i="16" s="1"/>
  <c r="W181" i="16"/>
  <c r="AC181" i="16" s="1"/>
  <c r="V181" i="16"/>
  <c r="AB181" i="16" s="1"/>
  <c r="X180" i="16"/>
  <c r="AD180" i="16" s="1"/>
  <c r="W180" i="16"/>
  <c r="AC180" i="16" s="1"/>
  <c r="V180" i="16"/>
  <c r="AB180" i="16" s="1"/>
  <c r="X179" i="16"/>
  <c r="AD179" i="16" s="1"/>
  <c r="W179" i="16"/>
  <c r="AC179" i="16" s="1"/>
  <c r="V179" i="16"/>
  <c r="AB179" i="16" s="1"/>
  <c r="X178" i="16"/>
  <c r="AD178" i="16" s="1"/>
  <c r="W178" i="16"/>
  <c r="AC178" i="16" s="1"/>
  <c r="V178" i="16"/>
  <c r="AB178" i="16" s="1"/>
  <c r="X177" i="16"/>
  <c r="AD177" i="16" s="1"/>
  <c r="W177" i="16"/>
  <c r="AC177" i="16" s="1"/>
  <c r="V177" i="16"/>
  <c r="AB177" i="16" s="1"/>
  <c r="X176" i="16"/>
  <c r="AD176" i="16" s="1"/>
  <c r="W176" i="16"/>
  <c r="AC176" i="16" s="1"/>
  <c r="V176" i="16"/>
  <c r="AB176" i="16" s="1"/>
  <c r="X175" i="16"/>
  <c r="AD175" i="16" s="1"/>
  <c r="W175" i="16"/>
  <c r="AC175" i="16" s="1"/>
  <c r="V175" i="16"/>
  <c r="AB175" i="16" s="1"/>
  <c r="X174" i="16"/>
  <c r="AD174" i="16" s="1"/>
  <c r="W174" i="16"/>
  <c r="AC174" i="16" s="1"/>
  <c r="V174" i="16"/>
  <c r="AB174" i="16" s="1"/>
  <c r="X173" i="16"/>
  <c r="AD173" i="16" s="1"/>
  <c r="W173" i="16"/>
  <c r="AC173" i="16" s="1"/>
  <c r="V173" i="16"/>
  <c r="AB173" i="16" s="1"/>
  <c r="X172" i="16"/>
  <c r="AD172" i="16" s="1"/>
  <c r="W172" i="16"/>
  <c r="AC172" i="16" s="1"/>
  <c r="V172" i="16"/>
  <c r="AB172" i="16" s="1"/>
  <c r="X171" i="16"/>
  <c r="AD171" i="16" s="1"/>
  <c r="W171" i="16"/>
  <c r="AC171" i="16" s="1"/>
  <c r="V171" i="16"/>
  <c r="AB171" i="16" s="1"/>
  <c r="X170" i="16"/>
  <c r="AD170" i="16" s="1"/>
  <c r="W170" i="16"/>
  <c r="AC170" i="16" s="1"/>
  <c r="V170" i="16"/>
  <c r="AB170" i="16" s="1"/>
  <c r="X169" i="16"/>
  <c r="AD169" i="16" s="1"/>
  <c r="W169" i="16"/>
  <c r="AC169" i="16" s="1"/>
  <c r="V169" i="16"/>
  <c r="AB169" i="16" s="1"/>
  <c r="X168" i="16"/>
  <c r="AD168" i="16" s="1"/>
  <c r="W168" i="16"/>
  <c r="AC168" i="16" s="1"/>
  <c r="V168" i="16"/>
  <c r="AB168" i="16" s="1"/>
  <c r="X167" i="16"/>
  <c r="AD167" i="16" s="1"/>
  <c r="W167" i="16"/>
  <c r="AC167" i="16" s="1"/>
  <c r="V167" i="16"/>
  <c r="AB167" i="16" s="1"/>
  <c r="X166" i="16"/>
  <c r="AD166" i="16" s="1"/>
  <c r="W166" i="16"/>
  <c r="AC166" i="16" s="1"/>
  <c r="V166" i="16"/>
  <c r="AB166" i="16" s="1"/>
  <c r="X165" i="16"/>
  <c r="AD165" i="16" s="1"/>
  <c r="W165" i="16"/>
  <c r="AC165" i="16" s="1"/>
  <c r="V165" i="16"/>
  <c r="AB165" i="16" s="1"/>
  <c r="X164" i="16"/>
  <c r="AD164" i="16" s="1"/>
  <c r="W164" i="16"/>
  <c r="AC164" i="16" s="1"/>
  <c r="V164" i="16"/>
  <c r="AB164" i="16" s="1"/>
  <c r="X163" i="16"/>
  <c r="AD163" i="16" s="1"/>
  <c r="W163" i="16"/>
  <c r="AC163" i="16" s="1"/>
  <c r="V163" i="16"/>
  <c r="AB163" i="16" s="1"/>
  <c r="X162" i="16"/>
  <c r="AD162" i="16" s="1"/>
  <c r="W162" i="16"/>
  <c r="AC162" i="16" s="1"/>
  <c r="V162" i="16"/>
  <c r="AB162" i="16" s="1"/>
  <c r="X161" i="16"/>
  <c r="AD161" i="16" s="1"/>
  <c r="W161" i="16"/>
  <c r="AC161" i="16" s="1"/>
  <c r="V161" i="16"/>
  <c r="AB161" i="16" s="1"/>
  <c r="X160" i="16"/>
  <c r="AD160" i="16" s="1"/>
  <c r="W160" i="16"/>
  <c r="AC160" i="16" s="1"/>
  <c r="V160" i="16"/>
  <c r="AB160" i="16" s="1"/>
  <c r="X159" i="16"/>
  <c r="AD159" i="16" s="1"/>
  <c r="W159" i="16"/>
  <c r="AC159" i="16" s="1"/>
  <c r="V159" i="16"/>
  <c r="AB159" i="16" s="1"/>
  <c r="X158" i="16"/>
  <c r="AD158" i="16" s="1"/>
  <c r="W158" i="16"/>
  <c r="AC158" i="16" s="1"/>
  <c r="V158" i="16"/>
  <c r="AB158" i="16" s="1"/>
  <c r="X157" i="16"/>
  <c r="AD157" i="16" s="1"/>
  <c r="W157" i="16"/>
  <c r="AC157" i="16" s="1"/>
  <c r="V157" i="16"/>
  <c r="AB157" i="16" s="1"/>
  <c r="X156" i="16"/>
  <c r="AD156" i="16" s="1"/>
  <c r="W156" i="16"/>
  <c r="AC156" i="16" s="1"/>
  <c r="V156" i="16"/>
  <c r="AB156" i="16" s="1"/>
  <c r="X155" i="16"/>
  <c r="AD155" i="16" s="1"/>
  <c r="W155" i="16"/>
  <c r="AC155" i="16" s="1"/>
  <c r="V155" i="16"/>
  <c r="AB155" i="16" s="1"/>
  <c r="X154" i="16"/>
  <c r="AD154" i="16" s="1"/>
  <c r="W154" i="16"/>
  <c r="AC154" i="16" s="1"/>
  <c r="V154" i="16"/>
  <c r="AB154" i="16" s="1"/>
  <c r="X153" i="16"/>
  <c r="AD153" i="16" s="1"/>
  <c r="W153" i="16"/>
  <c r="AC153" i="16" s="1"/>
  <c r="V153" i="16"/>
  <c r="AB153" i="16" s="1"/>
  <c r="X152" i="16"/>
  <c r="AD152" i="16" s="1"/>
  <c r="W152" i="16"/>
  <c r="AC152" i="16" s="1"/>
  <c r="V152" i="16"/>
  <c r="AB152" i="16" s="1"/>
  <c r="X151" i="16"/>
  <c r="AD151" i="16" s="1"/>
  <c r="W151" i="16"/>
  <c r="AC151" i="16" s="1"/>
  <c r="V151" i="16"/>
  <c r="AB151" i="16" s="1"/>
  <c r="X150" i="16"/>
  <c r="AD150" i="16" s="1"/>
  <c r="W150" i="16"/>
  <c r="AC150" i="16" s="1"/>
  <c r="V150" i="16"/>
  <c r="AB150" i="16" s="1"/>
  <c r="X149" i="16"/>
  <c r="AD149" i="16" s="1"/>
  <c r="W149" i="16"/>
  <c r="AC149" i="16" s="1"/>
  <c r="V149" i="16"/>
  <c r="AB149" i="16" s="1"/>
  <c r="X148" i="16"/>
  <c r="AD148" i="16" s="1"/>
  <c r="W148" i="16"/>
  <c r="AC148" i="16" s="1"/>
  <c r="V148" i="16"/>
  <c r="AB148" i="16" s="1"/>
  <c r="X147" i="16"/>
  <c r="AD147" i="16" s="1"/>
  <c r="W147" i="16"/>
  <c r="AC147" i="16" s="1"/>
  <c r="V147" i="16"/>
  <c r="AB147" i="16" s="1"/>
  <c r="X146" i="16"/>
  <c r="AD146" i="16" s="1"/>
  <c r="W146" i="16"/>
  <c r="AC146" i="16" s="1"/>
  <c r="V146" i="16"/>
  <c r="AB146" i="16" s="1"/>
  <c r="X145" i="16"/>
  <c r="AD145" i="16" s="1"/>
  <c r="W145" i="16"/>
  <c r="AC145" i="16" s="1"/>
  <c r="V145" i="16"/>
  <c r="AB145" i="16" s="1"/>
  <c r="X144" i="16"/>
  <c r="AD144" i="16" s="1"/>
  <c r="W144" i="16"/>
  <c r="AC144" i="16" s="1"/>
  <c r="V144" i="16"/>
  <c r="AB144" i="16" s="1"/>
  <c r="X143" i="16"/>
  <c r="AD143" i="16" s="1"/>
  <c r="W143" i="16"/>
  <c r="AC143" i="16" s="1"/>
  <c r="V143" i="16"/>
  <c r="AB143" i="16" s="1"/>
  <c r="X142" i="16"/>
  <c r="AD142" i="16" s="1"/>
  <c r="W142" i="16"/>
  <c r="AC142" i="16" s="1"/>
  <c r="V142" i="16"/>
  <c r="AB142" i="16" s="1"/>
  <c r="X141" i="16"/>
  <c r="AD141" i="16" s="1"/>
  <c r="W141" i="16"/>
  <c r="AC141" i="16" s="1"/>
  <c r="V141" i="16"/>
  <c r="AB141" i="16" s="1"/>
  <c r="X140" i="16"/>
  <c r="AD140" i="16" s="1"/>
  <c r="W140" i="16"/>
  <c r="AC140" i="16" s="1"/>
  <c r="V140" i="16"/>
  <c r="AB140" i="16" s="1"/>
  <c r="X139" i="16"/>
  <c r="AD139" i="16" s="1"/>
  <c r="W139" i="16"/>
  <c r="AC139" i="16" s="1"/>
  <c r="V139" i="16"/>
  <c r="AB139" i="16" s="1"/>
  <c r="X138" i="16"/>
  <c r="AD138" i="16" s="1"/>
  <c r="W138" i="16"/>
  <c r="AC138" i="16" s="1"/>
  <c r="V138" i="16"/>
  <c r="AB138" i="16" s="1"/>
  <c r="X137" i="16"/>
  <c r="AD137" i="16" s="1"/>
  <c r="W137" i="16"/>
  <c r="AC137" i="16" s="1"/>
  <c r="V137" i="16"/>
  <c r="AB137" i="16" s="1"/>
  <c r="X136" i="16"/>
  <c r="AD136" i="16" s="1"/>
  <c r="W136" i="16"/>
  <c r="AC136" i="16" s="1"/>
  <c r="V136" i="16"/>
  <c r="AB136" i="16" s="1"/>
  <c r="X135" i="16"/>
  <c r="AD135" i="16" s="1"/>
  <c r="W135" i="16"/>
  <c r="AC135" i="16" s="1"/>
  <c r="V135" i="16"/>
  <c r="AB135" i="16" s="1"/>
  <c r="X134" i="16"/>
  <c r="AD134" i="16" s="1"/>
  <c r="W134" i="16"/>
  <c r="AC134" i="16" s="1"/>
  <c r="V134" i="16"/>
  <c r="AB134" i="16" s="1"/>
  <c r="X133" i="16"/>
  <c r="AD133" i="16" s="1"/>
  <c r="W133" i="16"/>
  <c r="AC133" i="16" s="1"/>
  <c r="V133" i="16"/>
  <c r="AB133" i="16" s="1"/>
  <c r="X132" i="16"/>
  <c r="AD132" i="16" s="1"/>
  <c r="W132" i="16"/>
  <c r="AC132" i="16" s="1"/>
  <c r="V132" i="16"/>
  <c r="AB132" i="16" s="1"/>
  <c r="X131" i="16"/>
  <c r="AD131" i="16" s="1"/>
  <c r="W131" i="16"/>
  <c r="AC131" i="16" s="1"/>
  <c r="V131" i="16"/>
  <c r="AB131" i="16" s="1"/>
  <c r="X130" i="16"/>
  <c r="AD130" i="16" s="1"/>
  <c r="W130" i="16"/>
  <c r="AC130" i="16" s="1"/>
  <c r="V130" i="16"/>
  <c r="AB130" i="16" s="1"/>
  <c r="X129" i="16"/>
  <c r="AD129" i="16" s="1"/>
  <c r="W129" i="16"/>
  <c r="AC129" i="16" s="1"/>
  <c r="V129" i="16"/>
  <c r="AB129" i="16" s="1"/>
  <c r="X128" i="16"/>
  <c r="AD128" i="16" s="1"/>
  <c r="W128" i="16"/>
  <c r="AC128" i="16" s="1"/>
  <c r="V128" i="16"/>
  <c r="AB128" i="16" s="1"/>
  <c r="X127" i="16"/>
  <c r="AD127" i="16" s="1"/>
  <c r="W127" i="16"/>
  <c r="AC127" i="16" s="1"/>
  <c r="V127" i="16"/>
  <c r="AB127" i="16" s="1"/>
  <c r="X126" i="16"/>
  <c r="AD126" i="16" s="1"/>
  <c r="W126" i="16"/>
  <c r="AC126" i="16" s="1"/>
  <c r="V126" i="16"/>
  <c r="AB126" i="16" s="1"/>
  <c r="X125" i="16"/>
  <c r="AD125" i="16" s="1"/>
  <c r="W125" i="16"/>
  <c r="AC125" i="16" s="1"/>
  <c r="V125" i="16"/>
  <c r="AB125" i="16" s="1"/>
  <c r="X124" i="16"/>
  <c r="AD124" i="16" s="1"/>
  <c r="W124" i="16"/>
  <c r="AC124" i="16" s="1"/>
  <c r="V124" i="16"/>
  <c r="AB124" i="16" s="1"/>
  <c r="X123" i="16"/>
  <c r="AD123" i="16" s="1"/>
  <c r="W123" i="16"/>
  <c r="AC123" i="16" s="1"/>
  <c r="V123" i="16"/>
  <c r="AB123" i="16" s="1"/>
  <c r="X122" i="16"/>
  <c r="AD122" i="16" s="1"/>
  <c r="W122" i="16"/>
  <c r="AC122" i="16" s="1"/>
  <c r="V122" i="16"/>
  <c r="AB122" i="16" s="1"/>
  <c r="X121" i="16"/>
  <c r="AD121" i="16" s="1"/>
  <c r="W121" i="16"/>
  <c r="AC121" i="16" s="1"/>
  <c r="V121" i="16"/>
  <c r="AB121" i="16" s="1"/>
  <c r="X120" i="16"/>
  <c r="AD120" i="16" s="1"/>
  <c r="W120" i="16"/>
  <c r="AC120" i="16" s="1"/>
  <c r="V120" i="16"/>
  <c r="AB120" i="16" s="1"/>
  <c r="X119" i="16"/>
  <c r="AD119" i="16" s="1"/>
  <c r="W119" i="16"/>
  <c r="AC119" i="16" s="1"/>
  <c r="V119" i="16"/>
  <c r="AB119" i="16" s="1"/>
  <c r="X118" i="16"/>
  <c r="AD118" i="16" s="1"/>
  <c r="W118" i="16"/>
  <c r="AC118" i="16" s="1"/>
  <c r="V118" i="16"/>
  <c r="AB118" i="16" s="1"/>
  <c r="X117" i="16"/>
  <c r="AD117" i="16" s="1"/>
  <c r="W117" i="16"/>
  <c r="AC117" i="16" s="1"/>
  <c r="V117" i="16"/>
  <c r="AB117" i="16" s="1"/>
  <c r="X116" i="16"/>
  <c r="AD116" i="16" s="1"/>
  <c r="W116" i="16"/>
  <c r="AC116" i="16" s="1"/>
  <c r="V116" i="16"/>
  <c r="AB116" i="16" s="1"/>
  <c r="X115" i="16"/>
  <c r="AD115" i="16" s="1"/>
  <c r="W115" i="16"/>
  <c r="AC115" i="16" s="1"/>
  <c r="V115" i="16"/>
  <c r="AB115" i="16" s="1"/>
  <c r="X114" i="16"/>
  <c r="AD114" i="16" s="1"/>
  <c r="W114" i="16"/>
  <c r="AC114" i="16" s="1"/>
  <c r="V114" i="16"/>
  <c r="AB114" i="16" s="1"/>
  <c r="X113" i="16"/>
  <c r="AD113" i="16" s="1"/>
  <c r="W113" i="16"/>
  <c r="AC113" i="16" s="1"/>
  <c r="V113" i="16"/>
  <c r="AB113" i="16" s="1"/>
  <c r="X112" i="16"/>
  <c r="AD112" i="16" s="1"/>
  <c r="W112" i="16"/>
  <c r="AC112" i="16" s="1"/>
  <c r="V112" i="16"/>
  <c r="AB112" i="16" s="1"/>
  <c r="X111" i="16"/>
  <c r="AD111" i="16" s="1"/>
  <c r="W111" i="16"/>
  <c r="AC111" i="16" s="1"/>
  <c r="V111" i="16"/>
  <c r="AB111" i="16" s="1"/>
  <c r="X110" i="16"/>
  <c r="AD110" i="16" s="1"/>
  <c r="W110" i="16"/>
  <c r="AC110" i="16" s="1"/>
  <c r="V110" i="16"/>
  <c r="AB110" i="16" s="1"/>
  <c r="X109" i="16"/>
  <c r="AD109" i="16" s="1"/>
  <c r="W109" i="16"/>
  <c r="AC109" i="16" s="1"/>
  <c r="V109" i="16"/>
  <c r="AB109" i="16" s="1"/>
  <c r="X108" i="16"/>
  <c r="AD108" i="16" s="1"/>
  <c r="W108" i="16"/>
  <c r="AC108" i="16" s="1"/>
  <c r="V108" i="16"/>
  <c r="AB108" i="16" s="1"/>
  <c r="X107" i="16"/>
  <c r="AD107" i="16" s="1"/>
  <c r="W107" i="16"/>
  <c r="AC107" i="16" s="1"/>
  <c r="V107" i="16"/>
  <c r="AB107" i="16" s="1"/>
  <c r="X106" i="16"/>
  <c r="AD106" i="16" s="1"/>
  <c r="W106" i="16"/>
  <c r="AC106" i="16" s="1"/>
  <c r="V106" i="16"/>
  <c r="AB106" i="16" s="1"/>
  <c r="X105" i="16"/>
  <c r="AD105" i="16" s="1"/>
  <c r="W105" i="16"/>
  <c r="AC105" i="16" s="1"/>
  <c r="V105" i="16"/>
  <c r="AB105" i="16" s="1"/>
  <c r="X104" i="16"/>
  <c r="AD104" i="16" s="1"/>
  <c r="W104" i="16"/>
  <c r="AC104" i="16" s="1"/>
  <c r="V104" i="16"/>
  <c r="AB104" i="16" s="1"/>
  <c r="X103" i="16"/>
  <c r="AD103" i="16" s="1"/>
  <c r="W103" i="16"/>
  <c r="AC103" i="16" s="1"/>
  <c r="V103" i="16"/>
  <c r="AB103" i="16" s="1"/>
  <c r="X102" i="16"/>
  <c r="AD102" i="16" s="1"/>
  <c r="W102" i="16"/>
  <c r="AC102" i="16" s="1"/>
  <c r="V102" i="16"/>
  <c r="AB102" i="16" s="1"/>
  <c r="X101" i="16"/>
  <c r="AD101" i="16" s="1"/>
  <c r="W101" i="16"/>
  <c r="AC101" i="16" s="1"/>
  <c r="V101" i="16"/>
  <c r="AB101" i="16" s="1"/>
  <c r="X100" i="16"/>
  <c r="AD100" i="16" s="1"/>
  <c r="W100" i="16"/>
  <c r="AC100" i="16" s="1"/>
  <c r="V100" i="16"/>
  <c r="AB100" i="16" s="1"/>
  <c r="X99" i="16"/>
  <c r="AD99" i="16" s="1"/>
  <c r="W99" i="16"/>
  <c r="AC99" i="16" s="1"/>
  <c r="V99" i="16"/>
  <c r="AB99" i="16" s="1"/>
  <c r="X98" i="16"/>
  <c r="AD98" i="16" s="1"/>
  <c r="W98" i="16"/>
  <c r="AC98" i="16" s="1"/>
  <c r="V98" i="16"/>
  <c r="AB98" i="16" s="1"/>
  <c r="X97" i="16"/>
  <c r="AD97" i="16" s="1"/>
  <c r="W97" i="16"/>
  <c r="AC97" i="16" s="1"/>
  <c r="V97" i="16"/>
  <c r="AB97" i="16" s="1"/>
  <c r="X96" i="16"/>
  <c r="AD96" i="16" s="1"/>
  <c r="W96" i="16"/>
  <c r="AC96" i="16" s="1"/>
  <c r="V96" i="16"/>
  <c r="AB96" i="16" s="1"/>
  <c r="X95" i="16"/>
  <c r="AD95" i="16" s="1"/>
  <c r="W95" i="16"/>
  <c r="AC95" i="16" s="1"/>
  <c r="V95" i="16"/>
  <c r="AB95" i="16" s="1"/>
  <c r="X94" i="16"/>
  <c r="AD94" i="16" s="1"/>
  <c r="W94" i="16"/>
  <c r="AC94" i="16" s="1"/>
  <c r="V94" i="16"/>
  <c r="AB94" i="16" s="1"/>
  <c r="X93" i="16"/>
  <c r="AD93" i="16" s="1"/>
  <c r="W93" i="16"/>
  <c r="AC93" i="16" s="1"/>
  <c r="V93" i="16"/>
  <c r="AB93" i="16" s="1"/>
  <c r="X92" i="16"/>
  <c r="AD92" i="16" s="1"/>
  <c r="W92" i="16"/>
  <c r="AC92" i="16" s="1"/>
  <c r="V92" i="16"/>
  <c r="AB92" i="16" s="1"/>
  <c r="X91" i="16"/>
  <c r="AD91" i="16" s="1"/>
  <c r="W91" i="16"/>
  <c r="AC91" i="16" s="1"/>
  <c r="V91" i="16"/>
  <c r="AB91" i="16" s="1"/>
  <c r="X90" i="16"/>
  <c r="AD90" i="16" s="1"/>
  <c r="W90" i="16"/>
  <c r="AC90" i="16" s="1"/>
  <c r="V90" i="16"/>
  <c r="AB90" i="16" s="1"/>
  <c r="X89" i="16"/>
  <c r="AD89" i="16" s="1"/>
  <c r="W89" i="16"/>
  <c r="AC89" i="16" s="1"/>
  <c r="V89" i="16"/>
  <c r="AB89" i="16" s="1"/>
  <c r="X88" i="16"/>
  <c r="AD88" i="16" s="1"/>
  <c r="W88" i="16"/>
  <c r="AC88" i="16" s="1"/>
  <c r="V88" i="16"/>
  <c r="AB88" i="16" s="1"/>
  <c r="X87" i="16"/>
  <c r="AD87" i="16" s="1"/>
  <c r="W87" i="16"/>
  <c r="AC87" i="16" s="1"/>
  <c r="V87" i="16"/>
  <c r="AB87" i="16" s="1"/>
  <c r="X86" i="16"/>
  <c r="AD86" i="16" s="1"/>
  <c r="W86" i="16"/>
  <c r="AC86" i="16" s="1"/>
  <c r="V86" i="16"/>
  <c r="AB86" i="16" s="1"/>
  <c r="X85" i="16"/>
  <c r="AD85" i="16" s="1"/>
  <c r="W85" i="16"/>
  <c r="AC85" i="16" s="1"/>
  <c r="V85" i="16"/>
  <c r="AB85" i="16" s="1"/>
  <c r="X84" i="16"/>
  <c r="AD84" i="16" s="1"/>
  <c r="W84" i="16"/>
  <c r="AC84" i="16" s="1"/>
  <c r="V84" i="16"/>
  <c r="AB84" i="16" s="1"/>
  <c r="X83" i="16"/>
  <c r="AD83" i="16" s="1"/>
  <c r="W83" i="16"/>
  <c r="AC83" i="16" s="1"/>
  <c r="V83" i="16"/>
  <c r="AB83" i="16" s="1"/>
  <c r="X82" i="16"/>
  <c r="AD82" i="16" s="1"/>
  <c r="W82" i="16"/>
  <c r="AC82" i="16" s="1"/>
  <c r="V82" i="16"/>
  <c r="AB82" i="16" s="1"/>
  <c r="X81" i="16"/>
  <c r="AD81" i="16" s="1"/>
  <c r="W81" i="16"/>
  <c r="AC81" i="16" s="1"/>
  <c r="V81" i="16"/>
  <c r="AB81" i="16" s="1"/>
  <c r="X80" i="16"/>
  <c r="AD80" i="16" s="1"/>
  <c r="W80" i="16"/>
  <c r="AC80" i="16" s="1"/>
  <c r="V80" i="16"/>
  <c r="AB80" i="16" s="1"/>
  <c r="X79" i="16"/>
  <c r="AD79" i="16" s="1"/>
  <c r="W79" i="16"/>
  <c r="AC79" i="16" s="1"/>
  <c r="V79" i="16"/>
  <c r="AB79" i="16" s="1"/>
  <c r="X78" i="16"/>
  <c r="AD78" i="16" s="1"/>
  <c r="W78" i="16"/>
  <c r="AC78" i="16" s="1"/>
  <c r="V78" i="16"/>
  <c r="AB78" i="16" s="1"/>
  <c r="X77" i="16"/>
  <c r="AD77" i="16" s="1"/>
  <c r="W77" i="16"/>
  <c r="AC77" i="16" s="1"/>
  <c r="V77" i="16"/>
  <c r="AB77" i="16" s="1"/>
  <c r="X76" i="16"/>
  <c r="AD76" i="16" s="1"/>
  <c r="W76" i="16"/>
  <c r="AC76" i="16" s="1"/>
  <c r="V76" i="16"/>
  <c r="AB76" i="16" s="1"/>
  <c r="X75" i="16"/>
  <c r="AD75" i="16" s="1"/>
  <c r="W75" i="16"/>
  <c r="AC75" i="16" s="1"/>
  <c r="V75" i="16"/>
  <c r="AB75" i="16" s="1"/>
  <c r="X74" i="16"/>
  <c r="AD74" i="16" s="1"/>
  <c r="W74" i="16"/>
  <c r="AC74" i="16" s="1"/>
  <c r="V74" i="16"/>
  <c r="AB74" i="16" s="1"/>
  <c r="X73" i="16"/>
  <c r="AD73" i="16" s="1"/>
  <c r="W73" i="16"/>
  <c r="AC73" i="16" s="1"/>
  <c r="V73" i="16"/>
  <c r="AB73" i="16" s="1"/>
  <c r="X72" i="16"/>
  <c r="AD72" i="16" s="1"/>
  <c r="W72" i="16"/>
  <c r="AC72" i="16" s="1"/>
  <c r="V72" i="16"/>
  <c r="AB72" i="16" s="1"/>
  <c r="X71" i="16"/>
  <c r="AD71" i="16" s="1"/>
  <c r="W71" i="16"/>
  <c r="AC71" i="16" s="1"/>
  <c r="V71" i="16"/>
  <c r="AB71" i="16" s="1"/>
  <c r="X70" i="16"/>
  <c r="AD70" i="16" s="1"/>
  <c r="W70" i="16"/>
  <c r="AC70" i="16" s="1"/>
  <c r="V70" i="16"/>
  <c r="AB70" i="16" s="1"/>
  <c r="X69" i="16"/>
  <c r="AD69" i="16" s="1"/>
  <c r="W69" i="16"/>
  <c r="AC69" i="16" s="1"/>
  <c r="V69" i="16"/>
  <c r="AB69" i="16" s="1"/>
  <c r="X68" i="16"/>
  <c r="AD68" i="16" s="1"/>
  <c r="W68" i="16"/>
  <c r="AC68" i="16" s="1"/>
  <c r="V68" i="16"/>
  <c r="AB68" i="16" s="1"/>
  <c r="X67" i="16"/>
  <c r="AD67" i="16" s="1"/>
  <c r="W67" i="16"/>
  <c r="AC67" i="16" s="1"/>
  <c r="V67" i="16"/>
  <c r="AB67" i="16" s="1"/>
  <c r="X66" i="16"/>
  <c r="AD66" i="16" s="1"/>
  <c r="W66" i="16"/>
  <c r="AC66" i="16" s="1"/>
  <c r="V66" i="16"/>
  <c r="AB66" i="16" s="1"/>
  <c r="X65" i="16"/>
  <c r="AD65" i="16" s="1"/>
  <c r="W65" i="16"/>
  <c r="AC65" i="16" s="1"/>
  <c r="V65" i="16"/>
  <c r="AB65" i="16" s="1"/>
  <c r="X64" i="16"/>
  <c r="AD64" i="16" s="1"/>
  <c r="W64" i="16"/>
  <c r="AC64" i="16" s="1"/>
  <c r="V64" i="16"/>
  <c r="AB64" i="16" s="1"/>
  <c r="X63" i="16"/>
  <c r="AD63" i="16" s="1"/>
  <c r="W63" i="16"/>
  <c r="AC63" i="16" s="1"/>
  <c r="V63" i="16"/>
  <c r="AB63" i="16" s="1"/>
  <c r="X62" i="16"/>
  <c r="AD62" i="16" s="1"/>
  <c r="W62" i="16"/>
  <c r="AC62" i="16" s="1"/>
  <c r="V62" i="16"/>
  <c r="AB62" i="16" s="1"/>
  <c r="X61" i="16"/>
  <c r="AD61" i="16" s="1"/>
  <c r="W61" i="16"/>
  <c r="AC61" i="16" s="1"/>
  <c r="V61" i="16"/>
  <c r="AB61" i="16" s="1"/>
  <c r="X60" i="16"/>
  <c r="AD60" i="16" s="1"/>
  <c r="W60" i="16"/>
  <c r="AC60" i="16" s="1"/>
  <c r="V60" i="16"/>
  <c r="AB60" i="16" s="1"/>
  <c r="X59" i="16"/>
  <c r="AD59" i="16" s="1"/>
  <c r="W59" i="16"/>
  <c r="AC59" i="16" s="1"/>
  <c r="V59" i="16"/>
  <c r="AB59" i="16" s="1"/>
  <c r="X58" i="16"/>
  <c r="AD58" i="16" s="1"/>
  <c r="W58" i="16"/>
  <c r="AC58" i="16" s="1"/>
  <c r="V58" i="16"/>
  <c r="AB58" i="16" s="1"/>
  <c r="X57" i="16"/>
  <c r="AD57" i="16" s="1"/>
  <c r="W57" i="16"/>
  <c r="AC57" i="16" s="1"/>
  <c r="V57" i="16"/>
  <c r="AB57" i="16" s="1"/>
  <c r="X56" i="16"/>
  <c r="AD56" i="16" s="1"/>
  <c r="W56" i="16"/>
  <c r="AC56" i="16" s="1"/>
  <c r="V56" i="16"/>
  <c r="AB56" i="16" s="1"/>
  <c r="X55" i="16"/>
  <c r="AD55" i="16" s="1"/>
  <c r="W55" i="16"/>
  <c r="AC55" i="16" s="1"/>
  <c r="V55" i="16"/>
  <c r="AB55" i="16" s="1"/>
  <c r="X54" i="16"/>
  <c r="AD54" i="16" s="1"/>
  <c r="W54" i="16"/>
  <c r="AC54" i="16" s="1"/>
  <c r="V54" i="16"/>
  <c r="AB54" i="16" s="1"/>
  <c r="X53" i="16"/>
  <c r="AD53" i="16" s="1"/>
  <c r="W53" i="16"/>
  <c r="AC53" i="16" s="1"/>
  <c r="V53" i="16"/>
  <c r="AB53" i="16" s="1"/>
  <c r="X52" i="16"/>
  <c r="AD52" i="16" s="1"/>
  <c r="W52" i="16"/>
  <c r="AC52" i="16" s="1"/>
  <c r="V52" i="16"/>
  <c r="AB52" i="16" s="1"/>
  <c r="X51" i="16"/>
  <c r="AD51" i="16" s="1"/>
  <c r="W51" i="16"/>
  <c r="AC51" i="16" s="1"/>
  <c r="V51" i="16"/>
  <c r="AB51" i="16" s="1"/>
  <c r="X50" i="16"/>
  <c r="AD50" i="16" s="1"/>
  <c r="W50" i="16"/>
  <c r="AC50" i="16" s="1"/>
  <c r="V50" i="16"/>
  <c r="AB50" i="16" s="1"/>
  <c r="X49" i="16"/>
  <c r="AD49" i="16" s="1"/>
  <c r="W49" i="16"/>
  <c r="AC49" i="16" s="1"/>
  <c r="V49" i="16"/>
  <c r="AB49" i="16" s="1"/>
  <c r="X48" i="16"/>
  <c r="AD48" i="16" s="1"/>
  <c r="W48" i="16"/>
  <c r="AC48" i="16" s="1"/>
  <c r="V48" i="16"/>
  <c r="AB48" i="16" s="1"/>
  <c r="X47" i="16"/>
  <c r="AD47" i="16" s="1"/>
  <c r="W47" i="16"/>
  <c r="AC47" i="16" s="1"/>
  <c r="V47" i="16"/>
  <c r="AB47" i="16" s="1"/>
  <c r="X46" i="16"/>
  <c r="AD46" i="16" s="1"/>
  <c r="W46" i="16"/>
  <c r="AC46" i="16" s="1"/>
  <c r="V46" i="16"/>
  <c r="AB46" i="16" s="1"/>
  <c r="X45" i="16"/>
  <c r="AD45" i="16" s="1"/>
  <c r="W45" i="16"/>
  <c r="AC45" i="16" s="1"/>
  <c r="V45" i="16"/>
  <c r="AB45" i="16" s="1"/>
  <c r="X44" i="16"/>
  <c r="AD44" i="16" s="1"/>
  <c r="W44" i="16"/>
  <c r="AC44" i="16" s="1"/>
  <c r="V44" i="16"/>
  <c r="AB44" i="16" s="1"/>
  <c r="X43" i="16"/>
  <c r="AD43" i="16" s="1"/>
  <c r="W43" i="16"/>
  <c r="AC43" i="16" s="1"/>
  <c r="V43" i="16"/>
  <c r="AB43" i="16" s="1"/>
  <c r="X42" i="16"/>
  <c r="AD42" i="16" s="1"/>
  <c r="W42" i="16"/>
  <c r="AC42" i="16" s="1"/>
  <c r="V42" i="16"/>
  <c r="AB42" i="16" s="1"/>
  <c r="X41" i="16"/>
  <c r="AD41" i="16" s="1"/>
  <c r="W41" i="16"/>
  <c r="AC41" i="16" s="1"/>
  <c r="V41" i="16"/>
  <c r="AB41" i="16" s="1"/>
  <c r="X40" i="16"/>
  <c r="AD40" i="16" s="1"/>
  <c r="W40" i="16"/>
  <c r="AC40" i="16" s="1"/>
  <c r="V40" i="16"/>
  <c r="AB40" i="16" s="1"/>
  <c r="X39" i="16"/>
  <c r="AD39" i="16" s="1"/>
  <c r="W39" i="16"/>
  <c r="AC39" i="16" s="1"/>
  <c r="V39" i="16"/>
  <c r="AB39" i="16" s="1"/>
  <c r="X38" i="16"/>
  <c r="AD38" i="16" s="1"/>
  <c r="W38" i="16"/>
  <c r="AC38" i="16" s="1"/>
  <c r="V38" i="16"/>
  <c r="AB38" i="16" s="1"/>
  <c r="X37" i="16"/>
  <c r="AD37" i="16" s="1"/>
  <c r="W37" i="16"/>
  <c r="AC37" i="16" s="1"/>
  <c r="V37" i="16"/>
  <c r="AB37" i="16" s="1"/>
  <c r="X36" i="16"/>
  <c r="AD36" i="16" s="1"/>
  <c r="W36" i="16"/>
  <c r="AC36" i="16" s="1"/>
  <c r="V36" i="16"/>
  <c r="AB36" i="16" s="1"/>
  <c r="X35" i="16"/>
  <c r="AD35" i="16" s="1"/>
  <c r="W35" i="16"/>
  <c r="AC35" i="16" s="1"/>
  <c r="V35" i="16"/>
  <c r="AB35" i="16" s="1"/>
  <c r="X34" i="16"/>
  <c r="AD34" i="16" s="1"/>
  <c r="W34" i="16"/>
  <c r="AC34" i="16" s="1"/>
  <c r="V34" i="16"/>
  <c r="AB34" i="16" s="1"/>
  <c r="X33" i="16"/>
  <c r="AD33" i="16" s="1"/>
  <c r="W33" i="16"/>
  <c r="AC33" i="16" s="1"/>
  <c r="V33" i="16"/>
  <c r="AB33" i="16" s="1"/>
  <c r="X32" i="16"/>
  <c r="AD32" i="16" s="1"/>
  <c r="W32" i="16"/>
  <c r="AC32" i="16" s="1"/>
  <c r="V32" i="16"/>
  <c r="AB32" i="16" s="1"/>
  <c r="X31" i="16"/>
  <c r="AD31" i="16" s="1"/>
  <c r="W31" i="16"/>
  <c r="AC31" i="16" s="1"/>
  <c r="V31" i="16"/>
  <c r="AB31" i="16" s="1"/>
  <c r="X30" i="16"/>
  <c r="AD30" i="16" s="1"/>
  <c r="W30" i="16"/>
  <c r="AC30" i="16" s="1"/>
  <c r="V30" i="16"/>
  <c r="AB30" i="16" s="1"/>
  <c r="X29" i="16"/>
  <c r="AD29" i="16" s="1"/>
  <c r="W29" i="16"/>
  <c r="AC29" i="16" s="1"/>
  <c r="V29" i="16"/>
  <c r="AB29" i="16" s="1"/>
  <c r="X28" i="16"/>
  <c r="AD28" i="16" s="1"/>
  <c r="W28" i="16"/>
  <c r="AC28" i="16" s="1"/>
  <c r="V28" i="16"/>
  <c r="AB28" i="16" s="1"/>
  <c r="X27" i="16"/>
  <c r="AD27" i="16" s="1"/>
  <c r="W27" i="16"/>
  <c r="AC27" i="16" s="1"/>
  <c r="V27" i="16"/>
  <c r="AB27" i="16" s="1"/>
  <c r="X26" i="16"/>
  <c r="AD26" i="16" s="1"/>
  <c r="W26" i="16"/>
  <c r="AC26" i="16" s="1"/>
  <c r="V26" i="16"/>
  <c r="AB26" i="16" s="1"/>
  <c r="X25" i="16"/>
  <c r="AD25" i="16" s="1"/>
  <c r="W25" i="16"/>
  <c r="AC25" i="16" s="1"/>
  <c r="V25" i="16"/>
  <c r="AB25" i="16" s="1"/>
  <c r="X24" i="16"/>
  <c r="AD24" i="16" s="1"/>
  <c r="W24" i="16"/>
  <c r="AC24" i="16" s="1"/>
  <c r="V24" i="16"/>
  <c r="AB24" i="16" s="1"/>
  <c r="X23" i="16"/>
  <c r="AD23" i="16" s="1"/>
  <c r="W23" i="16"/>
  <c r="AC23" i="16" s="1"/>
  <c r="V23" i="16"/>
  <c r="AB23" i="16" s="1"/>
  <c r="X22" i="16"/>
  <c r="AD22" i="16" s="1"/>
  <c r="W22" i="16"/>
  <c r="AC22" i="16" s="1"/>
  <c r="V22" i="16"/>
  <c r="AB22" i="16" s="1"/>
  <c r="X21" i="16"/>
  <c r="AD21" i="16" s="1"/>
  <c r="W21" i="16"/>
  <c r="AC21" i="16" s="1"/>
  <c r="V21" i="16"/>
  <c r="AB21" i="16" s="1"/>
  <c r="X20" i="16"/>
  <c r="AD20" i="16" s="1"/>
  <c r="W20" i="16"/>
  <c r="AC20" i="16" s="1"/>
  <c r="V20" i="16"/>
  <c r="AB20" i="16" s="1"/>
  <c r="X19" i="16"/>
  <c r="AD19" i="16" s="1"/>
  <c r="W19" i="16"/>
  <c r="AC19" i="16" s="1"/>
  <c r="V19" i="16"/>
  <c r="AB19" i="16" s="1"/>
  <c r="X18" i="16"/>
  <c r="AD18" i="16" s="1"/>
  <c r="W18" i="16"/>
  <c r="AC18" i="16" s="1"/>
  <c r="V18" i="16"/>
  <c r="AB18" i="16" s="1"/>
  <c r="X17" i="16"/>
  <c r="AD17" i="16" s="1"/>
  <c r="W17" i="16"/>
  <c r="AC17" i="16" s="1"/>
  <c r="V17" i="16"/>
  <c r="AB17" i="16" s="1"/>
  <c r="X16" i="16"/>
  <c r="AD16" i="16" s="1"/>
  <c r="W16" i="16"/>
  <c r="AC16" i="16" s="1"/>
  <c r="V16" i="16"/>
  <c r="AB16" i="16" s="1"/>
  <c r="X15" i="16"/>
  <c r="AD15" i="16" s="1"/>
  <c r="W15" i="16"/>
  <c r="AC15" i="16" s="1"/>
  <c r="V15" i="16"/>
  <c r="AB15" i="16" s="1"/>
  <c r="X14" i="16"/>
  <c r="AD14" i="16" s="1"/>
  <c r="W14" i="16"/>
  <c r="AC14" i="16" s="1"/>
  <c r="V14" i="16"/>
  <c r="AB14" i="16" s="1"/>
  <c r="X13" i="16"/>
  <c r="AD13" i="16" s="1"/>
  <c r="W13" i="16"/>
  <c r="AC13" i="16" s="1"/>
  <c r="V13" i="16"/>
  <c r="AB13" i="16" s="1"/>
  <c r="X12" i="16"/>
  <c r="AD12" i="16" s="1"/>
  <c r="W12" i="16"/>
  <c r="AC12" i="16" s="1"/>
  <c r="V12" i="16"/>
  <c r="AB12" i="16" s="1"/>
  <c r="X11" i="16"/>
  <c r="AD11" i="16" s="1"/>
  <c r="W11" i="16"/>
  <c r="AC11" i="16" s="1"/>
  <c r="V11" i="16"/>
  <c r="AB11" i="16" s="1"/>
  <c r="X10" i="16"/>
  <c r="AD10" i="16" s="1"/>
  <c r="W10" i="16"/>
  <c r="AC10" i="16" s="1"/>
  <c r="V10" i="16"/>
  <c r="AB10" i="16" s="1"/>
  <c r="X9" i="16"/>
  <c r="AD9" i="16" s="1"/>
  <c r="W9" i="16"/>
  <c r="AC9" i="16" s="1"/>
  <c r="V9" i="16"/>
  <c r="AB9" i="16" s="1"/>
  <c r="X8" i="16"/>
  <c r="AD8" i="16" s="1"/>
  <c r="W8" i="16"/>
  <c r="AC8" i="16" s="1"/>
  <c r="V8" i="16"/>
  <c r="AB8" i="16" s="1"/>
  <c r="X7" i="16"/>
  <c r="AD7" i="16" s="1"/>
  <c r="W7" i="16"/>
  <c r="AC7" i="16" s="1"/>
  <c r="V7" i="16"/>
  <c r="AB7" i="16" s="1"/>
  <c r="X6" i="16"/>
  <c r="AD6" i="16" s="1"/>
  <c r="W6" i="16"/>
  <c r="AC6" i="16" s="1"/>
  <c r="V6" i="16"/>
  <c r="AB6" i="16" s="1"/>
  <c r="X5" i="16"/>
  <c r="AD5" i="16" s="1"/>
  <c r="W5" i="16"/>
  <c r="AC5" i="16" s="1"/>
  <c r="V5" i="16"/>
  <c r="AB5" i="16" s="1"/>
  <c r="X4" i="16"/>
  <c r="AD4" i="16" s="1"/>
  <c r="W4" i="16"/>
  <c r="AC4" i="16" s="1"/>
  <c r="V4" i="16"/>
  <c r="AB4" i="16" s="1"/>
  <c r="X3" i="16"/>
  <c r="AD3" i="16" s="1"/>
  <c r="W3" i="16"/>
  <c r="AC3" i="16" s="1"/>
  <c r="V3" i="16"/>
  <c r="AB3" i="16" s="1"/>
  <c r="X2" i="16"/>
  <c r="AD2" i="16" s="1"/>
  <c r="W2" i="16"/>
  <c r="AC2" i="16" s="1"/>
  <c r="V2" i="16"/>
  <c r="AB2" i="16" s="1"/>
  <c r="AD51" i="6"/>
  <c r="AB51" i="6"/>
  <c r="AA51" i="6"/>
  <c r="AA51" i="7" s="1"/>
  <c r="Z51" i="6"/>
  <c r="X51" i="6"/>
  <c r="W51" i="6"/>
  <c r="V51" i="6"/>
  <c r="U51" i="6"/>
  <c r="AD50" i="6"/>
  <c r="AB50" i="6"/>
  <c r="AA50" i="6"/>
  <c r="Z50" i="6"/>
  <c r="Z50" i="7" s="1"/>
  <c r="X50" i="6"/>
  <c r="W50" i="6"/>
  <c r="V50" i="6"/>
  <c r="U50" i="6"/>
  <c r="AD49" i="6"/>
  <c r="AB49" i="6"/>
  <c r="AA49" i="6"/>
  <c r="AA49" i="7" s="1"/>
  <c r="Z49" i="6"/>
  <c r="X49" i="6"/>
  <c r="W49" i="6"/>
  <c r="V49" i="6"/>
  <c r="U49" i="6"/>
  <c r="AD48" i="6"/>
  <c r="AB48" i="6"/>
  <c r="AA48" i="6"/>
  <c r="AA48" i="7" s="1"/>
  <c r="Z48" i="6"/>
  <c r="Z48" i="7" s="1"/>
  <c r="X48" i="6"/>
  <c r="W48" i="6"/>
  <c r="V48" i="6"/>
  <c r="U48" i="6"/>
  <c r="AD47" i="6"/>
  <c r="AB47" i="6"/>
  <c r="AA47" i="6"/>
  <c r="Z47" i="6"/>
  <c r="X47" i="6"/>
  <c r="W47" i="6"/>
  <c r="V47" i="6"/>
  <c r="U47" i="6"/>
  <c r="AD46" i="6"/>
  <c r="AB46" i="6"/>
  <c r="AA46" i="6"/>
  <c r="Z46" i="6"/>
  <c r="Z46" i="7" s="1"/>
  <c r="X46" i="6"/>
  <c r="W46" i="6"/>
  <c r="V46" i="6"/>
  <c r="U46" i="6"/>
  <c r="AD45" i="6"/>
  <c r="AB45" i="6"/>
  <c r="AA45" i="6"/>
  <c r="AA45" i="7" s="1"/>
  <c r="Z45" i="6"/>
  <c r="Z45" i="7" s="1"/>
  <c r="X45" i="6"/>
  <c r="W45" i="6"/>
  <c r="V45" i="6"/>
  <c r="U45" i="6"/>
  <c r="AD44" i="6"/>
  <c r="AB44" i="6"/>
  <c r="AA44" i="6"/>
  <c r="AA44" i="7" s="1"/>
  <c r="Z44" i="6"/>
  <c r="Z44" i="7" s="1"/>
  <c r="X44" i="6"/>
  <c r="W44" i="6"/>
  <c r="V44" i="6"/>
  <c r="U44" i="6"/>
  <c r="AD43" i="6"/>
  <c r="AB43" i="6"/>
  <c r="AA43" i="6"/>
  <c r="AA43" i="7" s="1"/>
  <c r="Z43" i="6"/>
  <c r="X43" i="6"/>
  <c r="W43" i="6"/>
  <c r="V43" i="6"/>
  <c r="U43" i="6"/>
  <c r="AD42" i="6"/>
  <c r="AB42" i="6"/>
  <c r="AA42" i="6"/>
  <c r="Z42" i="6"/>
  <c r="Z42" i="7" s="1"/>
  <c r="X42" i="6"/>
  <c r="W42" i="6"/>
  <c r="V42" i="6"/>
  <c r="U42" i="6"/>
  <c r="AD41" i="6"/>
  <c r="AB41" i="6"/>
  <c r="AA41" i="6"/>
  <c r="AA41" i="7" s="1"/>
  <c r="Z41" i="6"/>
  <c r="X41" i="6"/>
  <c r="W41" i="6"/>
  <c r="V41" i="6"/>
  <c r="U41" i="6"/>
  <c r="AD40" i="6"/>
  <c r="AB40" i="6"/>
  <c r="AA40" i="6"/>
  <c r="AA40" i="7" s="1"/>
  <c r="Z40" i="6"/>
  <c r="Z40" i="7" s="1"/>
  <c r="X40" i="6"/>
  <c r="W40" i="6"/>
  <c r="V40" i="6"/>
  <c r="U40" i="6"/>
  <c r="AD39" i="6"/>
  <c r="AB39" i="6"/>
  <c r="AA39" i="6"/>
  <c r="Z39" i="6"/>
  <c r="X39" i="6"/>
  <c r="W39" i="6"/>
  <c r="V39" i="6"/>
  <c r="U39" i="6"/>
  <c r="AD38" i="6"/>
  <c r="AB38" i="6"/>
  <c r="AA38" i="6"/>
  <c r="Z38" i="6"/>
  <c r="Z38" i="7" s="1"/>
  <c r="X38" i="6"/>
  <c r="W38" i="6"/>
  <c r="V38" i="6"/>
  <c r="U38" i="6"/>
  <c r="AD37" i="6"/>
  <c r="AB37" i="6"/>
  <c r="AA37" i="6"/>
  <c r="AA37" i="7" s="1"/>
  <c r="Z37" i="6"/>
  <c r="Z37" i="7" s="1"/>
  <c r="X37" i="6"/>
  <c r="W37" i="6"/>
  <c r="V37" i="6"/>
  <c r="U37" i="6"/>
  <c r="AD36" i="6"/>
  <c r="AB36" i="6"/>
  <c r="AA36" i="6"/>
  <c r="AA36" i="7" s="1"/>
  <c r="Z36" i="6"/>
  <c r="Z36" i="7" s="1"/>
  <c r="X36" i="6"/>
  <c r="W36" i="6"/>
  <c r="V36" i="6"/>
  <c r="U36" i="6"/>
  <c r="AD35" i="6"/>
  <c r="AB35" i="6"/>
  <c r="AA35" i="6"/>
  <c r="AA35" i="7" s="1"/>
  <c r="Z35" i="6"/>
  <c r="X35" i="6"/>
  <c r="W35" i="6"/>
  <c r="V35" i="6"/>
  <c r="U35" i="6"/>
  <c r="AD34" i="6"/>
  <c r="AB34" i="6"/>
  <c r="AA34" i="6"/>
  <c r="Z34" i="6"/>
  <c r="Z34" i="7" s="1"/>
  <c r="X34" i="6"/>
  <c r="W34" i="6"/>
  <c r="V34" i="6"/>
  <c r="U34" i="6"/>
  <c r="AD33" i="6"/>
  <c r="AB33" i="6"/>
  <c r="AA33" i="6"/>
  <c r="AA33" i="7" s="1"/>
  <c r="Z33" i="6"/>
  <c r="X33" i="6"/>
  <c r="W33" i="6"/>
  <c r="V33" i="6"/>
  <c r="U33" i="6"/>
  <c r="AD32" i="6"/>
  <c r="AB32" i="6"/>
  <c r="AA32" i="6"/>
  <c r="AA32" i="7" s="1"/>
  <c r="Z32" i="6"/>
  <c r="Z32" i="7" s="1"/>
  <c r="X32" i="6"/>
  <c r="W32" i="6"/>
  <c r="V32" i="6"/>
  <c r="U32" i="6"/>
  <c r="AD31" i="6"/>
  <c r="AB31" i="6"/>
  <c r="AA31" i="6"/>
  <c r="Z31" i="6"/>
  <c r="X31" i="6"/>
  <c r="W31" i="6"/>
  <c r="V31" i="6"/>
  <c r="U31" i="6"/>
  <c r="AD30" i="6"/>
  <c r="AB30" i="6"/>
  <c r="AA30" i="6"/>
  <c r="Z30" i="6"/>
  <c r="Z30" i="7" s="1"/>
  <c r="X30" i="6"/>
  <c r="W30" i="6"/>
  <c r="V30" i="6"/>
  <c r="U30" i="6"/>
  <c r="AD29" i="6"/>
  <c r="AB29" i="6"/>
  <c r="AA29" i="6"/>
  <c r="AA29" i="7" s="1"/>
  <c r="Z29" i="6"/>
  <c r="Z29" i="7" s="1"/>
  <c r="X29" i="6"/>
  <c r="W29" i="6"/>
  <c r="V29" i="6"/>
  <c r="U29" i="6"/>
  <c r="AD28" i="6"/>
  <c r="AB28" i="6"/>
  <c r="AA28" i="6"/>
  <c r="AA28" i="7" s="1"/>
  <c r="Z28" i="6"/>
  <c r="Z28" i="7" s="1"/>
  <c r="X28" i="6"/>
  <c r="W28" i="6"/>
  <c r="V28" i="6"/>
  <c r="U28" i="6"/>
  <c r="AD27" i="6"/>
  <c r="AB27" i="6"/>
  <c r="AA27" i="6"/>
  <c r="AA27" i="7" s="1"/>
  <c r="Z27" i="6"/>
  <c r="X27" i="6"/>
  <c r="W27" i="6"/>
  <c r="V27" i="6"/>
  <c r="U27" i="6"/>
  <c r="AD26" i="6"/>
  <c r="AB26" i="6"/>
  <c r="AA26" i="6"/>
  <c r="Z26" i="6"/>
  <c r="Z26" i="7" s="1"/>
  <c r="X26" i="6"/>
  <c r="W26" i="6"/>
  <c r="V26" i="6"/>
  <c r="U26" i="6"/>
  <c r="AD25" i="6"/>
  <c r="AC25" i="6"/>
  <c r="AB25" i="6"/>
  <c r="AA25" i="6"/>
  <c r="AA25" i="7" s="1"/>
  <c r="Z25" i="6"/>
  <c r="Z25" i="7" s="1"/>
  <c r="Y25" i="6"/>
  <c r="X25" i="6"/>
  <c r="W25" i="6"/>
  <c r="V25" i="6"/>
  <c r="U25" i="6"/>
  <c r="AD24" i="6"/>
  <c r="AB24" i="6"/>
  <c r="AA24" i="6"/>
  <c r="AA24" i="7" s="1"/>
  <c r="Z24" i="6"/>
  <c r="Z24" i="7" s="1"/>
  <c r="X24" i="6"/>
  <c r="W24" i="6"/>
  <c r="V24" i="6"/>
  <c r="U24" i="6"/>
  <c r="AD23" i="6"/>
  <c r="AB23" i="6"/>
  <c r="AA23" i="6"/>
  <c r="AA23" i="7" s="1"/>
  <c r="Z23" i="6"/>
  <c r="X23" i="6"/>
  <c r="W23" i="6"/>
  <c r="V23" i="6"/>
  <c r="U23" i="6"/>
  <c r="AD22" i="6"/>
  <c r="AB22" i="6"/>
  <c r="AA22" i="6"/>
  <c r="Z22" i="6"/>
  <c r="Z22" i="7" s="1"/>
  <c r="X22" i="6"/>
  <c r="W22" i="6"/>
  <c r="V22" i="6"/>
  <c r="U22" i="6"/>
  <c r="AD21" i="6"/>
  <c r="AB21" i="6"/>
  <c r="AA21" i="6"/>
  <c r="AA21" i="7" s="1"/>
  <c r="Z21" i="6"/>
  <c r="Z21" i="7" s="1"/>
  <c r="X21" i="6"/>
  <c r="W21" i="6"/>
  <c r="V21" i="6"/>
  <c r="U21" i="6"/>
  <c r="AD20" i="6"/>
  <c r="AC20" i="6"/>
  <c r="AB20" i="6"/>
  <c r="AA20" i="6"/>
  <c r="Z20" i="6"/>
  <c r="Z20" i="7" s="1"/>
  <c r="Y20" i="6"/>
  <c r="X20" i="6"/>
  <c r="W20" i="6"/>
  <c r="V20" i="6"/>
  <c r="U20" i="6"/>
  <c r="AD19" i="6"/>
  <c r="AC19" i="6"/>
  <c r="AB19" i="6"/>
  <c r="AA19" i="6"/>
  <c r="Z19" i="6"/>
  <c r="Y19" i="6"/>
  <c r="X19" i="6"/>
  <c r="W19" i="6"/>
  <c r="V19" i="6"/>
  <c r="U19" i="6"/>
  <c r="AD18" i="6"/>
  <c r="AC18" i="6"/>
  <c r="AB18" i="6"/>
  <c r="AA18" i="6"/>
  <c r="Z18" i="6"/>
  <c r="Z18" i="7" s="1"/>
  <c r="Y18" i="6"/>
  <c r="X18" i="6"/>
  <c r="W18" i="6"/>
  <c r="V18" i="6"/>
  <c r="U18" i="6"/>
  <c r="AD17" i="6"/>
  <c r="AC17" i="6"/>
  <c r="AB17" i="6"/>
  <c r="AA17" i="6"/>
  <c r="AA17" i="7" s="1"/>
  <c r="Z17" i="6"/>
  <c r="Z17" i="7" s="1"/>
  <c r="Y17" i="6"/>
  <c r="X17" i="6"/>
  <c r="W17" i="6"/>
  <c r="V17" i="6"/>
  <c r="U17" i="6"/>
  <c r="AD16" i="6"/>
  <c r="AC16" i="6"/>
  <c r="AB16" i="6"/>
  <c r="AA16" i="6"/>
  <c r="AA16" i="7" s="1"/>
  <c r="Z16" i="6"/>
  <c r="Z16" i="7" s="1"/>
  <c r="Y16" i="6"/>
  <c r="X16" i="6"/>
  <c r="W16" i="6"/>
  <c r="V16" i="6"/>
  <c r="U16" i="6"/>
  <c r="AD15" i="6"/>
  <c r="AC15" i="6"/>
  <c r="AB15" i="6"/>
  <c r="AA15" i="6"/>
  <c r="Z15" i="6"/>
  <c r="Y15" i="6"/>
  <c r="X15" i="6"/>
  <c r="W15" i="6"/>
  <c r="V15" i="6"/>
  <c r="U15" i="6"/>
  <c r="AD14" i="6"/>
  <c r="AC14" i="6"/>
  <c r="AB14" i="6"/>
  <c r="AA14" i="6"/>
  <c r="Z14" i="6"/>
  <c r="Z14" i="7" s="1"/>
  <c r="Y14" i="6"/>
  <c r="X14" i="6"/>
  <c r="W14" i="6"/>
  <c r="V14" i="6"/>
  <c r="U14" i="6"/>
  <c r="AD13" i="6"/>
  <c r="AC13" i="6"/>
  <c r="AB13" i="6"/>
  <c r="AA13" i="6"/>
  <c r="AA13" i="7" s="1"/>
  <c r="Z13" i="6"/>
  <c r="Z13" i="7" s="1"/>
  <c r="Y13" i="6"/>
  <c r="X13" i="6"/>
  <c r="W13" i="6"/>
  <c r="V13" i="6"/>
  <c r="U13" i="6"/>
  <c r="AD12" i="6"/>
  <c r="AC12" i="6"/>
  <c r="AB12" i="6"/>
  <c r="AA12" i="6"/>
  <c r="Z12" i="6"/>
  <c r="Z12" i="7" s="1"/>
  <c r="Y12" i="6"/>
  <c r="X12" i="6"/>
  <c r="W12" i="6"/>
  <c r="V12" i="6"/>
  <c r="U12" i="6"/>
  <c r="AD11" i="6"/>
  <c r="AC11" i="6"/>
  <c r="AB11" i="6"/>
  <c r="AA11" i="6"/>
  <c r="Z11" i="6"/>
  <c r="Y11" i="6"/>
  <c r="X11" i="6"/>
  <c r="W11" i="6"/>
  <c r="V11" i="6"/>
  <c r="U11" i="6"/>
  <c r="AD10" i="6"/>
  <c r="AC10" i="6"/>
  <c r="AB10" i="6"/>
  <c r="AA10" i="6"/>
  <c r="Z10" i="6"/>
  <c r="Z10" i="7" s="1"/>
  <c r="Y10" i="6"/>
  <c r="X10" i="6"/>
  <c r="W10" i="6"/>
  <c r="V10" i="6"/>
  <c r="U10" i="6"/>
  <c r="AD9" i="6"/>
  <c r="AC9" i="6"/>
  <c r="AB9" i="6"/>
  <c r="AA9" i="6"/>
  <c r="AA9" i="7" s="1"/>
  <c r="Z9" i="6"/>
  <c r="Z9" i="7" s="1"/>
  <c r="Y9" i="6"/>
  <c r="X9" i="6"/>
  <c r="W9" i="6"/>
  <c r="V9" i="6"/>
  <c r="U9" i="6"/>
  <c r="AD8" i="6"/>
  <c r="AC8" i="6"/>
  <c r="AB8" i="6"/>
  <c r="AA8" i="6"/>
  <c r="AA8" i="7" s="1"/>
  <c r="Z8" i="6"/>
  <c r="Z8" i="7" s="1"/>
  <c r="Y8" i="6"/>
  <c r="X8" i="6"/>
  <c r="W8" i="6"/>
  <c r="V8" i="6"/>
  <c r="U8" i="6"/>
  <c r="AD7" i="6"/>
  <c r="AC7" i="6"/>
  <c r="AB7" i="6"/>
  <c r="AA7" i="6"/>
  <c r="Z7" i="6"/>
  <c r="Y7" i="6"/>
  <c r="X7" i="6"/>
  <c r="W7" i="6"/>
  <c r="V7" i="6"/>
  <c r="U7" i="6"/>
  <c r="AD6" i="6"/>
  <c r="AC6" i="6"/>
  <c r="AB6" i="6"/>
  <c r="AA6" i="6"/>
  <c r="Z6" i="6"/>
  <c r="Z6" i="7" s="1"/>
  <c r="Y6" i="6"/>
  <c r="X6" i="6"/>
  <c r="W6" i="6"/>
  <c r="V6" i="6"/>
  <c r="U6" i="6"/>
  <c r="AD5" i="6"/>
  <c r="AC5" i="6"/>
  <c r="AB5" i="6"/>
  <c r="AA5" i="6"/>
  <c r="AA5" i="7" s="1"/>
  <c r="Z5" i="6"/>
  <c r="Z5" i="7" s="1"/>
  <c r="Y5" i="6"/>
  <c r="X5" i="6"/>
  <c r="W5" i="6"/>
  <c r="V5" i="6"/>
  <c r="U5" i="6"/>
  <c r="AP51" i="14"/>
  <c r="AC51" i="14"/>
  <c r="AC51" i="6" s="1"/>
  <c r="Y51" i="14"/>
  <c r="Y51" i="6" s="1"/>
  <c r="AP50" i="14"/>
  <c r="AC50" i="14"/>
  <c r="AC50" i="6" s="1"/>
  <c r="Y50" i="14"/>
  <c r="Y50" i="6" s="1"/>
  <c r="AP49" i="14"/>
  <c r="AC49" i="14"/>
  <c r="AC49" i="6" s="1"/>
  <c r="Y49" i="14"/>
  <c r="Y49" i="6" s="1"/>
  <c r="AP48" i="14"/>
  <c r="AC48" i="14"/>
  <c r="AC48" i="6" s="1"/>
  <c r="Y48" i="14"/>
  <c r="Y48" i="6" s="1"/>
  <c r="AP47" i="14"/>
  <c r="AC47" i="14"/>
  <c r="AC47" i="6" s="1"/>
  <c r="Y47" i="14"/>
  <c r="Y47" i="6" s="1"/>
  <c r="AP46" i="14"/>
  <c r="AC46" i="14"/>
  <c r="AC46" i="6" s="1"/>
  <c r="Y46" i="14"/>
  <c r="Y46" i="6" s="1"/>
  <c r="AP45" i="14"/>
  <c r="AC45" i="14"/>
  <c r="AC45" i="6" s="1"/>
  <c r="Y45" i="14"/>
  <c r="Y45" i="6" s="1"/>
  <c r="AP44" i="14"/>
  <c r="AC44" i="14"/>
  <c r="AC44" i="6" s="1"/>
  <c r="Y44" i="14"/>
  <c r="Y44" i="6" s="1"/>
  <c r="AP43" i="14"/>
  <c r="AC43" i="14"/>
  <c r="AC43" i="6" s="1"/>
  <c r="Y43" i="14"/>
  <c r="Y43" i="6" s="1"/>
  <c r="AP42" i="14"/>
  <c r="AC42" i="14"/>
  <c r="AC42" i="6" s="1"/>
  <c r="Y42" i="14"/>
  <c r="Y42" i="6" s="1"/>
  <c r="AP41" i="14"/>
  <c r="AC41" i="14"/>
  <c r="AC41" i="6" s="1"/>
  <c r="Y41" i="14"/>
  <c r="Y41" i="6" s="1"/>
  <c r="AP40" i="14"/>
  <c r="AC40" i="14"/>
  <c r="AC40" i="6" s="1"/>
  <c r="Y40" i="14"/>
  <c r="Y40" i="6" s="1"/>
  <c r="AP39" i="14"/>
  <c r="AC39" i="14"/>
  <c r="AC39" i="6" s="1"/>
  <c r="Y39" i="14"/>
  <c r="Y39" i="6" s="1"/>
  <c r="AP38" i="14"/>
  <c r="AC38" i="14"/>
  <c r="AC38" i="6" s="1"/>
  <c r="Y38" i="14"/>
  <c r="Y38" i="6" s="1"/>
  <c r="AP37" i="14"/>
  <c r="AC37" i="14"/>
  <c r="AC37" i="6" s="1"/>
  <c r="Y37" i="14"/>
  <c r="Y37" i="6" s="1"/>
  <c r="AP36" i="14"/>
  <c r="AC36" i="14"/>
  <c r="AC36" i="6" s="1"/>
  <c r="Y36" i="14"/>
  <c r="Y36" i="6" s="1"/>
  <c r="AP35" i="14"/>
  <c r="AC35" i="14"/>
  <c r="AC35" i="6" s="1"/>
  <c r="Y35" i="14"/>
  <c r="Y35" i="6" s="1"/>
  <c r="AP34" i="14"/>
  <c r="AC34" i="14"/>
  <c r="AC34" i="6" s="1"/>
  <c r="Y34" i="14"/>
  <c r="Y34" i="6" s="1"/>
  <c r="AP33" i="14"/>
  <c r="AC33" i="14"/>
  <c r="AC33" i="6" s="1"/>
  <c r="Y33" i="14"/>
  <c r="Y33" i="6" s="1"/>
  <c r="AP32" i="14"/>
  <c r="AC32" i="14"/>
  <c r="AC32" i="6" s="1"/>
  <c r="Y32" i="14"/>
  <c r="Y32" i="6" s="1"/>
  <c r="AP31" i="14"/>
  <c r="AC31" i="14"/>
  <c r="AC31" i="6" s="1"/>
  <c r="Y31" i="14"/>
  <c r="Y31" i="6" s="1"/>
  <c r="AP30" i="14"/>
  <c r="AC30" i="14"/>
  <c r="AC30" i="6" s="1"/>
  <c r="Y30" i="14"/>
  <c r="Y30" i="6" s="1"/>
  <c r="AP29" i="14"/>
  <c r="AC29" i="14"/>
  <c r="AC29" i="6" s="1"/>
  <c r="Y29" i="14"/>
  <c r="Y29" i="6" s="1"/>
  <c r="AP28" i="14"/>
  <c r="AC28" i="14"/>
  <c r="AC28" i="6" s="1"/>
  <c r="Y28" i="14"/>
  <c r="Y28" i="6" s="1"/>
  <c r="AP27" i="14"/>
  <c r="AC27" i="14"/>
  <c r="AC27" i="6" s="1"/>
  <c r="Y27" i="14"/>
  <c r="Y27" i="6" s="1"/>
  <c r="AP26" i="14"/>
  <c r="AC26" i="14"/>
  <c r="AC26" i="6" s="1"/>
  <c r="Y26" i="14"/>
  <c r="Y26" i="6" s="1"/>
  <c r="AP24" i="14"/>
  <c r="AC24" i="14"/>
  <c r="AC24" i="6" s="1"/>
  <c r="Y24" i="14"/>
  <c r="Y24" i="6" s="1"/>
  <c r="AP23" i="14"/>
  <c r="AC23" i="14"/>
  <c r="AC23" i="6" s="1"/>
  <c r="Y23" i="14"/>
  <c r="Y23" i="6" s="1"/>
  <c r="AP22" i="14"/>
  <c r="AC22" i="14"/>
  <c r="AC22" i="6" s="1"/>
  <c r="Y22" i="14"/>
  <c r="Y22" i="6" s="1"/>
  <c r="AP21" i="14"/>
  <c r="AC21" i="14"/>
  <c r="AC21" i="6" s="1"/>
  <c r="Y21" i="14"/>
  <c r="Y21" i="6" s="1"/>
  <c r="X47" i="13"/>
  <c r="V47" i="13"/>
  <c r="T47" i="13"/>
  <c r="P47" i="13"/>
  <c r="O47" i="13"/>
  <c r="N47" i="13"/>
  <c r="M47" i="13"/>
  <c r="V46" i="13"/>
  <c r="U46" i="13"/>
  <c r="T46" i="13"/>
  <c r="P46" i="13"/>
  <c r="O46" i="13"/>
  <c r="N46" i="13"/>
  <c r="M46" i="13"/>
  <c r="X45" i="13"/>
  <c r="V45" i="13"/>
  <c r="U45" i="13"/>
  <c r="T45" i="13"/>
  <c r="P45" i="13"/>
  <c r="O45" i="13"/>
  <c r="N45" i="13"/>
  <c r="M45" i="13"/>
  <c r="X47" i="12"/>
  <c r="V47" i="12"/>
  <c r="T47" i="12"/>
  <c r="P47" i="12"/>
  <c r="O47" i="12"/>
  <c r="N47" i="12"/>
  <c r="M47" i="12"/>
  <c r="V46" i="12"/>
  <c r="U46" i="12"/>
  <c r="T46" i="12"/>
  <c r="P46" i="12"/>
  <c r="O46" i="12"/>
  <c r="N46" i="12"/>
  <c r="M46" i="12"/>
  <c r="X45" i="12"/>
  <c r="V45" i="12"/>
  <c r="V49" i="12" s="1"/>
  <c r="U45" i="12"/>
  <c r="U49" i="12" s="1"/>
  <c r="T45" i="12"/>
  <c r="T49" i="12" s="1"/>
  <c r="P45" i="12"/>
  <c r="O45" i="12"/>
  <c r="O49" i="12" s="1"/>
  <c r="N45" i="12"/>
  <c r="N49" i="12" s="1"/>
  <c r="M45" i="12"/>
  <c r="Y42" i="11"/>
  <c r="Y41" i="11"/>
  <c r="Y40" i="11"/>
  <c r="Y39" i="11"/>
  <c r="Y38" i="11"/>
  <c r="Y37" i="11"/>
  <c r="Y36" i="11"/>
  <c r="Y35" i="11"/>
  <c r="Y34" i="11"/>
  <c r="Y33" i="11"/>
  <c r="Y32" i="11"/>
  <c r="Y31" i="11"/>
  <c r="Y30" i="11"/>
  <c r="Y29" i="11"/>
  <c r="Y28" i="11"/>
  <c r="Y27" i="11"/>
  <c r="Y26" i="11"/>
  <c r="Y25" i="11"/>
  <c r="Y24" i="11"/>
  <c r="Y23" i="11"/>
  <c r="Y22" i="11"/>
  <c r="Y21" i="11"/>
  <c r="Y20" i="11"/>
  <c r="Y19" i="11"/>
  <c r="Y18" i="11"/>
  <c r="Y17" i="11"/>
  <c r="Y16" i="11"/>
  <c r="Y15" i="11"/>
  <c r="Y14" i="11"/>
  <c r="Y13" i="11"/>
  <c r="Y12" i="11"/>
  <c r="Y11" i="11"/>
  <c r="Y10" i="11"/>
  <c r="Y9" i="11"/>
  <c r="Y8" i="11"/>
  <c r="Y7" i="11"/>
  <c r="Y6" i="11"/>
  <c r="Y5" i="11"/>
  <c r="X47" i="11"/>
  <c r="V47" i="11"/>
  <c r="T47" i="11"/>
  <c r="P47" i="11"/>
  <c r="O47" i="11"/>
  <c r="N47" i="11"/>
  <c r="M47" i="11"/>
  <c r="V46" i="11"/>
  <c r="U46" i="11"/>
  <c r="T46" i="11"/>
  <c r="P46" i="11"/>
  <c r="O46" i="11"/>
  <c r="N46" i="11"/>
  <c r="M46" i="11"/>
  <c r="X45" i="11"/>
  <c r="V45" i="11"/>
  <c r="V49" i="11" s="1"/>
  <c r="U45" i="11"/>
  <c r="U49" i="11" s="1"/>
  <c r="T45" i="11"/>
  <c r="T49" i="11" s="1"/>
  <c r="P45" i="11"/>
  <c r="P49" i="11" s="1"/>
  <c r="O45" i="11"/>
  <c r="O49" i="11" s="1"/>
  <c r="N45" i="11"/>
  <c r="N49" i="11" s="1"/>
  <c r="M45" i="11"/>
  <c r="X47" i="10"/>
  <c r="X45" i="10"/>
  <c r="V47" i="10"/>
  <c r="V46" i="10"/>
  <c r="V45" i="10"/>
  <c r="U46" i="10"/>
  <c r="U45" i="10"/>
  <c r="T47" i="10"/>
  <c r="T46" i="10"/>
  <c r="T45" i="10"/>
  <c r="R48" i="10"/>
  <c r="P47" i="10"/>
  <c r="P46" i="10"/>
  <c r="P45" i="10"/>
  <c r="O47" i="10"/>
  <c r="O46" i="10"/>
  <c r="O45" i="10"/>
  <c r="N47" i="10"/>
  <c r="N46" i="10"/>
  <c r="N45" i="10"/>
  <c r="M47" i="10"/>
  <c r="M46" i="10"/>
  <c r="M45" i="10"/>
  <c r="Z42" i="10"/>
  <c r="Z41" i="10"/>
  <c r="Z40" i="10"/>
  <c r="Z39" i="10"/>
  <c r="Z38" i="10"/>
  <c r="Z37" i="10"/>
  <c r="Z36" i="10"/>
  <c r="Z35" i="10"/>
  <c r="Z34" i="10"/>
  <c r="Z33" i="10"/>
  <c r="Z32" i="10"/>
  <c r="Z31" i="10"/>
  <c r="Z30" i="10"/>
  <c r="Z29" i="10"/>
  <c r="Z28" i="10"/>
  <c r="Z27" i="10"/>
  <c r="Z26" i="10"/>
  <c r="Z25" i="10"/>
  <c r="Z24" i="10"/>
  <c r="Z23" i="10"/>
  <c r="Z22" i="10"/>
  <c r="Z21" i="10"/>
  <c r="Z20" i="10"/>
  <c r="Z19" i="10"/>
  <c r="Z18" i="10"/>
  <c r="Z17" i="10"/>
  <c r="Z15" i="10"/>
  <c r="Z14" i="10"/>
  <c r="Z13" i="10"/>
  <c r="Z12" i="10"/>
  <c r="V42" i="10"/>
  <c r="V41" i="10"/>
  <c r="V40" i="10"/>
  <c r="V39" i="10"/>
  <c r="V38" i="10"/>
  <c r="V37" i="10"/>
  <c r="V36" i="10"/>
  <c r="V35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5" i="10"/>
  <c r="V14" i="10"/>
  <c r="V13" i="10"/>
  <c r="V12" i="10"/>
  <c r="U42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5" i="10"/>
  <c r="U14" i="10"/>
  <c r="U13" i="10"/>
  <c r="U12" i="10"/>
  <c r="T42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5" i="10"/>
  <c r="T14" i="10"/>
  <c r="T13" i="10"/>
  <c r="T12" i="10"/>
  <c r="R42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7" i="10"/>
  <c r="R15" i="10"/>
  <c r="R14" i="10"/>
  <c r="R13" i="10"/>
  <c r="R12" i="10"/>
  <c r="P42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5" i="10"/>
  <c r="P14" i="10"/>
  <c r="P13" i="10"/>
  <c r="P12" i="10"/>
  <c r="O42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5" i="10"/>
  <c r="O14" i="10"/>
  <c r="O13" i="10"/>
  <c r="O12" i="10"/>
  <c r="N42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5" i="10"/>
  <c r="N14" i="10"/>
  <c r="N13" i="10"/>
  <c r="N12" i="10"/>
  <c r="M42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5" i="10"/>
  <c r="M14" i="10"/>
  <c r="M13" i="10"/>
  <c r="M12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5" i="10"/>
  <c r="L14" i="10"/>
  <c r="L13" i="10"/>
  <c r="L12" i="10"/>
  <c r="P54" i="9"/>
  <c r="AK56" i="9"/>
  <c r="AF56" i="9"/>
  <c r="AP54" i="9" s="1"/>
  <c r="AE56" i="9"/>
  <c r="AO54" i="9" s="1"/>
  <c r="AC56" i="9"/>
  <c r="Y56" i="9"/>
  <c r="X56" i="9"/>
  <c r="W56" i="9"/>
  <c r="S56" i="9"/>
  <c r="R56" i="9"/>
  <c r="Q56" i="9"/>
  <c r="P56" i="9"/>
  <c r="O56" i="9"/>
  <c r="M56" i="9"/>
  <c r="L56" i="9"/>
  <c r="AK55" i="9"/>
  <c r="AF55" i="9"/>
  <c r="AC55" i="9"/>
  <c r="AA55" i="9"/>
  <c r="Z55" i="9"/>
  <c r="Y55" i="9"/>
  <c r="X55" i="9"/>
  <c r="W55" i="9"/>
  <c r="V55" i="9"/>
  <c r="U55" i="9"/>
  <c r="S55" i="9"/>
  <c r="R55" i="9"/>
  <c r="Q55" i="9"/>
  <c r="P55" i="9"/>
  <c r="O55" i="9"/>
  <c r="M55" i="9"/>
  <c r="L55" i="9"/>
  <c r="AL57" i="8"/>
  <c r="AG57" i="8"/>
  <c r="AD57" i="8"/>
  <c r="AB57" i="8"/>
  <c r="T57" i="8"/>
  <c r="AK56" i="8"/>
  <c r="AF56" i="8"/>
  <c r="AE56" i="8"/>
  <c r="AC56" i="8"/>
  <c r="Y56" i="8"/>
  <c r="X56" i="8"/>
  <c r="W56" i="8"/>
  <c r="S56" i="8"/>
  <c r="R56" i="8"/>
  <c r="Q56" i="8"/>
  <c r="P56" i="8"/>
  <c r="O56" i="8"/>
  <c r="M56" i="8"/>
  <c r="L56" i="8"/>
  <c r="AK55" i="8"/>
  <c r="AF55" i="8"/>
  <c r="AP54" i="8" s="1"/>
  <c r="AC55" i="8"/>
  <c r="AB55" i="8"/>
  <c r="AA55" i="8"/>
  <c r="Z55" i="8"/>
  <c r="Y55" i="8"/>
  <c r="X55" i="8"/>
  <c r="W55" i="8"/>
  <c r="V55" i="8"/>
  <c r="U55" i="8"/>
  <c r="S55" i="8"/>
  <c r="R55" i="8"/>
  <c r="Q55" i="8"/>
  <c r="P55" i="8"/>
  <c r="O55" i="8"/>
  <c r="M55" i="8"/>
  <c r="L55" i="8"/>
  <c r="AL57" i="7"/>
  <c r="AG57" i="7"/>
  <c r="AD57" i="7"/>
  <c r="AB57" i="7"/>
  <c r="T57" i="7"/>
  <c r="AG51" i="7"/>
  <c r="Z51" i="7"/>
  <c r="AG50" i="7"/>
  <c r="AA50" i="7"/>
  <c r="AG49" i="7"/>
  <c r="Z49" i="7"/>
  <c r="AG48" i="7"/>
  <c r="AG47" i="7"/>
  <c r="AA47" i="7"/>
  <c r="Z47" i="7"/>
  <c r="AG46" i="7"/>
  <c r="AA46" i="7"/>
  <c r="AG45" i="7"/>
  <c r="AG44" i="7"/>
  <c r="AG43" i="7"/>
  <c r="Z43" i="7"/>
  <c r="AG42" i="7"/>
  <c r="AA42" i="7"/>
  <c r="AG41" i="7"/>
  <c r="Z41" i="7"/>
  <c r="AG40" i="7"/>
  <c r="AG39" i="7"/>
  <c r="AA39" i="7"/>
  <c r="Z39" i="7"/>
  <c r="AG38" i="7"/>
  <c r="AA38" i="7"/>
  <c r="AG37" i="7"/>
  <c r="AG36" i="7"/>
  <c r="AG35" i="7"/>
  <c r="Z35" i="7"/>
  <c r="AG34" i="7"/>
  <c r="AA34" i="7"/>
  <c r="AG33" i="7"/>
  <c r="Z33" i="7"/>
  <c r="AG32" i="7"/>
  <c r="AG31" i="7"/>
  <c r="AA31" i="7"/>
  <c r="Z31" i="7"/>
  <c r="AG30" i="7"/>
  <c r="AA30" i="7"/>
  <c r="AG29" i="7"/>
  <c r="AG28" i="7"/>
  <c r="AG27" i="7"/>
  <c r="Z27" i="7"/>
  <c r="AG26" i="7"/>
  <c r="AA26" i="7"/>
  <c r="AG25" i="7"/>
  <c r="AG24" i="7"/>
  <c r="AG23" i="7"/>
  <c r="Z23" i="7"/>
  <c r="AG22" i="7"/>
  <c r="AA22" i="7"/>
  <c r="AG21" i="7"/>
  <c r="AG20" i="7"/>
  <c r="AA20" i="7"/>
  <c r="AG19" i="7"/>
  <c r="AA19" i="7"/>
  <c r="Z19" i="7"/>
  <c r="AG18" i="7"/>
  <c r="AA18" i="7"/>
  <c r="AG17" i="7"/>
  <c r="AG16" i="7"/>
  <c r="AG15" i="7"/>
  <c r="AA15" i="7"/>
  <c r="Z15" i="7"/>
  <c r="AG14" i="7"/>
  <c r="AA14" i="7"/>
  <c r="AG13" i="7"/>
  <c r="AG12" i="7"/>
  <c r="AA12" i="7"/>
  <c r="AG11" i="7"/>
  <c r="AA11" i="7"/>
  <c r="Z11" i="7"/>
  <c r="AG10" i="7"/>
  <c r="AA10" i="7"/>
  <c r="AG9" i="7"/>
  <c r="AG8" i="7"/>
  <c r="AG7" i="7"/>
  <c r="AA7" i="7"/>
  <c r="Z7" i="7"/>
  <c r="AG6" i="7"/>
  <c r="AA6" i="7"/>
  <c r="AG5" i="7"/>
  <c r="AK56" i="7"/>
  <c r="AF56" i="7"/>
  <c r="AE56" i="7"/>
  <c r="AC56" i="7"/>
  <c r="Z56" i="7"/>
  <c r="Y56" i="7"/>
  <c r="X56" i="7"/>
  <c r="W56" i="7"/>
  <c r="S56" i="7"/>
  <c r="R56" i="7"/>
  <c r="Q56" i="7"/>
  <c r="P56" i="7"/>
  <c r="O56" i="7"/>
  <c r="M56" i="7"/>
  <c r="L56" i="7"/>
  <c r="AK55" i="7"/>
  <c r="AI55" i="7"/>
  <c r="AF55" i="7"/>
  <c r="AC55" i="7"/>
  <c r="AA55" i="7"/>
  <c r="Z55" i="7"/>
  <c r="Y55" i="7"/>
  <c r="X55" i="7"/>
  <c r="W55" i="7"/>
  <c r="V55" i="7"/>
  <c r="U55" i="7"/>
  <c r="S55" i="7"/>
  <c r="R55" i="7"/>
  <c r="Q55" i="7"/>
  <c r="P55" i="7"/>
  <c r="O55" i="7"/>
  <c r="M55" i="7"/>
  <c r="L55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4" i="7"/>
  <c r="AP23" i="7"/>
  <c r="AP22" i="7"/>
  <c r="AP21" i="7"/>
  <c r="AA56" i="6"/>
  <c r="AA54" i="7" s="1"/>
  <c r="Z56" i="6"/>
  <c r="AK58" i="6"/>
  <c r="AK57" i="6"/>
  <c r="AK56" i="6"/>
  <c r="AF58" i="6"/>
  <c r="AF57" i="6"/>
  <c r="AF56" i="6"/>
  <c r="AF54" i="7" s="1"/>
  <c r="AE58" i="6"/>
  <c r="AE56" i="6"/>
  <c r="AC58" i="6"/>
  <c r="AC57" i="6"/>
  <c r="AC56" i="6"/>
  <c r="AB57" i="6"/>
  <c r="AA57" i="6"/>
  <c r="Z58" i="6"/>
  <c r="Z57" i="6"/>
  <c r="Y58" i="6"/>
  <c r="Y57" i="6"/>
  <c r="X58" i="6"/>
  <c r="X57" i="6"/>
  <c r="X56" i="6"/>
  <c r="W58" i="6"/>
  <c r="W57" i="6"/>
  <c r="V57" i="6"/>
  <c r="U57" i="6"/>
  <c r="U56" i="6"/>
  <c r="S58" i="6"/>
  <c r="S57" i="6"/>
  <c r="S56" i="6"/>
  <c r="S54" i="8" s="1"/>
  <c r="R58" i="6"/>
  <c r="R57" i="6"/>
  <c r="R56" i="6"/>
  <c r="Q58" i="6"/>
  <c r="Q57" i="6"/>
  <c r="Q56" i="6"/>
  <c r="P58" i="6"/>
  <c r="P57" i="6"/>
  <c r="P56" i="6"/>
  <c r="P54" i="8" s="1"/>
  <c r="P58" i="8" s="1"/>
  <c r="O58" i="6"/>
  <c r="O57" i="6"/>
  <c r="O56" i="6"/>
  <c r="M58" i="6"/>
  <c r="M57" i="6"/>
  <c r="M56" i="6"/>
  <c r="L58" i="6"/>
  <c r="L57" i="6"/>
  <c r="L56" i="6"/>
  <c r="AK16" i="6"/>
  <c r="AK15" i="6"/>
  <c r="AK10" i="6"/>
  <c r="AK9" i="6"/>
  <c r="AK6" i="6"/>
  <c r="AK5" i="6"/>
  <c r="AI51" i="6"/>
  <c r="AI50" i="6"/>
  <c r="AI49" i="6"/>
  <c r="AI48" i="6"/>
  <c r="AI47" i="6"/>
  <c r="AI46" i="6"/>
  <c r="AI45" i="6"/>
  <c r="AI44" i="6"/>
  <c r="AI43" i="6"/>
  <c r="AI42" i="6"/>
  <c r="AI41" i="6"/>
  <c r="AI40" i="6"/>
  <c r="AI39" i="6"/>
  <c r="AI38" i="6"/>
  <c r="AI37" i="6"/>
  <c r="AI36" i="6"/>
  <c r="AI35" i="6"/>
  <c r="AI34" i="6"/>
  <c r="AI33" i="6"/>
  <c r="AI32" i="6"/>
  <c r="AI31" i="6"/>
  <c r="AI30" i="6"/>
  <c r="AI29" i="6"/>
  <c r="AI28" i="6"/>
  <c r="AI27" i="6"/>
  <c r="AI26" i="6"/>
  <c r="AI24" i="6"/>
  <c r="AI23" i="6"/>
  <c r="AI22" i="6"/>
  <c r="AI21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4" i="6"/>
  <c r="AH23" i="6"/>
  <c r="AH22" i="6"/>
  <c r="AH21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4" i="6"/>
  <c r="S23" i="6"/>
  <c r="S22" i="6"/>
  <c r="S21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5" i="6"/>
  <c r="Q20" i="6"/>
  <c r="Q19" i="6"/>
  <c r="Q18" i="6"/>
  <c r="Q17" i="6"/>
  <c r="Q12" i="6"/>
  <c r="Q11" i="6"/>
  <c r="Q7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4" i="6"/>
  <c r="O23" i="6"/>
  <c r="O22" i="6"/>
  <c r="O21" i="6"/>
  <c r="N16" i="6"/>
  <c r="N15" i="6"/>
  <c r="N9" i="6"/>
  <c r="AP51" i="6"/>
  <c r="AP50" i="6"/>
  <c r="AP49" i="6"/>
  <c r="AP48" i="6"/>
  <c r="AP47" i="6"/>
  <c r="AP46" i="6"/>
  <c r="AP45" i="6"/>
  <c r="AP44" i="6"/>
  <c r="AP43" i="6"/>
  <c r="AP42" i="6"/>
  <c r="AP41" i="6"/>
  <c r="AP40" i="6"/>
  <c r="AP39" i="6"/>
  <c r="AP38" i="6"/>
  <c r="AP37" i="6"/>
  <c r="AP36" i="6"/>
  <c r="AP35" i="6"/>
  <c r="AP34" i="6"/>
  <c r="AP33" i="6"/>
  <c r="AP32" i="6"/>
  <c r="AP31" i="6"/>
  <c r="AP30" i="6"/>
  <c r="AP29" i="6"/>
  <c r="AP28" i="6"/>
  <c r="AP27" i="6"/>
  <c r="AP26" i="6"/>
  <c r="AP24" i="6"/>
  <c r="AP23" i="6"/>
  <c r="AP22" i="6"/>
  <c r="AP21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5" i="6"/>
  <c r="L20" i="6"/>
  <c r="L19" i="6"/>
  <c r="L18" i="6"/>
  <c r="L17" i="6"/>
  <c r="L12" i="6"/>
  <c r="L11" i="6"/>
  <c r="L7" i="6"/>
  <c r="P11" i="5"/>
  <c r="P10" i="5"/>
  <c r="P9" i="5"/>
  <c r="R9" i="5" s="1"/>
  <c r="R11" i="5"/>
  <c r="F44" i="5"/>
  <c r="E44" i="5"/>
  <c r="D44" i="5"/>
  <c r="F26" i="5"/>
  <c r="AJ56" i="7" s="1"/>
  <c r="E26" i="5"/>
  <c r="AJ55" i="7" s="1"/>
  <c r="D26" i="5"/>
  <c r="F25" i="5"/>
  <c r="E25" i="5"/>
  <c r="D25" i="5"/>
  <c r="AI56" i="6" s="1"/>
  <c r="AI54" i="9" s="1"/>
  <c r="F24" i="5"/>
  <c r="E24" i="5"/>
  <c r="D24" i="5"/>
  <c r="AH56" i="6" s="1"/>
  <c r="D13" i="5"/>
  <c r="W56" i="6" s="1"/>
  <c r="F39" i="5"/>
  <c r="F17" i="5"/>
  <c r="F16" i="5"/>
  <c r="Z56" i="8" s="1"/>
  <c r="F12" i="5"/>
  <c r="V56" i="8" s="1"/>
  <c r="F11" i="5"/>
  <c r="M15" i="5"/>
  <c r="M7" i="5"/>
  <c r="D36" i="5" s="1"/>
  <c r="R45" i="10" s="1"/>
  <c r="F45" i="5"/>
  <c r="E45" i="5"/>
  <c r="D45" i="5"/>
  <c r="F43" i="5"/>
  <c r="D43" i="5"/>
  <c r="F41" i="5"/>
  <c r="E41" i="5"/>
  <c r="D41" i="5"/>
  <c r="W45" i="10" s="1"/>
  <c r="F23" i="5"/>
  <c r="D23" i="5"/>
  <c r="AG56" i="6" s="1"/>
  <c r="F20" i="5"/>
  <c r="AD56" i="7" s="1"/>
  <c r="E20" i="5"/>
  <c r="AD55" i="7" s="1"/>
  <c r="D20" i="5"/>
  <c r="AD56" i="6" s="1"/>
  <c r="E18" i="5"/>
  <c r="AB55" i="9" s="1"/>
  <c r="T39" i="4"/>
  <c r="S39" i="4"/>
  <c r="R39" i="4"/>
  <c r="Q39" i="4"/>
  <c r="P39" i="4"/>
  <c r="O39" i="4"/>
  <c r="N39" i="4"/>
  <c r="M39" i="4"/>
  <c r="L39" i="4"/>
  <c r="K39" i="4"/>
  <c r="J39" i="4"/>
  <c r="I39" i="4"/>
  <c r="U39" i="4" s="1"/>
  <c r="T38" i="4"/>
  <c r="S38" i="4"/>
  <c r="R38" i="4"/>
  <c r="Q38" i="4"/>
  <c r="P38" i="4"/>
  <c r="O38" i="4"/>
  <c r="N38" i="4"/>
  <c r="M38" i="4"/>
  <c r="L38" i="4"/>
  <c r="K38" i="4"/>
  <c r="J38" i="4"/>
  <c r="I38" i="4"/>
  <c r="U38" i="4" s="1"/>
  <c r="T37" i="4"/>
  <c r="S37" i="4"/>
  <c r="R37" i="4"/>
  <c r="Q37" i="4"/>
  <c r="P37" i="4"/>
  <c r="O37" i="4"/>
  <c r="N37" i="4"/>
  <c r="M37" i="4"/>
  <c r="L37" i="4"/>
  <c r="K37" i="4"/>
  <c r="J37" i="4"/>
  <c r="I37" i="4"/>
  <c r="U37" i="4" s="1"/>
  <c r="T36" i="4"/>
  <c r="S36" i="4"/>
  <c r="R36" i="4"/>
  <c r="Q36" i="4"/>
  <c r="P36" i="4"/>
  <c r="O36" i="4"/>
  <c r="N36" i="4"/>
  <c r="M36" i="4"/>
  <c r="L36" i="4"/>
  <c r="K36" i="4"/>
  <c r="J36" i="4"/>
  <c r="I36" i="4"/>
  <c r="U36" i="4" s="1"/>
  <c r="T35" i="4"/>
  <c r="S35" i="4"/>
  <c r="R35" i="4"/>
  <c r="Q35" i="4"/>
  <c r="P35" i="4"/>
  <c r="O35" i="4"/>
  <c r="N35" i="4"/>
  <c r="M35" i="4"/>
  <c r="L35" i="4"/>
  <c r="K35" i="4"/>
  <c r="J35" i="4"/>
  <c r="I35" i="4"/>
  <c r="U35" i="4" s="1"/>
  <c r="T34" i="4"/>
  <c r="S34" i="4"/>
  <c r="R34" i="4"/>
  <c r="Q34" i="4"/>
  <c r="P34" i="4"/>
  <c r="O34" i="4"/>
  <c r="N34" i="4"/>
  <c r="M34" i="4"/>
  <c r="L34" i="4"/>
  <c r="K34" i="4"/>
  <c r="J34" i="4"/>
  <c r="I34" i="4"/>
  <c r="U34" i="4" s="1"/>
  <c r="T33" i="4"/>
  <c r="S33" i="4"/>
  <c r="R33" i="4"/>
  <c r="Q33" i="4"/>
  <c r="P33" i="4"/>
  <c r="O33" i="4"/>
  <c r="N33" i="4"/>
  <c r="M33" i="4"/>
  <c r="L33" i="4"/>
  <c r="K33" i="4"/>
  <c r="J33" i="4"/>
  <c r="I33" i="4"/>
  <c r="U33" i="4" s="1"/>
  <c r="T32" i="4"/>
  <c r="S32" i="4"/>
  <c r="R32" i="4"/>
  <c r="Q32" i="4"/>
  <c r="P32" i="4"/>
  <c r="O32" i="4"/>
  <c r="N32" i="4"/>
  <c r="M32" i="4"/>
  <c r="L32" i="4"/>
  <c r="K32" i="4"/>
  <c r="J32" i="4"/>
  <c r="I32" i="4"/>
  <c r="T31" i="4"/>
  <c r="S31" i="4"/>
  <c r="R31" i="4"/>
  <c r="Q31" i="4"/>
  <c r="P31" i="4"/>
  <c r="O31" i="4"/>
  <c r="N31" i="4"/>
  <c r="M31" i="4"/>
  <c r="L31" i="4"/>
  <c r="K31" i="4"/>
  <c r="J31" i="4"/>
  <c r="I31" i="4"/>
  <c r="T30" i="4"/>
  <c r="S30" i="4"/>
  <c r="R30" i="4"/>
  <c r="Q30" i="4"/>
  <c r="P30" i="4"/>
  <c r="O30" i="4"/>
  <c r="N30" i="4"/>
  <c r="M30" i="4"/>
  <c r="L30" i="4"/>
  <c r="K30" i="4"/>
  <c r="J30" i="4"/>
  <c r="I30" i="4"/>
  <c r="T29" i="4"/>
  <c r="S29" i="4"/>
  <c r="R29" i="4"/>
  <c r="Q29" i="4"/>
  <c r="P29" i="4"/>
  <c r="O29" i="4"/>
  <c r="N29" i="4"/>
  <c r="M29" i="4"/>
  <c r="L29" i="4"/>
  <c r="K29" i="4"/>
  <c r="J29" i="4"/>
  <c r="I29" i="4"/>
  <c r="U29" i="4" s="1"/>
  <c r="T28" i="4"/>
  <c r="S28" i="4"/>
  <c r="R28" i="4"/>
  <c r="Q28" i="4"/>
  <c r="P28" i="4"/>
  <c r="O28" i="4"/>
  <c r="N28" i="4"/>
  <c r="M28" i="4"/>
  <c r="L28" i="4"/>
  <c r="K28" i="4"/>
  <c r="J28" i="4"/>
  <c r="I28" i="4"/>
  <c r="T27" i="4"/>
  <c r="S27" i="4"/>
  <c r="R27" i="4"/>
  <c r="Q27" i="4"/>
  <c r="P27" i="4"/>
  <c r="O27" i="4"/>
  <c r="N27" i="4"/>
  <c r="M27" i="4"/>
  <c r="L27" i="4"/>
  <c r="K27" i="4"/>
  <c r="J27" i="4"/>
  <c r="I27" i="4"/>
  <c r="T26" i="4"/>
  <c r="S26" i="4"/>
  <c r="R26" i="4"/>
  <c r="Q26" i="4"/>
  <c r="P26" i="4"/>
  <c r="O26" i="4"/>
  <c r="N26" i="4"/>
  <c r="M26" i="4"/>
  <c r="L26" i="4"/>
  <c r="K26" i="4"/>
  <c r="J26" i="4"/>
  <c r="I26" i="4"/>
  <c r="U26" i="4" s="1"/>
  <c r="T25" i="4"/>
  <c r="S25" i="4"/>
  <c r="R25" i="4"/>
  <c r="Q25" i="4"/>
  <c r="P25" i="4"/>
  <c r="O25" i="4"/>
  <c r="N25" i="4"/>
  <c r="M25" i="4"/>
  <c r="L25" i="4"/>
  <c r="K25" i="4"/>
  <c r="J25" i="4"/>
  <c r="I25" i="4"/>
  <c r="U25" i="4" s="1"/>
  <c r="T24" i="4"/>
  <c r="S24" i="4"/>
  <c r="R24" i="4"/>
  <c r="Q24" i="4"/>
  <c r="P24" i="4"/>
  <c r="O24" i="4"/>
  <c r="N24" i="4"/>
  <c r="M24" i="4"/>
  <c r="L24" i="4"/>
  <c r="K24" i="4"/>
  <c r="J24" i="4"/>
  <c r="I24" i="4"/>
  <c r="U24" i="4" s="1"/>
  <c r="T23" i="4"/>
  <c r="S23" i="4"/>
  <c r="R23" i="4"/>
  <c r="Q23" i="4"/>
  <c r="P23" i="4"/>
  <c r="O23" i="4"/>
  <c r="N23" i="4"/>
  <c r="M23" i="4"/>
  <c r="L23" i="4"/>
  <c r="K23" i="4"/>
  <c r="J23" i="4"/>
  <c r="I23" i="4"/>
  <c r="U23" i="4" s="1"/>
  <c r="T22" i="4"/>
  <c r="S22" i="4"/>
  <c r="R22" i="4"/>
  <c r="Q22" i="4"/>
  <c r="P22" i="4"/>
  <c r="O22" i="4"/>
  <c r="N22" i="4"/>
  <c r="M22" i="4"/>
  <c r="L22" i="4"/>
  <c r="K22" i="4"/>
  <c r="J22" i="4"/>
  <c r="I22" i="4"/>
  <c r="U22" i="4" s="1"/>
  <c r="T21" i="4"/>
  <c r="S21" i="4"/>
  <c r="R21" i="4"/>
  <c r="Q21" i="4"/>
  <c r="P21" i="4"/>
  <c r="O21" i="4"/>
  <c r="N21" i="4"/>
  <c r="M21" i="4"/>
  <c r="L21" i="4"/>
  <c r="K21" i="4"/>
  <c r="J21" i="4"/>
  <c r="I21" i="4"/>
  <c r="U21" i="4" s="1"/>
  <c r="T20" i="4"/>
  <c r="S20" i="4"/>
  <c r="R20" i="4"/>
  <c r="Q20" i="4"/>
  <c r="P20" i="4"/>
  <c r="O20" i="4"/>
  <c r="N20" i="4"/>
  <c r="M20" i="4"/>
  <c r="L20" i="4"/>
  <c r="K20" i="4"/>
  <c r="J20" i="4"/>
  <c r="I20" i="4"/>
  <c r="U20" i="4" s="1"/>
  <c r="T19" i="4"/>
  <c r="S19" i="4"/>
  <c r="R19" i="4"/>
  <c r="Q19" i="4"/>
  <c r="P19" i="4"/>
  <c r="O19" i="4"/>
  <c r="N19" i="4"/>
  <c r="M19" i="4"/>
  <c r="L19" i="4"/>
  <c r="K19" i="4"/>
  <c r="J19" i="4"/>
  <c r="I19" i="4"/>
  <c r="U19" i="4" s="1"/>
  <c r="T18" i="4"/>
  <c r="S18" i="4"/>
  <c r="R18" i="4"/>
  <c r="Q18" i="4"/>
  <c r="P18" i="4"/>
  <c r="O18" i="4"/>
  <c r="N18" i="4"/>
  <c r="M18" i="4"/>
  <c r="L18" i="4"/>
  <c r="K18" i="4"/>
  <c r="J18" i="4"/>
  <c r="I18" i="4"/>
  <c r="U18" i="4" s="1"/>
  <c r="T17" i="4"/>
  <c r="S17" i="4"/>
  <c r="R17" i="4"/>
  <c r="Q17" i="4"/>
  <c r="P17" i="4"/>
  <c r="O17" i="4"/>
  <c r="N17" i="4"/>
  <c r="M17" i="4"/>
  <c r="L17" i="4"/>
  <c r="K17" i="4"/>
  <c r="J17" i="4"/>
  <c r="I17" i="4"/>
  <c r="U17" i="4" s="1"/>
  <c r="T16" i="4"/>
  <c r="S16" i="4"/>
  <c r="R16" i="4"/>
  <c r="Q16" i="4"/>
  <c r="P16" i="4"/>
  <c r="O16" i="4"/>
  <c r="N16" i="4"/>
  <c r="M16" i="4"/>
  <c r="L16" i="4"/>
  <c r="K16" i="4"/>
  <c r="J16" i="4"/>
  <c r="I16" i="4"/>
  <c r="U16" i="4" s="1"/>
  <c r="T15" i="4"/>
  <c r="S15" i="4"/>
  <c r="R15" i="4"/>
  <c r="Q15" i="4"/>
  <c r="P15" i="4"/>
  <c r="O15" i="4"/>
  <c r="N15" i="4"/>
  <c r="M15" i="4"/>
  <c r="L15" i="4"/>
  <c r="K15" i="4"/>
  <c r="J15" i="4"/>
  <c r="I15" i="4"/>
  <c r="U15" i="4" s="1"/>
  <c r="T14" i="4"/>
  <c r="S14" i="4"/>
  <c r="R14" i="4"/>
  <c r="Q14" i="4"/>
  <c r="P14" i="4"/>
  <c r="O14" i="4"/>
  <c r="N14" i="4"/>
  <c r="M14" i="4"/>
  <c r="L14" i="4"/>
  <c r="K14" i="4"/>
  <c r="J14" i="4"/>
  <c r="I14" i="4"/>
  <c r="U14" i="4" s="1"/>
  <c r="T13" i="4"/>
  <c r="S13" i="4"/>
  <c r="R13" i="4"/>
  <c r="Q13" i="4"/>
  <c r="P13" i="4"/>
  <c r="O13" i="4"/>
  <c r="N13" i="4"/>
  <c r="M13" i="4"/>
  <c r="L13" i="4"/>
  <c r="K13" i="4"/>
  <c r="J13" i="4"/>
  <c r="I13" i="4"/>
  <c r="U13" i="4" s="1"/>
  <c r="T12" i="4"/>
  <c r="S12" i="4"/>
  <c r="R12" i="4"/>
  <c r="Q12" i="4"/>
  <c r="P12" i="4"/>
  <c r="O12" i="4"/>
  <c r="N12" i="4"/>
  <c r="M12" i="4"/>
  <c r="L12" i="4"/>
  <c r="K12" i="4"/>
  <c r="J12" i="4"/>
  <c r="I12" i="4"/>
  <c r="U12" i="4" s="1"/>
  <c r="T11" i="4"/>
  <c r="S11" i="4"/>
  <c r="R11" i="4"/>
  <c r="Q11" i="4"/>
  <c r="P11" i="4"/>
  <c r="O11" i="4"/>
  <c r="N11" i="4"/>
  <c r="M11" i="4"/>
  <c r="L11" i="4"/>
  <c r="K11" i="4"/>
  <c r="J11" i="4"/>
  <c r="I11" i="4"/>
  <c r="U11" i="4" s="1"/>
  <c r="T10" i="4"/>
  <c r="S10" i="4"/>
  <c r="R10" i="4"/>
  <c r="Q10" i="4"/>
  <c r="P10" i="4"/>
  <c r="O10" i="4"/>
  <c r="N10" i="4"/>
  <c r="M10" i="4"/>
  <c r="L10" i="4"/>
  <c r="K10" i="4"/>
  <c r="J10" i="4"/>
  <c r="I10" i="4"/>
  <c r="U10" i="4" s="1"/>
  <c r="T9" i="4"/>
  <c r="S9" i="4"/>
  <c r="R9" i="4"/>
  <c r="Q9" i="4"/>
  <c r="P9" i="4"/>
  <c r="O9" i="4"/>
  <c r="N9" i="4"/>
  <c r="M9" i="4"/>
  <c r="L9" i="4"/>
  <c r="K9" i="4"/>
  <c r="J9" i="4"/>
  <c r="I9" i="4"/>
  <c r="U9" i="4" s="1"/>
  <c r="T8" i="4"/>
  <c r="S8" i="4"/>
  <c r="R8" i="4"/>
  <c r="Q8" i="4"/>
  <c r="P8" i="4"/>
  <c r="O8" i="4"/>
  <c r="N8" i="4"/>
  <c r="M8" i="4"/>
  <c r="L8" i="4"/>
  <c r="K8" i="4"/>
  <c r="J8" i="4"/>
  <c r="I8" i="4"/>
  <c r="U8" i="4" s="1"/>
  <c r="T7" i="4"/>
  <c r="S7" i="4"/>
  <c r="R7" i="4"/>
  <c r="Q7" i="4"/>
  <c r="P7" i="4"/>
  <c r="O7" i="4"/>
  <c r="N7" i="4"/>
  <c r="M7" i="4"/>
  <c r="L7" i="4"/>
  <c r="K7" i="4"/>
  <c r="J7" i="4"/>
  <c r="I7" i="4"/>
  <c r="U7" i="4" s="1"/>
  <c r="T6" i="4"/>
  <c r="S6" i="4"/>
  <c r="R6" i="4"/>
  <c r="Q6" i="4"/>
  <c r="P6" i="4"/>
  <c r="O6" i="4"/>
  <c r="N6" i="4"/>
  <c r="M6" i="4"/>
  <c r="L6" i="4"/>
  <c r="K6" i="4"/>
  <c r="J6" i="4"/>
  <c r="I6" i="4"/>
  <c r="U6" i="4" s="1"/>
  <c r="T5" i="4"/>
  <c r="S5" i="4"/>
  <c r="R5" i="4"/>
  <c r="Q5" i="4"/>
  <c r="P5" i="4"/>
  <c r="O5" i="4"/>
  <c r="N5" i="4"/>
  <c r="M5" i="4"/>
  <c r="L5" i="4"/>
  <c r="K5" i="4"/>
  <c r="J5" i="4"/>
  <c r="I5" i="4"/>
  <c r="U5" i="4" s="1"/>
  <c r="T4" i="4"/>
  <c r="S4" i="4"/>
  <c r="R4" i="4"/>
  <c r="Q4" i="4"/>
  <c r="P4" i="4"/>
  <c r="O4" i="4"/>
  <c r="N4" i="4"/>
  <c r="M4" i="4"/>
  <c r="L4" i="4"/>
  <c r="K4" i="4"/>
  <c r="J4" i="4"/>
  <c r="I4" i="4"/>
  <c r="U4" i="4" s="1"/>
  <c r="T3" i="4"/>
  <c r="S3" i="4"/>
  <c r="R3" i="4"/>
  <c r="Q3" i="4"/>
  <c r="P3" i="4"/>
  <c r="O3" i="4"/>
  <c r="N3" i="4"/>
  <c r="M3" i="4"/>
  <c r="L3" i="4"/>
  <c r="K3" i="4"/>
  <c r="J3" i="4"/>
  <c r="I3" i="4"/>
  <c r="U3" i="4" s="1"/>
  <c r="T2" i="4"/>
  <c r="S2" i="4"/>
  <c r="R2" i="4"/>
  <c r="Q2" i="4"/>
  <c r="P2" i="4"/>
  <c r="O2" i="4"/>
  <c r="N2" i="4"/>
  <c r="M2" i="4"/>
  <c r="L2" i="4"/>
  <c r="K2" i="4"/>
  <c r="J2" i="4"/>
  <c r="I2" i="4"/>
  <c r="U2" i="4" s="1"/>
  <c r="T48" i="3"/>
  <c r="S48" i="3"/>
  <c r="R48" i="3"/>
  <c r="Q48" i="3"/>
  <c r="P48" i="3"/>
  <c r="O48" i="3"/>
  <c r="N48" i="3"/>
  <c r="M48" i="3"/>
  <c r="L48" i="3"/>
  <c r="K48" i="3"/>
  <c r="J48" i="3"/>
  <c r="I48" i="3"/>
  <c r="U48" i="3" s="1"/>
  <c r="T47" i="3"/>
  <c r="S47" i="3"/>
  <c r="R47" i="3"/>
  <c r="Q47" i="3"/>
  <c r="P47" i="3"/>
  <c r="O47" i="3"/>
  <c r="N47" i="3"/>
  <c r="M47" i="3"/>
  <c r="L47" i="3"/>
  <c r="K47" i="3"/>
  <c r="J47" i="3"/>
  <c r="I47" i="3"/>
  <c r="U47" i="3" s="1"/>
  <c r="T46" i="3"/>
  <c r="S46" i="3"/>
  <c r="R46" i="3"/>
  <c r="Q46" i="3"/>
  <c r="P46" i="3"/>
  <c r="O46" i="3"/>
  <c r="N46" i="3"/>
  <c r="M46" i="3"/>
  <c r="L46" i="3"/>
  <c r="K46" i="3"/>
  <c r="J46" i="3"/>
  <c r="I46" i="3"/>
  <c r="U46" i="3" s="1"/>
  <c r="T45" i="3"/>
  <c r="S45" i="3"/>
  <c r="R45" i="3"/>
  <c r="Q45" i="3"/>
  <c r="P45" i="3"/>
  <c r="O45" i="3"/>
  <c r="N45" i="3"/>
  <c r="M45" i="3"/>
  <c r="L45" i="3"/>
  <c r="K45" i="3"/>
  <c r="J45" i="3"/>
  <c r="I45" i="3"/>
  <c r="U45" i="3" s="1"/>
  <c r="T44" i="3"/>
  <c r="S44" i="3"/>
  <c r="R44" i="3"/>
  <c r="Q44" i="3"/>
  <c r="P44" i="3"/>
  <c r="O44" i="3"/>
  <c r="N44" i="3"/>
  <c r="M44" i="3"/>
  <c r="L44" i="3"/>
  <c r="K44" i="3"/>
  <c r="J44" i="3"/>
  <c r="I44" i="3"/>
  <c r="U44" i="3" s="1"/>
  <c r="T43" i="3"/>
  <c r="S43" i="3"/>
  <c r="R43" i="3"/>
  <c r="Q43" i="3"/>
  <c r="P43" i="3"/>
  <c r="O43" i="3"/>
  <c r="N43" i="3"/>
  <c r="M43" i="3"/>
  <c r="L43" i="3"/>
  <c r="K43" i="3"/>
  <c r="J43" i="3"/>
  <c r="I43" i="3"/>
  <c r="U43" i="3" s="1"/>
  <c r="T42" i="3"/>
  <c r="S42" i="3"/>
  <c r="R42" i="3"/>
  <c r="Q42" i="3"/>
  <c r="P42" i="3"/>
  <c r="O42" i="3"/>
  <c r="N42" i="3"/>
  <c r="M42" i="3"/>
  <c r="L42" i="3"/>
  <c r="K42" i="3"/>
  <c r="J42" i="3"/>
  <c r="I42" i="3"/>
  <c r="U42" i="3" s="1"/>
  <c r="T41" i="3"/>
  <c r="S41" i="3"/>
  <c r="R41" i="3"/>
  <c r="Q41" i="3"/>
  <c r="P41" i="3"/>
  <c r="O41" i="3"/>
  <c r="N41" i="3"/>
  <c r="M41" i="3"/>
  <c r="L41" i="3"/>
  <c r="K41" i="3"/>
  <c r="J41" i="3"/>
  <c r="I41" i="3"/>
  <c r="U41" i="3" s="1"/>
  <c r="T40" i="3"/>
  <c r="S40" i="3"/>
  <c r="R40" i="3"/>
  <c r="Q40" i="3"/>
  <c r="P40" i="3"/>
  <c r="O40" i="3"/>
  <c r="N40" i="3"/>
  <c r="M40" i="3"/>
  <c r="L40" i="3"/>
  <c r="K40" i="3"/>
  <c r="J40" i="3"/>
  <c r="I40" i="3"/>
  <c r="U40" i="3" s="1"/>
  <c r="T39" i="3"/>
  <c r="S39" i="3"/>
  <c r="R39" i="3"/>
  <c r="Q39" i="3"/>
  <c r="P39" i="3"/>
  <c r="O39" i="3"/>
  <c r="N39" i="3"/>
  <c r="M39" i="3"/>
  <c r="L39" i="3"/>
  <c r="K39" i="3"/>
  <c r="J39" i="3"/>
  <c r="I39" i="3"/>
  <c r="U39" i="3" s="1"/>
  <c r="T38" i="3"/>
  <c r="S38" i="3"/>
  <c r="R38" i="3"/>
  <c r="Q38" i="3"/>
  <c r="P38" i="3"/>
  <c r="O38" i="3"/>
  <c r="N38" i="3"/>
  <c r="M38" i="3"/>
  <c r="L38" i="3"/>
  <c r="K38" i="3"/>
  <c r="J38" i="3"/>
  <c r="I38" i="3"/>
  <c r="U38" i="3" s="1"/>
  <c r="T37" i="3"/>
  <c r="S37" i="3"/>
  <c r="R37" i="3"/>
  <c r="Q37" i="3"/>
  <c r="P37" i="3"/>
  <c r="O37" i="3"/>
  <c r="N37" i="3"/>
  <c r="M37" i="3"/>
  <c r="L37" i="3"/>
  <c r="K37" i="3"/>
  <c r="J37" i="3"/>
  <c r="I37" i="3"/>
  <c r="U37" i="3" s="1"/>
  <c r="T36" i="3"/>
  <c r="S36" i="3"/>
  <c r="R36" i="3"/>
  <c r="Q36" i="3"/>
  <c r="P36" i="3"/>
  <c r="O36" i="3"/>
  <c r="N36" i="3"/>
  <c r="M36" i="3"/>
  <c r="L36" i="3"/>
  <c r="K36" i="3"/>
  <c r="J36" i="3"/>
  <c r="I36" i="3"/>
  <c r="U36" i="3" s="1"/>
  <c r="T35" i="3"/>
  <c r="S35" i="3"/>
  <c r="R35" i="3"/>
  <c r="Q35" i="3"/>
  <c r="P35" i="3"/>
  <c r="O35" i="3"/>
  <c r="N35" i="3"/>
  <c r="M35" i="3"/>
  <c r="L35" i="3"/>
  <c r="K35" i="3"/>
  <c r="J35" i="3"/>
  <c r="I35" i="3"/>
  <c r="U35" i="3" s="1"/>
  <c r="T34" i="3"/>
  <c r="S34" i="3"/>
  <c r="R34" i="3"/>
  <c r="Q34" i="3"/>
  <c r="P34" i="3"/>
  <c r="O34" i="3"/>
  <c r="N34" i="3"/>
  <c r="M34" i="3"/>
  <c r="L34" i="3"/>
  <c r="K34" i="3"/>
  <c r="J34" i="3"/>
  <c r="I34" i="3"/>
  <c r="U34" i="3" s="1"/>
  <c r="T33" i="3"/>
  <c r="S33" i="3"/>
  <c r="R33" i="3"/>
  <c r="Q33" i="3"/>
  <c r="P33" i="3"/>
  <c r="O33" i="3"/>
  <c r="N33" i="3"/>
  <c r="M33" i="3"/>
  <c r="L33" i="3"/>
  <c r="K33" i="3"/>
  <c r="J33" i="3"/>
  <c r="I33" i="3"/>
  <c r="U33" i="3" s="1"/>
  <c r="T32" i="3"/>
  <c r="S32" i="3"/>
  <c r="R32" i="3"/>
  <c r="Q32" i="3"/>
  <c r="P32" i="3"/>
  <c r="O32" i="3"/>
  <c r="N32" i="3"/>
  <c r="M32" i="3"/>
  <c r="L32" i="3"/>
  <c r="K32" i="3"/>
  <c r="J32" i="3"/>
  <c r="I32" i="3"/>
  <c r="U32" i="3" s="1"/>
  <c r="T31" i="3"/>
  <c r="S31" i="3"/>
  <c r="R31" i="3"/>
  <c r="Q31" i="3"/>
  <c r="P31" i="3"/>
  <c r="O31" i="3"/>
  <c r="N31" i="3"/>
  <c r="M31" i="3"/>
  <c r="L31" i="3"/>
  <c r="K31" i="3"/>
  <c r="J31" i="3"/>
  <c r="I31" i="3"/>
  <c r="U31" i="3" s="1"/>
  <c r="T30" i="3"/>
  <c r="S30" i="3"/>
  <c r="R30" i="3"/>
  <c r="Q30" i="3"/>
  <c r="P30" i="3"/>
  <c r="O30" i="3"/>
  <c r="N30" i="3"/>
  <c r="M30" i="3"/>
  <c r="L30" i="3"/>
  <c r="K30" i="3"/>
  <c r="J30" i="3"/>
  <c r="I30" i="3"/>
  <c r="U30" i="3" s="1"/>
  <c r="T29" i="3"/>
  <c r="S29" i="3"/>
  <c r="R29" i="3"/>
  <c r="Q29" i="3"/>
  <c r="P29" i="3"/>
  <c r="O29" i="3"/>
  <c r="N29" i="3"/>
  <c r="M29" i="3"/>
  <c r="L29" i="3"/>
  <c r="K29" i="3"/>
  <c r="J29" i="3"/>
  <c r="I29" i="3"/>
  <c r="U29" i="3" s="1"/>
  <c r="T28" i="3"/>
  <c r="S28" i="3"/>
  <c r="R28" i="3"/>
  <c r="Q28" i="3"/>
  <c r="P28" i="3"/>
  <c r="O28" i="3"/>
  <c r="N28" i="3"/>
  <c r="M28" i="3"/>
  <c r="L28" i="3"/>
  <c r="K28" i="3"/>
  <c r="J28" i="3"/>
  <c r="I28" i="3"/>
  <c r="U28" i="3" s="1"/>
  <c r="T27" i="3"/>
  <c r="S27" i="3"/>
  <c r="R27" i="3"/>
  <c r="Q27" i="3"/>
  <c r="P27" i="3"/>
  <c r="O27" i="3"/>
  <c r="N27" i="3"/>
  <c r="M27" i="3"/>
  <c r="L27" i="3"/>
  <c r="K27" i="3"/>
  <c r="J27" i="3"/>
  <c r="I27" i="3"/>
  <c r="U27" i="3" s="1"/>
  <c r="T26" i="3"/>
  <c r="S26" i="3"/>
  <c r="R26" i="3"/>
  <c r="Q26" i="3"/>
  <c r="P26" i="3"/>
  <c r="O26" i="3"/>
  <c r="N26" i="3"/>
  <c r="M26" i="3"/>
  <c r="L26" i="3"/>
  <c r="K26" i="3"/>
  <c r="J26" i="3"/>
  <c r="I26" i="3"/>
  <c r="U26" i="3" s="1"/>
  <c r="T25" i="3"/>
  <c r="S25" i="3"/>
  <c r="R25" i="3"/>
  <c r="Q25" i="3"/>
  <c r="P25" i="3"/>
  <c r="O25" i="3"/>
  <c r="N25" i="3"/>
  <c r="M25" i="3"/>
  <c r="L25" i="3"/>
  <c r="K25" i="3"/>
  <c r="J25" i="3"/>
  <c r="I25" i="3"/>
  <c r="U25" i="3" s="1"/>
  <c r="T24" i="3"/>
  <c r="S24" i="3"/>
  <c r="R24" i="3"/>
  <c r="Q24" i="3"/>
  <c r="P24" i="3"/>
  <c r="O24" i="3"/>
  <c r="N24" i="3"/>
  <c r="M24" i="3"/>
  <c r="L24" i="3"/>
  <c r="K24" i="3"/>
  <c r="J24" i="3"/>
  <c r="I24" i="3"/>
  <c r="U24" i="3" s="1"/>
  <c r="T23" i="3"/>
  <c r="S23" i="3"/>
  <c r="R23" i="3"/>
  <c r="Q23" i="3"/>
  <c r="P23" i="3"/>
  <c r="O23" i="3"/>
  <c r="N23" i="3"/>
  <c r="M23" i="3"/>
  <c r="L23" i="3"/>
  <c r="K23" i="3"/>
  <c r="J23" i="3"/>
  <c r="I23" i="3"/>
  <c r="U23" i="3" s="1"/>
  <c r="T22" i="3"/>
  <c r="S22" i="3"/>
  <c r="R22" i="3"/>
  <c r="Q22" i="3"/>
  <c r="P22" i="3"/>
  <c r="O22" i="3"/>
  <c r="N22" i="3"/>
  <c r="M22" i="3"/>
  <c r="L22" i="3"/>
  <c r="K22" i="3"/>
  <c r="J22" i="3"/>
  <c r="I22" i="3"/>
  <c r="U22" i="3" s="1"/>
  <c r="T21" i="3"/>
  <c r="S21" i="3"/>
  <c r="R21" i="3"/>
  <c r="Q21" i="3"/>
  <c r="P21" i="3"/>
  <c r="O21" i="3"/>
  <c r="N21" i="3"/>
  <c r="M21" i="3"/>
  <c r="L21" i="3"/>
  <c r="K21" i="3"/>
  <c r="J21" i="3"/>
  <c r="I21" i="3"/>
  <c r="U21" i="3" s="1"/>
  <c r="T20" i="3"/>
  <c r="S20" i="3"/>
  <c r="R20" i="3"/>
  <c r="Q20" i="3"/>
  <c r="P20" i="3"/>
  <c r="O20" i="3"/>
  <c r="N20" i="3"/>
  <c r="M20" i="3"/>
  <c r="L20" i="3"/>
  <c r="K20" i="3"/>
  <c r="J20" i="3"/>
  <c r="I20" i="3"/>
  <c r="U20" i="3" s="1"/>
  <c r="T19" i="3"/>
  <c r="S19" i="3"/>
  <c r="R19" i="3"/>
  <c r="Q19" i="3"/>
  <c r="P19" i="3"/>
  <c r="O19" i="3"/>
  <c r="N19" i="3"/>
  <c r="M19" i="3"/>
  <c r="L19" i="3"/>
  <c r="K19" i="3"/>
  <c r="J19" i="3"/>
  <c r="I19" i="3"/>
  <c r="U19" i="3" s="1"/>
  <c r="T18" i="3"/>
  <c r="S18" i="3"/>
  <c r="R18" i="3"/>
  <c r="Q18" i="3"/>
  <c r="P18" i="3"/>
  <c r="O18" i="3"/>
  <c r="N18" i="3"/>
  <c r="M18" i="3"/>
  <c r="L18" i="3"/>
  <c r="K18" i="3"/>
  <c r="J18" i="3"/>
  <c r="I18" i="3"/>
  <c r="U18" i="3" s="1"/>
  <c r="T17" i="3"/>
  <c r="S17" i="3"/>
  <c r="R17" i="3"/>
  <c r="Q17" i="3"/>
  <c r="P17" i="3"/>
  <c r="O17" i="3"/>
  <c r="N17" i="3"/>
  <c r="M17" i="3"/>
  <c r="L17" i="3"/>
  <c r="K17" i="3"/>
  <c r="J17" i="3"/>
  <c r="I17" i="3"/>
  <c r="U17" i="3" s="1"/>
  <c r="T16" i="3"/>
  <c r="S16" i="3"/>
  <c r="R16" i="3"/>
  <c r="Q16" i="3"/>
  <c r="P16" i="3"/>
  <c r="O16" i="3"/>
  <c r="N16" i="3"/>
  <c r="M16" i="3"/>
  <c r="L16" i="3"/>
  <c r="K16" i="3"/>
  <c r="J16" i="3"/>
  <c r="I16" i="3"/>
  <c r="U16" i="3" s="1"/>
  <c r="T15" i="3"/>
  <c r="S15" i="3"/>
  <c r="R15" i="3"/>
  <c r="Q15" i="3"/>
  <c r="P15" i="3"/>
  <c r="O15" i="3"/>
  <c r="N15" i="3"/>
  <c r="M15" i="3"/>
  <c r="L15" i="3"/>
  <c r="K15" i="3"/>
  <c r="J15" i="3"/>
  <c r="I15" i="3"/>
  <c r="U15" i="3" s="1"/>
  <c r="T14" i="3"/>
  <c r="S14" i="3"/>
  <c r="R14" i="3"/>
  <c r="Q14" i="3"/>
  <c r="P14" i="3"/>
  <c r="O14" i="3"/>
  <c r="N14" i="3"/>
  <c r="M14" i="3"/>
  <c r="L14" i="3"/>
  <c r="K14" i="3"/>
  <c r="J14" i="3"/>
  <c r="I14" i="3"/>
  <c r="U14" i="3" s="1"/>
  <c r="T13" i="3"/>
  <c r="S13" i="3"/>
  <c r="R13" i="3"/>
  <c r="Q13" i="3"/>
  <c r="P13" i="3"/>
  <c r="O13" i="3"/>
  <c r="N13" i="3"/>
  <c r="M13" i="3"/>
  <c r="L13" i="3"/>
  <c r="K13" i="3"/>
  <c r="J13" i="3"/>
  <c r="I13" i="3"/>
  <c r="U13" i="3" s="1"/>
  <c r="T12" i="3"/>
  <c r="S12" i="3"/>
  <c r="R12" i="3"/>
  <c r="Q12" i="3"/>
  <c r="P12" i="3"/>
  <c r="O12" i="3"/>
  <c r="N12" i="3"/>
  <c r="M12" i="3"/>
  <c r="L12" i="3"/>
  <c r="K12" i="3"/>
  <c r="J12" i="3"/>
  <c r="I12" i="3"/>
  <c r="U12" i="3" s="1"/>
  <c r="T11" i="3"/>
  <c r="S11" i="3"/>
  <c r="R11" i="3"/>
  <c r="Q11" i="3"/>
  <c r="P11" i="3"/>
  <c r="O11" i="3"/>
  <c r="N11" i="3"/>
  <c r="M11" i="3"/>
  <c r="L11" i="3"/>
  <c r="K11" i="3"/>
  <c r="J11" i="3"/>
  <c r="I11" i="3"/>
  <c r="U11" i="3" s="1"/>
  <c r="T10" i="3"/>
  <c r="S10" i="3"/>
  <c r="R10" i="3"/>
  <c r="Q10" i="3"/>
  <c r="P10" i="3"/>
  <c r="O10" i="3"/>
  <c r="N10" i="3"/>
  <c r="M10" i="3"/>
  <c r="L10" i="3"/>
  <c r="K10" i="3"/>
  <c r="J10" i="3"/>
  <c r="I10" i="3"/>
  <c r="U10" i="3" s="1"/>
  <c r="T9" i="3"/>
  <c r="S9" i="3"/>
  <c r="R9" i="3"/>
  <c r="Q9" i="3"/>
  <c r="P9" i="3"/>
  <c r="O9" i="3"/>
  <c r="N9" i="3"/>
  <c r="M9" i="3"/>
  <c r="L9" i="3"/>
  <c r="K9" i="3"/>
  <c r="J9" i="3"/>
  <c r="I9" i="3"/>
  <c r="U9" i="3" s="1"/>
  <c r="T8" i="3"/>
  <c r="S8" i="3"/>
  <c r="R8" i="3"/>
  <c r="Q8" i="3"/>
  <c r="P8" i="3"/>
  <c r="O8" i="3"/>
  <c r="N8" i="3"/>
  <c r="M8" i="3"/>
  <c r="L8" i="3"/>
  <c r="K8" i="3"/>
  <c r="J8" i="3"/>
  <c r="I8" i="3"/>
  <c r="U8" i="3" s="1"/>
  <c r="T7" i="3"/>
  <c r="S7" i="3"/>
  <c r="R7" i="3"/>
  <c r="Q7" i="3"/>
  <c r="P7" i="3"/>
  <c r="O7" i="3"/>
  <c r="N7" i="3"/>
  <c r="M7" i="3"/>
  <c r="L7" i="3"/>
  <c r="K7" i="3"/>
  <c r="J7" i="3"/>
  <c r="I7" i="3"/>
  <c r="U7" i="3" s="1"/>
  <c r="T6" i="3"/>
  <c r="S6" i="3"/>
  <c r="R6" i="3"/>
  <c r="Q6" i="3"/>
  <c r="P6" i="3"/>
  <c r="O6" i="3"/>
  <c r="N6" i="3"/>
  <c r="M6" i="3"/>
  <c r="L6" i="3"/>
  <c r="K6" i="3"/>
  <c r="J6" i="3"/>
  <c r="I6" i="3"/>
  <c r="U6" i="3" s="1"/>
  <c r="T5" i="3"/>
  <c r="S5" i="3"/>
  <c r="R5" i="3"/>
  <c r="Q5" i="3"/>
  <c r="P5" i="3"/>
  <c r="O5" i="3"/>
  <c r="N5" i="3"/>
  <c r="M5" i="3"/>
  <c r="L5" i="3"/>
  <c r="K5" i="3"/>
  <c r="J5" i="3"/>
  <c r="I5" i="3"/>
  <c r="U5" i="3" s="1"/>
  <c r="T4" i="3"/>
  <c r="S4" i="3"/>
  <c r="R4" i="3"/>
  <c r="Q4" i="3"/>
  <c r="P4" i="3"/>
  <c r="O4" i="3"/>
  <c r="N4" i="3"/>
  <c r="M4" i="3"/>
  <c r="L4" i="3"/>
  <c r="K4" i="3"/>
  <c r="J4" i="3"/>
  <c r="I4" i="3"/>
  <c r="U4" i="3" s="1"/>
  <c r="T3" i="3"/>
  <c r="S3" i="3"/>
  <c r="R3" i="3"/>
  <c r="Q3" i="3"/>
  <c r="P3" i="3"/>
  <c r="O3" i="3"/>
  <c r="N3" i="3"/>
  <c r="M3" i="3"/>
  <c r="L3" i="3"/>
  <c r="K3" i="3"/>
  <c r="J3" i="3"/>
  <c r="I3" i="3"/>
  <c r="U3" i="3" s="1"/>
  <c r="T2" i="3"/>
  <c r="S2" i="3"/>
  <c r="R2" i="3"/>
  <c r="Q2" i="3"/>
  <c r="P2" i="3"/>
  <c r="O2" i="3"/>
  <c r="N2" i="3"/>
  <c r="M2" i="3"/>
  <c r="L2" i="3"/>
  <c r="K2" i="3"/>
  <c r="J2" i="3"/>
  <c r="I2" i="3"/>
  <c r="U2" i="3" s="1"/>
  <c r="H1" i="2"/>
  <c r="I6" i="9" l="1"/>
  <c r="I6" i="8"/>
  <c r="I6" i="7"/>
  <c r="I6" i="27"/>
  <c r="AZ58" i="27" s="1"/>
  <c r="I6" i="14"/>
  <c r="I6" i="6"/>
  <c r="I11" i="27"/>
  <c r="I11" i="14"/>
  <c r="I11" i="6"/>
  <c r="I11" i="9"/>
  <c r="I11" i="8"/>
  <c r="I11" i="7"/>
  <c r="I13" i="27"/>
  <c r="I13" i="14"/>
  <c r="I13" i="6"/>
  <c r="I13" i="9"/>
  <c r="I13" i="8"/>
  <c r="I13" i="7"/>
  <c r="I17" i="27"/>
  <c r="I17" i="14"/>
  <c r="I17" i="9"/>
  <c r="I17" i="8"/>
  <c r="I17" i="7"/>
  <c r="I17" i="6"/>
  <c r="I21" i="27"/>
  <c r="I21" i="14"/>
  <c r="I21" i="9"/>
  <c r="I21" i="8"/>
  <c r="I21" i="7"/>
  <c r="I21" i="6"/>
  <c r="I26" i="9"/>
  <c r="I26" i="8"/>
  <c r="I26" i="7"/>
  <c r="I26" i="27"/>
  <c r="AV78" i="27" s="1"/>
  <c r="I26" i="6"/>
  <c r="I26" i="14"/>
  <c r="I31" i="27"/>
  <c r="I31" i="6"/>
  <c r="I31" i="7"/>
  <c r="I31" i="14"/>
  <c r="I31" i="9"/>
  <c r="I31" i="8"/>
  <c r="I35" i="27"/>
  <c r="AQ87" i="27" s="1"/>
  <c r="I35" i="6"/>
  <c r="I35" i="7"/>
  <c r="I35" i="14"/>
  <c r="I35" i="9"/>
  <c r="I35" i="8"/>
  <c r="I40" i="27"/>
  <c r="I40" i="7"/>
  <c r="I40" i="9"/>
  <c r="I40" i="8"/>
  <c r="I40" i="14"/>
  <c r="I40" i="6"/>
  <c r="I43" i="27"/>
  <c r="BB95" i="27" s="1"/>
  <c r="I43" i="6"/>
  <c r="I43" i="7"/>
  <c r="I43" i="14"/>
  <c r="I43" i="9"/>
  <c r="I43" i="8"/>
  <c r="I47" i="27"/>
  <c r="I47" i="6"/>
  <c r="I47" i="7"/>
  <c r="I47" i="14"/>
  <c r="I47" i="9"/>
  <c r="I47" i="8"/>
  <c r="I49" i="27"/>
  <c r="AS101" i="27" s="1"/>
  <c r="I49" i="9"/>
  <c r="I49" i="8"/>
  <c r="I49" i="7"/>
  <c r="I49" i="6"/>
  <c r="I49" i="14"/>
  <c r="I5" i="28"/>
  <c r="Z48" i="28" s="1"/>
  <c r="I5" i="13"/>
  <c r="I5" i="12"/>
  <c r="I5" i="10"/>
  <c r="I5" i="11"/>
  <c r="I7" i="28"/>
  <c r="AD50" i="28" s="1"/>
  <c r="I7" i="11"/>
  <c r="I7" i="13"/>
  <c r="I7" i="12"/>
  <c r="I7" i="10"/>
  <c r="I16" i="28"/>
  <c r="I16" i="13"/>
  <c r="I16" i="12"/>
  <c r="I16" i="10"/>
  <c r="I16" i="11"/>
  <c r="I7" i="27"/>
  <c r="I7" i="14"/>
  <c r="I7" i="6"/>
  <c r="I7" i="9"/>
  <c r="I7" i="8"/>
  <c r="I7" i="7"/>
  <c r="P13" i="5"/>
  <c r="I9" i="27"/>
  <c r="I9" i="14"/>
  <c r="I9" i="6"/>
  <c r="I9" i="9"/>
  <c r="I9" i="8"/>
  <c r="I9" i="7"/>
  <c r="I12" i="27"/>
  <c r="I12" i="14"/>
  <c r="I12" i="6"/>
  <c r="I12" i="9"/>
  <c r="I12" i="8"/>
  <c r="I12" i="7"/>
  <c r="I16" i="27"/>
  <c r="I16" i="6"/>
  <c r="I16" i="14"/>
  <c r="I16" i="9"/>
  <c r="I16" i="8"/>
  <c r="I16" i="7"/>
  <c r="I19" i="27"/>
  <c r="I19" i="6"/>
  <c r="I19" i="14"/>
  <c r="I19" i="9"/>
  <c r="I19" i="8"/>
  <c r="I19" i="7"/>
  <c r="I23" i="27"/>
  <c r="I23" i="14"/>
  <c r="I23" i="6"/>
  <c r="I23" i="7"/>
  <c r="I23" i="9"/>
  <c r="I23" i="8"/>
  <c r="I25" i="27"/>
  <c r="I25" i="14"/>
  <c r="I25" i="9"/>
  <c r="I25" i="8"/>
  <c r="I25" i="7"/>
  <c r="I25" i="6"/>
  <c r="I28" i="27"/>
  <c r="I28" i="7"/>
  <c r="I28" i="9"/>
  <c r="I28" i="8"/>
  <c r="I28" i="14"/>
  <c r="I28" i="6"/>
  <c r="I30" i="27"/>
  <c r="BB82" i="27" s="1"/>
  <c r="I30" i="9"/>
  <c r="I30" i="8"/>
  <c r="I30" i="7"/>
  <c r="I30" i="6"/>
  <c r="I30" i="14"/>
  <c r="I36" i="27"/>
  <c r="I36" i="7"/>
  <c r="I36" i="9"/>
  <c r="I36" i="8"/>
  <c r="I36" i="14"/>
  <c r="I36" i="6"/>
  <c r="I39" i="27"/>
  <c r="AL91" i="27" s="1"/>
  <c r="I39" i="6"/>
  <c r="I39" i="7"/>
  <c r="I39" i="14"/>
  <c r="I39" i="9"/>
  <c r="I39" i="8"/>
  <c r="I41" i="27"/>
  <c r="AI93" i="27" s="1"/>
  <c r="I41" i="9"/>
  <c r="I41" i="8"/>
  <c r="I41" i="7"/>
  <c r="I41" i="6"/>
  <c r="I41" i="14"/>
  <c r="I45" i="27"/>
  <c r="I45" i="9"/>
  <c r="I45" i="8"/>
  <c r="I45" i="7"/>
  <c r="I45" i="6"/>
  <c r="I45" i="14"/>
  <c r="I51" i="27"/>
  <c r="I51" i="6"/>
  <c r="I51" i="7"/>
  <c r="I51" i="14"/>
  <c r="I51" i="9"/>
  <c r="I51" i="8"/>
  <c r="I14" i="28"/>
  <c r="I14" i="10"/>
  <c r="I14" i="11"/>
  <c r="I14" i="13"/>
  <c r="I14" i="12"/>
  <c r="I8" i="27"/>
  <c r="I8" i="14"/>
  <c r="I8" i="6"/>
  <c r="I8" i="9"/>
  <c r="I8" i="8"/>
  <c r="I8" i="7"/>
  <c r="I10" i="9"/>
  <c r="I10" i="8"/>
  <c r="I10" i="7"/>
  <c r="I10" i="27"/>
  <c r="I10" i="14"/>
  <c r="I10" i="6"/>
  <c r="I15" i="27"/>
  <c r="I15" i="6"/>
  <c r="I15" i="14"/>
  <c r="I15" i="9"/>
  <c r="I15" i="8"/>
  <c r="I15" i="7"/>
  <c r="I18" i="9"/>
  <c r="I18" i="8"/>
  <c r="I18" i="7"/>
  <c r="I18" i="6"/>
  <c r="I18" i="27"/>
  <c r="AZ70" i="27" s="1"/>
  <c r="I18" i="14"/>
  <c r="I20" i="27"/>
  <c r="I20" i="14"/>
  <c r="I20" i="9"/>
  <c r="I20" i="8"/>
  <c r="I20" i="7"/>
  <c r="I20" i="6"/>
  <c r="I22" i="14"/>
  <c r="I22" i="9"/>
  <c r="I22" i="8"/>
  <c r="I22" i="6"/>
  <c r="I22" i="27"/>
  <c r="I22" i="7"/>
  <c r="I27" i="27"/>
  <c r="I27" i="6"/>
  <c r="I27" i="7"/>
  <c r="I27" i="14"/>
  <c r="I27" i="9"/>
  <c r="I27" i="8"/>
  <c r="I29" i="27"/>
  <c r="I29" i="9"/>
  <c r="I29" i="8"/>
  <c r="I29" i="7"/>
  <c r="I29" i="6"/>
  <c r="I29" i="14"/>
  <c r="I32" i="27"/>
  <c r="I32" i="7"/>
  <c r="I32" i="9"/>
  <c r="I32" i="8"/>
  <c r="I32" i="14"/>
  <c r="I32" i="6"/>
  <c r="I34" i="9"/>
  <c r="I34" i="8"/>
  <c r="I34" i="7"/>
  <c r="I34" i="6"/>
  <c r="I34" i="27"/>
  <c r="I34" i="14"/>
  <c r="I37" i="27"/>
  <c r="AO89" i="27" s="1"/>
  <c r="I37" i="9"/>
  <c r="I37" i="8"/>
  <c r="I37" i="7"/>
  <c r="I37" i="6"/>
  <c r="I37" i="14"/>
  <c r="I42" i="9"/>
  <c r="I42" i="8"/>
  <c r="I42" i="7"/>
  <c r="I42" i="27"/>
  <c r="I42" i="6"/>
  <c r="I42" i="14"/>
  <c r="I44" i="27"/>
  <c r="I44" i="7"/>
  <c r="I44" i="9"/>
  <c r="I44" i="8"/>
  <c r="I44" i="14"/>
  <c r="I44" i="6"/>
  <c r="I50" i="9"/>
  <c r="I50" i="8"/>
  <c r="I50" i="7"/>
  <c r="M69" i="6" s="1"/>
  <c r="I50" i="6"/>
  <c r="I50" i="27"/>
  <c r="AM102" i="27" s="1"/>
  <c r="I50" i="14"/>
  <c r="I12" i="28"/>
  <c r="I12" i="13"/>
  <c r="I12" i="12"/>
  <c r="I12" i="10"/>
  <c r="I12" i="11"/>
  <c r="I5" i="27"/>
  <c r="I5" i="14"/>
  <c r="I5" i="6"/>
  <c r="P12" i="5"/>
  <c r="P15" i="5" s="1"/>
  <c r="I5" i="9"/>
  <c r="I5" i="8"/>
  <c r="I5" i="7"/>
  <c r="I14" i="27"/>
  <c r="AV66" i="27" s="1"/>
  <c r="I14" i="9"/>
  <c r="I14" i="8"/>
  <c r="I14" i="7"/>
  <c r="I14" i="14"/>
  <c r="I14" i="6"/>
  <c r="I24" i="27"/>
  <c r="I24" i="14"/>
  <c r="I24" i="9"/>
  <c r="I24" i="8"/>
  <c r="I24" i="7"/>
  <c r="I24" i="6"/>
  <c r="I33" i="27"/>
  <c r="I33" i="9"/>
  <c r="I33" i="8"/>
  <c r="I33" i="7"/>
  <c r="I33" i="6"/>
  <c r="I33" i="14"/>
  <c r="I38" i="9"/>
  <c r="I38" i="8"/>
  <c r="I38" i="7"/>
  <c r="I38" i="6"/>
  <c r="I38" i="27"/>
  <c r="I38" i="14"/>
  <c r="I46" i="27"/>
  <c r="I46" i="9"/>
  <c r="I46" i="8"/>
  <c r="I46" i="7"/>
  <c r="I46" i="6"/>
  <c r="I46" i="14"/>
  <c r="I48" i="27"/>
  <c r="I48" i="7"/>
  <c r="I48" i="9"/>
  <c r="I48" i="8"/>
  <c r="I48" i="14"/>
  <c r="I48" i="6"/>
  <c r="I6" i="28"/>
  <c r="I6" i="10"/>
  <c r="I6" i="11"/>
  <c r="I6" i="13"/>
  <c r="I6" i="12"/>
  <c r="I8" i="28"/>
  <c r="I8" i="13"/>
  <c r="I8" i="12"/>
  <c r="I8" i="10"/>
  <c r="I8" i="11"/>
  <c r="I9" i="28"/>
  <c r="I9" i="13"/>
  <c r="I9" i="12"/>
  <c r="I9" i="10"/>
  <c r="I9" i="11"/>
  <c r="I10" i="28"/>
  <c r="I10" i="10"/>
  <c r="I10" i="11"/>
  <c r="I10" i="13"/>
  <c r="I10" i="12"/>
  <c r="I11" i="28"/>
  <c r="I11" i="11"/>
  <c r="I11" i="13"/>
  <c r="I11" i="12"/>
  <c r="I11" i="10"/>
  <c r="I13" i="28"/>
  <c r="AA56" i="28" s="1"/>
  <c r="I13" i="13"/>
  <c r="I13" i="12"/>
  <c r="I13" i="10"/>
  <c r="I13" i="11"/>
  <c r="I15" i="28"/>
  <c r="I15" i="11"/>
  <c r="I15" i="13"/>
  <c r="I15" i="12"/>
  <c r="I15" i="10"/>
  <c r="I17" i="28"/>
  <c r="I17" i="13"/>
  <c r="I17" i="12"/>
  <c r="I17" i="10"/>
  <c r="I17" i="11"/>
  <c r="I18" i="28"/>
  <c r="I18" i="10"/>
  <c r="I18" i="11"/>
  <c r="I18" i="13"/>
  <c r="I18" i="12"/>
  <c r="I19" i="28"/>
  <c r="I19" i="11"/>
  <c r="I19" i="13"/>
  <c r="I19" i="12"/>
  <c r="I19" i="10"/>
  <c r="I20" i="28"/>
  <c r="I20" i="13"/>
  <c r="I20" i="12"/>
  <c r="I20" i="10"/>
  <c r="I20" i="11"/>
  <c r="I21" i="28"/>
  <c r="I21" i="13"/>
  <c r="I21" i="12"/>
  <c r="I21" i="10"/>
  <c r="I21" i="11"/>
  <c r="I22" i="28"/>
  <c r="I22" i="10"/>
  <c r="I22" i="11"/>
  <c r="I22" i="13"/>
  <c r="I22" i="12"/>
  <c r="I23" i="28"/>
  <c r="I23" i="11"/>
  <c r="I23" i="13"/>
  <c r="I23" i="12"/>
  <c r="I23" i="10"/>
  <c r="I24" i="28"/>
  <c r="I24" i="13"/>
  <c r="I24" i="12"/>
  <c r="I24" i="10"/>
  <c r="I24" i="11"/>
  <c r="I25" i="28"/>
  <c r="I25" i="13"/>
  <c r="I25" i="12"/>
  <c r="I25" i="10"/>
  <c r="I25" i="11"/>
  <c r="I26" i="28"/>
  <c r="I26" i="10"/>
  <c r="I26" i="11"/>
  <c r="I26" i="13"/>
  <c r="I26" i="12"/>
  <c r="I27" i="28"/>
  <c r="I27" i="11"/>
  <c r="I27" i="13"/>
  <c r="I27" i="12"/>
  <c r="I27" i="10"/>
  <c r="I28" i="28"/>
  <c r="I28" i="13"/>
  <c r="I28" i="12"/>
  <c r="I28" i="10"/>
  <c r="I28" i="11"/>
  <c r="I29" i="28"/>
  <c r="I29" i="13"/>
  <c r="I29" i="12"/>
  <c r="I29" i="10"/>
  <c r="I29" i="11"/>
  <c r="I32" i="28"/>
  <c r="I32" i="13"/>
  <c r="I32" i="12"/>
  <c r="I32" i="10"/>
  <c r="I32" i="11"/>
  <c r="I36" i="28"/>
  <c r="I36" i="13"/>
  <c r="I36" i="12"/>
  <c r="I36" i="10"/>
  <c r="I36" i="11"/>
  <c r="U27" i="4"/>
  <c r="U28" i="4"/>
  <c r="U30" i="4"/>
  <c r="U31" i="4"/>
  <c r="U32" i="4"/>
  <c r="I37" i="28"/>
  <c r="I37" i="13"/>
  <c r="I37" i="12"/>
  <c r="I37" i="10"/>
  <c r="I37" i="11"/>
  <c r="I38" i="28"/>
  <c r="I38" i="10"/>
  <c r="I38" i="11"/>
  <c r="I38" i="13"/>
  <c r="I38" i="12"/>
  <c r="I39" i="28"/>
  <c r="I39" i="11"/>
  <c r="I39" i="13"/>
  <c r="I39" i="12"/>
  <c r="I39" i="10"/>
  <c r="I40" i="28"/>
  <c r="I40" i="13"/>
  <c r="I40" i="12"/>
  <c r="I40" i="10"/>
  <c r="I40" i="11"/>
  <c r="I41" i="28"/>
  <c r="I41" i="13"/>
  <c r="I41" i="12"/>
  <c r="I41" i="10"/>
  <c r="I41" i="11"/>
  <c r="I42" i="28"/>
  <c r="I42" i="10"/>
  <c r="I42" i="11"/>
  <c r="I42" i="13"/>
  <c r="I42" i="12"/>
  <c r="P16" i="5"/>
  <c r="D28" i="5"/>
  <c r="AL56" i="6" s="1"/>
  <c r="V56" i="7"/>
  <c r="AC3" i="17"/>
  <c r="AC7" i="17"/>
  <c r="AC11" i="17"/>
  <c r="AC15" i="17"/>
  <c r="AC19" i="17"/>
  <c r="AC23" i="17"/>
  <c r="AC50" i="17"/>
  <c r="AC52" i="17"/>
  <c r="AC54" i="17"/>
  <c r="AC56" i="17"/>
  <c r="AC58" i="17"/>
  <c r="AC60" i="17"/>
  <c r="AC86" i="17"/>
  <c r="AC88" i="17"/>
  <c r="AC90" i="17"/>
  <c r="AC92" i="17"/>
  <c r="AC94" i="17"/>
  <c r="AC96" i="17"/>
  <c r="R10" i="5"/>
  <c r="D18" i="5"/>
  <c r="AB56" i="6" s="1"/>
  <c r="AF8" i="21"/>
  <c r="AD11" i="21"/>
  <c r="BC62" i="27"/>
  <c r="AY62" i="27"/>
  <c r="AU62" i="27"/>
  <c r="AQ62" i="27"/>
  <c r="AM62" i="27"/>
  <c r="AI62" i="27"/>
  <c r="BB62" i="27"/>
  <c r="AX62" i="27"/>
  <c r="AT62" i="27"/>
  <c r="AP62" i="27"/>
  <c r="AL62" i="27"/>
  <c r="BA62" i="27"/>
  <c r="AW62" i="27"/>
  <c r="AS62" i="27"/>
  <c r="AO62" i="27"/>
  <c r="AK62" i="27"/>
  <c r="BC74" i="27"/>
  <c r="AY74" i="27"/>
  <c r="AU74" i="27"/>
  <c r="AQ74" i="27"/>
  <c r="AM74" i="27"/>
  <c r="AI74" i="27"/>
  <c r="R74" i="27"/>
  <c r="BB74" i="27"/>
  <c r="AX74" i="27"/>
  <c r="AT74" i="27"/>
  <c r="AP74" i="27"/>
  <c r="AL74" i="27"/>
  <c r="BA74" i="27"/>
  <c r="AW74" i="27"/>
  <c r="AS74" i="27"/>
  <c r="AO74" i="27"/>
  <c r="AK74" i="27"/>
  <c r="P74" i="27"/>
  <c r="BD86" i="27"/>
  <c r="AZ86" i="27"/>
  <c r="AV86" i="27"/>
  <c r="AR86" i="27"/>
  <c r="AN86" i="27"/>
  <c r="AJ86" i="27"/>
  <c r="BB86" i="27"/>
  <c r="AW86" i="27"/>
  <c r="AQ86" i="27"/>
  <c r="AL86" i="27"/>
  <c r="BA86" i="27"/>
  <c r="AU86" i="27"/>
  <c r="AP86" i="27"/>
  <c r="AK86" i="27"/>
  <c r="AY86" i="27"/>
  <c r="AT86" i="27"/>
  <c r="AO86" i="27"/>
  <c r="AI86" i="27"/>
  <c r="AM86" i="27"/>
  <c r="BC86" i="27"/>
  <c r="AX86" i="27"/>
  <c r="BD98" i="27"/>
  <c r="AZ98" i="27"/>
  <c r="AV98" i="27"/>
  <c r="AR98" i="27"/>
  <c r="AN98" i="27"/>
  <c r="AJ98" i="27"/>
  <c r="BA98" i="27"/>
  <c r="AU98" i="27"/>
  <c r="AP98" i="27"/>
  <c r="AK98" i="27"/>
  <c r="AX98" i="27"/>
  <c r="AQ98" i="27"/>
  <c r="AI98" i="27"/>
  <c r="AY98" i="27"/>
  <c r="AO98" i="27"/>
  <c r="AW98" i="27"/>
  <c r="AM98" i="27"/>
  <c r="BC98" i="27"/>
  <c r="AT98" i="27"/>
  <c r="AL98" i="27"/>
  <c r="BB98" i="27"/>
  <c r="AS98" i="27"/>
  <c r="AR70" i="27"/>
  <c r="AF57" i="28"/>
  <c r="AB57" i="28"/>
  <c r="X57" i="28"/>
  <c r="AE57" i="28"/>
  <c r="AA57" i="28"/>
  <c r="AH57" i="28"/>
  <c r="Z57" i="28"/>
  <c r="AG57" i="28"/>
  <c r="Y57" i="28"/>
  <c r="AD57" i="28"/>
  <c r="AC57" i="28"/>
  <c r="AF69" i="28"/>
  <c r="AB69" i="28"/>
  <c r="X69" i="28"/>
  <c r="AE69" i="28"/>
  <c r="AA69" i="28"/>
  <c r="AH69" i="28"/>
  <c r="AD69" i="28"/>
  <c r="Z69" i="28"/>
  <c r="AC69" i="28"/>
  <c r="Y69" i="28"/>
  <c r="AG69" i="28"/>
  <c r="AE81" i="28"/>
  <c r="AA81" i="28"/>
  <c r="AH81" i="28"/>
  <c r="AD81" i="28"/>
  <c r="Z81" i="28"/>
  <c r="AG81" i="28"/>
  <c r="AC81" i="28"/>
  <c r="Y81" i="28"/>
  <c r="AF81" i="28"/>
  <c r="AB81" i="28"/>
  <c r="X81" i="28"/>
  <c r="BC59" i="27"/>
  <c r="AY59" i="27"/>
  <c r="AU59" i="27"/>
  <c r="AQ59" i="27"/>
  <c r="AM59" i="27"/>
  <c r="AI59" i="27"/>
  <c r="BB59" i="27"/>
  <c r="AX59" i="27"/>
  <c r="AT59" i="27"/>
  <c r="AP59" i="27"/>
  <c r="AL59" i="27"/>
  <c r="BA59" i="27"/>
  <c r="AW59" i="27"/>
  <c r="AS59" i="27"/>
  <c r="AO59" i="27"/>
  <c r="AK59" i="27"/>
  <c r="BC75" i="27"/>
  <c r="AY75" i="27"/>
  <c r="AU75" i="27"/>
  <c r="AQ75" i="27"/>
  <c r="AM75" i="27"/>
  <c r="AI75" i="27"/>
  <c r="R75" i="27"/>
  <c r="BB75" i="27"/>
  <c r="AX75" i="27"/>
  <c r="AT75" i="27"/>
  <c r="AP75" i="27"/>
  <c r="AL75" i="27"/>
  <c r="BA75" i="27"/>
  <c r="AW75" i="27"/>
  <c r="AS75" i="27"/>
  <c r="AO75" i="27"/>
  <c r="AK75" i="27"/>
  <c r="P75" i="27"/>
  <c r="BD91" i="27"/>
  <c r="AZ91" i="27"/>
  <c r="AV91" i="27"/>
  <c r="AR91" i="27"/>
  <c r="AN91" i="27"/>
  <c r="AJ91" i="27"/>
  <c r="BA91" i="27"/>
  <c r="AU91" i="27"/>
  <c r="AP91" i="27"/>
  <c r="AK91" i="27"/>
  <c r="AY91" i="27"/>
  <c r="AT91" i="27"/>
  <c r="AO91" i="27"/>
  <c r="AI91" i="27"/>
  <c r="BC91" i="27"/>
  <c r="AX91" i="27"/>
  <c r="AS91" i="27"/>
  <c r="AM91" i="27"/>
  <c r="BB91" i="27"/>
  <c r="AW91" i="27"/>
  <c r="AQ91" i="27"/>
  <c r="BD103" i="27"/>
  <c r="AZ103" i="27"/>
  <c r="AV103" i="27"/>
  <c r="AR103" i="27"/>
  <c r="AN103" i="27"/>
  <c r="AJ103" i="27"/>
  <c r="AY103" i="27"/>
  <c r="AT103" i="27"/>
  <c r="AO103" i="27"/>
  <c r="AI103" i="27"/>
  <c r="AX103" i="27"/>
  <c r="AQ103" i="27"/>
  <c r="AK103" i="27"/>
  <c r="AW103" i="27"/>
  <c r="AM103" i="27"/>
  <c r="BC103" i="27"/>
  <c r="AU103" i="27"/>
  <c r="AL103" i="27"/>
  <c r="BB103" i="27"/>
  <c r="AS103" i="27"/>
  <c r="BA103" i="27"/>
  <c r="AP103" i="27"/>
  <c r="AV58" i="27"/>
  <c r="AJ59" i="27"/>
  <c r="AZ59" i="27"/>
  <c r="AV62" i="27"/>
  <c r="AJ63" i="27"/>
  <c r="AJ67" i="27"/>
  <c r="AZ67" i="27"/>
  <c r="AV70" i="27"/>
  <c r="AJ71" i="27"/>
  <c r="AV74" i="27"/>
  <c r="AJ75" i="27"/>
  <c r="AZ75" i="27"/>
  <c r="AJ79" i="27"/>
  <c r="AZ79" i="27"/>
  <c r="AW82" i="27"/>
  <c r="BC66" i="27"/>
  <c r="AY66" i="27"/>
  <c r="AU66" i="27"/>
  <c r="AQ66" i="27"/>
  <c r="AM66" i="27"/>
  <c r="AI66" i="27"/>
  <c r="BB66" i="27"/>
  <c r="AX66" i="27"/>
  <c r="AT66" i="27"/>
  <c r="AP66" i="27"/>
  <c r="AL66" i="27"/>
  <c r="BA66" i="27"/>
  <c r="AW66" i="27"/>
  <c r="AS66" i="27"/>
  <c r="AO66" i="27"/>
  <c r="AK66" i="27"/>
  <c r="BC78" i="27"/>
  <c r="AY78" i="27"/>
  <c r="AU78" i="27"/>
  <c r="AQ78" i="27"/>
  <c r="AM78" i="27"/>
  <c r="AI78" i="27"/>
  <c r="R78" i="27"/>
  <c r="BB78" i="27"/>
  <c r="AX78" i="27"/>
  <c r="AT78" i="27"/>
  <c r="AP78" i="27"/>
  <c r="AL78" i="27"/>
  <c r="BA78" i="27"/>
  <c r="AW78" i="27"/>
  <c r="AS78" i="27"/>
  <c r="AO78" i="27"/>
  <c r="AK78" i="27"/>
  <c r="P78" i="27"/>
  <c r="BD90" i="27"/>
  <c r="AZ90" i="27"/>
  <c r="AV90" i="27"/>
  <c r="AR90" i="27"/>
  <c r="AN90" i="27"/>
  <c r="AJ90" i="27"/>
  <c r="BB90" i="27"/>
  <c r="AW90" i="27"/>
  <c r="AQ90" i="27"/>
  <c r="AL90" i="27"/>
  <c r="BA90" i="27"/>
  <c r="AU90" i="27"/>
  <c r="AP90" i="27"/>
  <c r="AK90" i="27"/>
  <c r="AY90" i="27"/>
  <c r="AT90" i="27"/>
  <c r="AO90" i="27"/>
  <c r="AI90" i="27"/>
  <c r="BC90" i="27"/>
  <c r="AX90" i="27"/>
  <c r="AS90" i="27"/>
  <c r="BD102" i="27"/>
  <c r="AZ102" i="27"/>
  <c r="AV102" i="27"/>
  <c r="AR102" i="27"/>
  <c r="AN102" i="27"/>
  <c r="AJ102" i="27"/>
  <c r="BA102" i="27"/>
  <c r="AU102" i="27"/>
  <c r="AP102" i="27"/>
  <c r="AK102" i="27"/>
  <c r="AY102" i="27"/>
  <c r="AS102" i="27"/>
  <c r="AL102" i="27"/>
  <c r="BC102" i="27"/>
  <c r="AT102" i="27"/>
  <c r="AI102" i="27"/>
  <c r="BB102" i="27"/>
  <c r="AQ102" i="27"/>
  <c r="AX102" i="27"/>
  <c r="AO102" i="27"/>
  <c r="AW102" i="27"/>
  <c r="AR62" i="27"/>
  <c r="AR66" i="27"/>
  <c r="AR78" i="27"/>
  <c r="AE49" i="28"/>
  <c r="AA49" i="28"/>
  <c r="AH49" i="28"/>
  <c r="AD49" i="28"/>
  <c r="Z49" i="28"/>
  <c r="AG49" i="28"/>
  <c r="AC49" i="28"/>
  <c r="Y49" i="28"/>
  <c r="AF49" i="28"/>
  <c r="AB49" i="28"/>
  <c r="X49" i="28"/>
  <c r="AF61" i="28"/>
  <c r="AB61" i="28"/>
  <c r="X61" i="28"/>
  <c r="AE61" i="28"/>
  <c r="AA61" i="28"/>
  <c r="AH61" i="28"/>
  <c r="Z61" i="28"/>
  <c r="AG61" i="28"/>
  <c r="Y61" i="28"/>
  <c r="AD61" i="28"/>
  <c r="AC61" i="28"/>
  <c r="AE85" i="28"/>
  <c r="AA85" i="28"/>
  <c r="AH85" i="28"/>
  <c r="AD85" i="28"/>
  <c r="Z85" i="28"/>
  <c r="AG85" i="28"/>
  <c r="AC85" i="28"/>
  <c r="Y85" i="28"/>
  <c r="AF85" i="28"/>
  <c r="AB85" i="28"/>
  <c r="X85" i="28"/>
  <c r="BC63" i="27"/>
  <c r="AY63" i="27"/>
  <c r="AU63" i="27"/>
  <c r="AQ63" i="27"/>
  <c r="AM63" i="27"/>
  <c r="AI63" i="27"/>
  <c r="BB63" i="27"/>
  <c r="AX63" i="27"/>
  <c r="AT63" i="27"/>
  <c r="AP63" i="27"/>
  <c r="AL63" i="27"/>
  <c r="BA63" i="27"/>
  <c r="AW63" i="27"/>
  <c r="AS63" i="27"/>
  <c r="AO63" i="27"/>
  <c r="AK63" i="27"/>
  <c r="BC71" i="27"/>
  <c r="AY71" i="27"/>
  <c r="AU71" i="27"/>
  <c r="AQ71" i="27"/>
  <c r="AM71" i="27"/>
  <c r="AI71" i="27"/>
  <c r="BB71" i="27"/>
  <c r="AX71" i="27"/>
  <c r="AT71" i="27"/>
  <c r="AP71" i="27"/>
  <c r="AL71" i="27"/>
  <c r="BA71" i="27"/>
  <c r="AW71" i="27"/>
  <c r="AS71" i="27"/>
  <c r="AO71" i="27"/>
  <c r="AK71" i="27"/>
  <c r="BD83" i="27"/>
  <c r="AZ83" i="27"/>
  <c r="AV83" i="27"/>
  <c r="AR83" i="27"/>
  <c r="AN83" i="27"/>
  <c r="AJ83" i="27"/>
  <c r="BC83" i="27"/>
  <c r="AY83" i="27"/>
  <c r="BA83" i="27"/>
  <c r="AT83" i="27"/>
  <c r="AO83" i="27"/>
  <c r="AI83" i="27"/>
  <c r="AX83" i="27"/>
  <c r="AS83" i="27"/>
  <c r="AM83" i="27"/>
  <c r="AW83" i="27"/>
  <c r="AQ83" i="27"/>
  <c r="AL83" i="27"/>
  <c r="BD95" i="27"/>
  <c r="AZ95" i="27"/>
  <c r="AV95" i="27"/>
  <c r="AR95" i="27"/>
  <c r="AN95" i="27"/>
  <c r="AJ95" i="27"/>
  <c r="BA95" i="27"/>
  <c r="AU95" i="27"/>
  <c r="AP95" i="27"/>
  <c r="AK95" i="27"/>
  <c r="AY95" i="27"/>
  <c r="AT95" i="27"/>
  <c r="AO95" i="27"/>
  <c r="AI95" i="27"/>
  <c r="BC95" i="27"/>
  <c r="AX95" i="27"/>
  <c r="AS95" i="27"/>
  <c r="AM95" i="27"/>
  <c r="AW95" i="27"/>
  <c r="AQ95" i="27"/>
  <c r="AL95" i="27"/>
  <c r="BC60" i="27"/>
  <c r="AY60" i="27"/>
  <c r="AU60" i="27"/>
  <c r="AQ60" i="27"/>
  <c r="AM60" i="27"/>
  <c r="AI60" i="27"/>
  <c r="BB60" i="27"/>
  <c r="AX60" i="27"/>
  <c r="AT60" i="27"/>
  <c r="AP60" i="27"/>
  <c r="AL60" i="27"/>
  <c r="BA60" i="27"/>
  <c r="AW60" i="27"/>
  <c r="AS60" i="27"/>
  <c r="AO60" i="27"/>
  <c r="AK60" i="27"/>
  <c r="BC64" i="27"/>
  <c r="AY64" i="27"/>
  <c r="AU64" i="27"/>
  <c r="AQ64" i="27"/>
  <c r="AM64" i="27"/>
  <c r="AI64" i="27"/>
  <c r="BB64" i="27"/>
  <c r="AX64" i="27"/>
  <c r="AT64" i="27"/>
  <c r="AP64" i="27"/>
  <c r="AL64" i="27"/>
  <c r="BA64" i="27"/>
  <c r="AW64" i="27"/>
  <c r="AS64" i="27"/>
  <c r="AO64" i="27"/>
  <c r="AK64" i="27"/>
  <c r="BC68" i="27"/>
  <c r="AY68" i="27"/>
  <c r="AU68" i="27"/>
  <c r="AQ68" i="27"/>
  <c r="AM68" i="27"/>
  <c r="AI68" i="27"/>
  <c r="BB68" i="27"/>
  <c r="AX68" i="27"/>
  <c r="AT68" i="27"/>
  <c r="AP68" i="27"/>
  <c r="AL68" i="27"/>
  <c r="BA68" i="27"/>
  <c r="AW68" i="27"/>
  <c r="AS68" i="27"/>
  <c r="AO68" i="27"/>
  <c r="AK68" i="27"/>
  <c r="BC72" i="27"/>
  <c r="AY72" i="27"/>
  <c r="AU72" i="27"/>
  <c r="AQ72" i="27"/>
  <c r="AM72" i="27"/>
  <c r="AI72" i="27"/>
  <c r="BB72" i="27"/>
  <c r="AX72" i="27"/>
  <c r="AT72" i="27"/>
  <c r="AP72" i="27"/>
  <c r="AL72" i="27"/>
  <c r="BA72" i="27"/>
  <c r="AW72" i="27"/>
  <c r="AS72" i="27"/>
  <c r="AO72" i="27"/>
  <c r="AK72" i="27"/>
  <c r="BC76" i="27"/>
  <c r="AY76" i="27"/>
  <c r="AU76" i="27"/>
  <c r="AQ76" i="27"/>
  <c r="AM76" i="27"/>
  <c r="AI76" i="27"/>
  <c r="R76" i="27"/>
  <c r="BB76" i="27"/>
  <c r="AX76" i="27"/>
  <c r="AT76" i="27"/>
  <c r="AP76" i="27"/>
  <c r="AL76" i="27"/>
  <c r="BA76" i="27"/>
  <c r="AW76" i="27"/>
  <c r="AS76" i="27"/>
  <c r="AO76" i="27"/>
  <c r="AK76" i="27"/>
  <c r="P76" i="27"/>
  <c r="BC80" i="27"/>
  <c r="AY80" i="27"/>
  <c r="AU80" i="27"/>
  <c r="AQ80" i="27"/>
  <c r="AM80" i="27"/>
  <c r="AI80" i="27"/>
  <c r="R80" i="27"/>
  <c r="BB80" i="27"/>
  <c r="AX80" i="27"/>
  <c r="AT80" i="27"/>
  <c r="AP80" i="27"/>
  <c r="AL80" i="27"/>
  <c r="BA80" i="27"/>
  <c r="AW80" i="27"/>
  <c r="AS80" i="27"/>
  <c r="AO80" i="27"/>
  <c r="AK80" i="27"/>
  <c r="P80" i="27"/>
  <c r="BD84" i="27"/>
  <c r="AZ84" i="27"/>
  <c r="AV84" i="27"/>
  <c r="AR84" i="27"/>
  <c r="AN84" i="27"/>
  <c r="AJ84" i="27"/>
  <c r="BC84" i="27"/>
  <c r="AY84" i="27"/>
  <c r="AU84" i="27"/>
  <c r="AQ84" i="27"/>
  <c r="AM84" i="27"/>
  <c r="AI84" i="27"/>
  <c r="AW84" i="27"/>
  <c r="AO84" i="27"/>
  <c r="BB84" i="27"/>
  <c r="AT84" i="27"/>
  <c r="AL84" i="27"/>
  <c r="BA84" i="27"/>
  <c r="AS84" i="27"/>
  <c r="AK84" i="27"/>
  <c r="BD88" i="27"/>
  <c r="AZ88" i="27"/>
  <c r="AV88" i="27"/>
  <c r="AR88" i="27"/>
  <c r="AN88" i="27"/>
  <c r="AJ88" i="27"/>
  <c r="AY88" i="27"/>
  <c r="AT88" i="27"/>
  <c r="AO88" i="27"/>
  <c r="AI88" i="27"/>
  <c r="BC88" i="27"/>
  <c r="AX88" i="27"/>
  <c r="AS88" i="27"/>
  <c r="AM88" i="27"/>
  <c r="BB88" i="27"/>
  <c r="AW88" i="27"/>
  <c r="AQ88" i="27"/>
  <c r="AL88" i="27"/>
  <c r="AK88" i="27"/>
  <c r="BA88" i="27"/>
  <c r="AU88" i="27"/>
  <c r="BD92" i="27"/>
  <c r="AZ92" i="27"/>
  <c r="AV92" i="27"/>
  <c r="AR92" i="27"/>
  <c r="AN92" i="27"/>
  <c r="AJ92" i="27"/>
  <c r="AY92" i="27"/>
  <c r="AT92" i="27"/>
  <c r="AO92" i="27"/>
  <c r="AI92" i="27"/>
  <c r="BC92" i="27"/>
  <c r="AX92" i="27"/>
  <c r="AS92" i="27"/>
  <c r="AM92" i="27"/>
  <c r="BB92" i="27"/>
  <c r="AW92" i="27"/>
  <c r="AQ92" i="27"/>
  <c r="AL92" i="27"/>
  <c r="BA92" i="27"/>
  <c r="AU92" i="27"/>
  <c r="AP92" i="27"/>
  <c r="BD96" i="27"/>
  <c r="AZ96" i="27"/>
  <c r="AV96" i="27"/>
  <c r="AR96" i="27"/>
  <c r="AN96" i="27"/>
  <c r="AJ96" i="27"/>
  <c r="BC96" i="27"/>
  <c r="AX96" i="27"/>
  <c r="AS96" i="27"/>
  <c r="AM96" i="27"/>
  <c r="BA96" i="27"/>
  <c r="AT96" i="27"/>
  <c r="AL96" i="27"/>
  <c r="BB96" i="27"/>
  <c r="AQ96" i="27"/>
  <c r="AI96" i="27"/>
  <c r="AY96" i="27"/>
  <c r="AP96" i="27"/>
  <c r="AW96" i="27"/>
  <c r="AO96" i="27"/>
  <c r="AU96" i="27"/>
  <c r="BD100" i="27"/>
  <c r="AZ100" i="27"/>
  <c r="AV100" i="27"/>
  <c r="AR100" i="27"/>
  <c r="AN100" i="27"/>
  <c r="AJ100" i="27"/>
  <c r="BC100" i="27"/>
  <c r="AX100" i="27"/>
  <c r="AS100" i="27"/>
  <c r="AM100" i="27"/>
  <c r="BB100" i="27"/>
  <c r="AU100" i="27"/>
  <c r="AO100" i="27"/>
  <c r="AW100" i="27"/>
  <c r="AL100" i="27"/>
  <c r="AT100" i="27"/>
  <c r="AK100" i="27"/>
  <c r="BA100" i="27"/>
  <c r="AQ100" i="27"/>
  <c r="AI100" i="27"/>
  <c r="AP100" i="27"/>
  <c r="AJ58" i="27"/>
  <c r="AN59" i="27"/>
  <c r="BD59" i="27"/>
  <c r="AR60" i="27"/>
  <c r="AJ62" i="27"/>
  <c r="AZ62" i="27"/>
  <c r="AN63" i="27"/>
  <c r="BD63" i="27"/>
  <c r="AR64" i="27"/>
  <c r="AJ66" i="27"/>
  <c r="AZ66" i="27"/>
  <c r="AN67" i="27"/>
  <c r="AR68" i="27"/>
  <c r="AJ70" i="27"/>
  <c r="AN71" i="27"/>
  <c r="BD71" i="27"/>
  <c r="AR72" i="27"/>
  <c r="AJ74" i="27"/>
  <c r="AZ74" i="27"/>
  <c r="AN75" i="27"/>
  <c r="BD75" i="27"/>
  <c r="AR76" i="27"/>
  <c r="AJ78" i="27"/>
  <c r="AZ78" i="27"/>
  <c r="AN79" i="27"/>
  <c r="AR80" i="27"/>
  <c r="BB83" i="27"/>
  <c r="AP84" i="27"/>
  <c r="AS86" i="27"/>
  <c r="AP88" i="27"/>
  <c r="AM90" i="27"/>
  <c r="AK92" i="27"/>
  <c r="AK96" i="27"/>
  <c r="BC58" i="27"/>
  <c r="AY58" i="27"/>
  <c r="AU58" i="27"/>
  <c r="AQ58" i="27"/>
  <c r="AM58" i="27"/>
  <c r="AI58" i="27"/>
  <c r="BB58" i="27"/>
  <c r="AX58" i="27"/>
  <c r="AT58" i="27"/>
  <c r="AP58" i="27"/>
  <c r="AL58" i="27"/>
  <c r="BA58" i="27"/>
  <c r="AW58" i="27"/>
  <c r="AS58" i="27"/>
  <c r="AO58" i="27"/>
  <c r="AK58" i="27"/>
  <c r="BC70" i="27"/>
  <c r="AY70" i="27"/>
  <c r="AU70" i="27"/>
  <c r="AQ70" i="27"/>
  <c r="AM70" i="27"/>
  <c r="AI70" i="27"/>
  <c r="BB70" i="27"/>
  <c r="AX70" i="27"/>
  <c r="AT70" i="27"/>
  <c r="AP70" i="27"/>
  <c r="AL70" i="27"/>
  <c r="BA70" i="27"/>
  <c r="AW70" i="27"/>
  <c r="AS70" i="27"/>
  <c r="AO70" i="27"/>
  <c r="AK70" i="27"/>
  <c r="BD82" i="27"/>
  <c r="AZ82" i="27"/>
  <c r="AV82" i="27"/>
  <c r="AR82" i="27"/>
  <c r="AN82" i="27"/>
  <c r="AJ82" i="27"/>
  <c r="BA82" i="27"/>
  <c r="AU82" i="27"/>
  <c r="AP82" i="27"/>
  <c r="AK82" i="27"/>
  <c r="AY82" i="27"/>
  <c r="AT82" i="27"/>
  <c r="AO82" i="27"/>
  <c r="AI82" i="27"/>
  <c r="BC82" i="27"/>
  <c r="AX82" i="27"/>
  <c r="AS82" i="27"/>
  <c r="AM82" i="27"/>
  <c r="BD94" i="27"/>
  <c r="AZ94" i="27"/>
  <c r="AV94" i="27"/>
  <c r="AR94" i="27"/>
  <c r="AN94" i="27"/>
  <c r="AJ94" i="27"/>
  <c r="BB94" i="27"/>
  <c r="AW94" i="27"/>
  <c r="AQ94" i="27"/>
  <c r="AL94" i="27"/>
  <c r="BA94" i="27"/>
  <c r="AU94" i="27"/>
  <c r="AP94" i="27"/>
  <c r="AK94" i="27"/>
  <c r="AY94" i="27"/>
  <c r="AT94" i="27"/>
  <c r="AO94" i="27"/>
  <c r="AI94" i="27"/>
  <c r="AX94" i="27"/>
  <c r="AS94" i="27"/>
  <c r="AM94" i="27"/>
  <c r="AR58" i="27"/>
  <c r="AR74" i="27"/>
  <c r="AQ82" i="27"/>
  <c r="AE53" i="28"/>
  <c r="AA53" i="28"/>
  <c r="AH53" i="28"/>
  <c r="AD53" i="28"/>
  <c r="Z53" i="28"/>
  <c r="AG53" i="28"/>
  <c r="AC53" i="28"/>
  <c r="Y53" i="28"/>
  <c r="X53" i="28"/>
  <c r="AF53" i="28"/>
  <c r="AB53" i="28"/>
  <c r="AF65" i="28"/>
  <c r="AB65" i="28"/>
  <c r="X65" i="28"/>
  <c r="AE65" i="28"/>
  <c r="AA65" i="28"/>
  <c r="AH65" i="28"/>
  <c r="Z65" i="28"/>
  <c r="AG65" i="28"/>
  <c r="Y65" i="28"/>
  <c r="AD65" i="28"/>
  <c r="AC65" i="28"/>
  <c r="BC67" i="27"/>
  <c r="AY67" i="27"/>
  <c r="AU67" i="27"/>
  <c r="AQ67" i="27"/>
  <c r="AM67" i="27"/>
  <c r="AI67" i="27"/>
  <c r="BB67" i="27"/>
  <c r="AX67" i="27"/>
  <c r="AT67" i="27"/>
  <c r="AP67" i="27"/>
  <c r="AL67" i="27"/>
  <c r="BA67" i="27"/>
  <c r="AW67" i="27"/>
  <c r="AS67" i="27"/>
  <c r="AO67" i="27"/>
  <c r="AK67" i="27"/>
  <c r="BC79" i="27"/>
  <c r="AY79" i="27"/>
  <c r="AU79" i="27"/>
  <c r="AQ79" i="27"/>
  <c r="AM79" i="27"/>
  <c r="AI79" i="27"/>
  <c r="R79" i="27"/>
  <c r="BB79" i="27"/>
  <c r="AX79" i="27"/>
  <c r="AT79" i="27"/>
  <c r="AP79" i="27"/>
  <c r="AL79" i="27"/>
  <c r="BA79" i="27"/>
  <c r="AW79" i="27"/>
  <c r="AS79" i="27"/>
  <c r="AO79" i="27"/>
  <c r="AK79" i="27"/>
  <c r="P79" i="27"/>
  <c r="BD87" i="27"/>
  <c r="AZ87" i="27"/>
  <c r="AV87" i="27"/>
  <c r="AR87" i="27"/>
  <c r="AN87" i="27"/>
  <c r="AJ87" i="27"/>
  <c r="BA87" i="27"/>
  <c r="AU87" i="27"/>
  <c r="AP87" i="27"/>
  <c r="AK87" i="27"/>
  <c r="AY87" i="27"/>
  <c r="AT87" i="27"/>
  <c r="AO87" i="27"/>
  <c r="AI87" i="27"/>
  <c r="BC87" i="27"/>
  <c r="AX87" i="27"/>
  <c r="AS87" i="27"/>
  <c r="AM87" i="27"/>
  <c r="AL87" i="27"/>
  <c r="BB87" i="27"/>
  <c r="AW87" i="27"/>
  <c r="BD99" i="27"/>
  <c r="AZ99" i="27"/>
  <c r="AV99" i="27"/>
  <c r="AR99" i="27"/>
  <c r="AN99" i="27"/>
  <c r="AJ99" i="27"/>
  <c r="AY99" i="27"/>
  <c r="AT99" i="27"/>
  <c r="AO99" i="27"/>
  <c r="AI99" i="27"/>
  <c r="BC99" i="27"/>
  <c r="AW99" i="27"/>
  <c r="AP99" i="27"/>
  <c r="BB99" i="27"/>
  <c r="AS99" i="27"/>
  <c r="AK99" i="27"/>
  <c r="BA99" i="27"/>
  <c r="AQ99" i="27"/>
  <c r="AX99" i="27"/>
  <c r="AM99" i="27"/>
  <c r="AU99" i="27"/>
  <c r="AL99" i="27"/>
  <c r="BC57" i="27"/>
  <c r="AY57" i="27"/>
  <c r="AU57" i="27"/>
  <c r="AQ57" i="27"/>
  <c r="AM57" i="27"/>
  <c r="AI57" i="27"/>
  <c r="BB57" i="27"/>
  <c r="AX57" i="27"/>
  <c r="AT57" i="27"/>
  <c r="AP57" i="27"/>
  <c r="AL57" i="27"/>
  <c r="BA57" i="27"/>
  <c r="AW57" i="27"/>
  <c r="AS57" i="27"/>
  <c r="AO57" i="27"/>
  <c r="AK57" i="27"/>
  <c r="BC61" i="27"/>
  <c r="AY61" i="27"/>
  <c r="AU61" i="27"/>
  <c r="AQ61" i="27"/>
  <c r="AM61" i="27"/>
  <c r="AI61" i="27"/>
  <c r="BB61" i="27"/>
  <c r="AX61" i="27"/>
  <c r="AT61" i="27"/>
  <c r="AP61" i="27"/>
  <c r="AL61" i="27"/>
  <c r="BA61" i="27"/>
  <c r="AW61" i="27"/>
  <c r="AS61" i="27"/>
  <c r="AO61" i="27"/>
  <c r="AK61" i="27"/>
  <c r="BC65" i="27"/>
  <c r="AY65" i="27"/>
  <c r="AU65" i="27"/>
  <c r="AQ65" i="27"/>
  <c r="AM65" i="27"/>
  <c r="AI65" i="27"/>
  <c r="BB65" i="27"/>
  <c r="AX65" i="27"/>
  <c r="AT65" i="27"/>
  <c r="AP65" i="27"/>
  <c r="AL65" i="27"/>
  <c r="BA65" i="27"/>
  <c r="AW65" i="27"/>
  <c r="AS65" i="27"/>
  <c r="AO65" i="27"/>
  <c r="AK65" i="27"/>
  <c r="BC69" i="27"/>
  <c r="AY69" i="27"/>
  <c r="AU69" i="27"/>
  <c r="AQ69" i="27"/>
  <c r="AM69" i="27"/>
  <c r="AI69" i="27"/>
  <c r="BB69" i="27"/>
  <c r="AX69" i="27"/>
  <c r="AT69" i="27"/>
  <c r="AP69" i="27"/>
  <c r="AL69" i="27"/>
  <c r="BA69" i="27"/>
  <c r="AW69" i="27"/>
  <c r="AS69" i="27"/>
  <c r="AO69" i="27"/>
  <c r="AK69" i="27"/>
  <c r="BC73" i="27"/>
  <c r="AY73" i="27"/>
  <c r="AU73" i="27"/>
  <c r="AQ73" i="27"/>
  <c r="AM73" i="27"/>
  <c r="AI73" i="27"/>
  <c r="R73" i="27"/>
  <c r="BB73" i="27"/>
  <c r="AX73" i="27"/>
  <c r="AT73" i="27"/>
  <c r="AP73" i="27"/>
  <c r="AL73" i="27"/>
  <c r="BA73" i="27"/>
  <c r="AW73" i="27"/>
  <c r="AS73" i="27"/>
  <c r="AO73" i="27"/>
  <c r="AK73" i="27"/>
  <c r="P73" i="27"/>
  <c r="BC77" i="27"/>
  <c r="AY77" i="27"/>
  <c r="AU77" i="27"/>
  <c r="AQ77" i="27"/>
  <c r="AM77" i="27"/>
  <c r="AI77" i="27"/>
  <c r="BB77" i="27"/>
  <c r="AX77" i="27"/>
  <c r="AT77" i="27"/>
  <c r="AP77" i="27"/>
  <c r="AL77" i="27"/>
  <c r="BA77" i="27"/>
  <c r="AW77" i="27"/>
  <c r="AS77" i="27"/>
  <c r="AO77" i="27"/>
  <c r="AK77" i="27"/>
  <c r="BD81" i="27"/>
  <c r="AZ81" i="27"/>
  <c r="AV81" i="27"/>
  <c r="AR81" i="27"/>
  <c r="AN81" i="27"/>
  <c r="AJ81" i="27"/>
  <c r="BB81" i="27"/>
  <c r="AW81" i="27"/>
  <c r="AQ81" i="27"/>
  <c r="AL81" i="27"/>
  <c r="R81" i="27"/>
  <c r="BA81" i="27"/>
  <c r="AU81" i="27"/>
  <c r="AP81" i="27"/>
  <c r="AK81" i="27"/>
  <c r="AY81" i="27"/>
  <c r="AT81" i="27"/>
  <c r="AO81" i="27"/>
  <c r="AI81" i="27"/>
  <c r="P81" i="27"/>
  <c r="BD85" i="27"/>
  <c r="AZ85" i="27"/>
  <c r="AV85" i="27"/>
  <c r="AR85" i="27"/>
  <c r="AN85" i="27"/>
  <c r="AJ85" i="27"/>
  <c r="BC85" i="27"/>
  <c r="AX85" i="27"/>
  <c r="AS85" i="27"/>
  <c r="AM85" i="27"/>
  <c r="BB85" i="27"/>
  <c r="AW85" i="27"/>
  <c r="AQ85" i="27"/>
  <c r="AL85" i="27"/>
  <c r="AY85" i="27"/>
  <c r="AO85" i="27"/>
  <c r="AU85" i="27"/>
  <c r="AK85" i="27"/>
  <c r="AT85" i="27"/>
  <c r="AI85" i="27"/>
  <c r="BD89" i="27"/>
  <c r="AZ89" i="27"/>
  <c r="AV89" i="27"/>
  <c r="AR89" i="27"/>
  <c r="AN89" i="27"/>
  <c r="AJ89" i="27"/>
  <c r="BC89" i="27"/>
  <c r="AX89" i="27"/>
  <c r="AS89" i="27"/>
  <c r="AM89" i="27"/>
  <c r="BB89" i="27"/>
  <c r="AW89" i="27"/>
  <c r="AQ89" i="27"/>
  <c r="AL89" i="27"/>
  <c r="BA89" i="27"/>
  <c r="AU89" i="27"/>
  <c r="AP89" i="27"/>
  <c r="AK89" i="27"/>
  <c r="AI89" i="27"/>
  <c r="AY89" i="27"/>
  <c r="AT89" i="27"/>
  <c r="BD93" i="27"/>
  <c r="AZ93" i="27"/>
  <c r="AV93" i="27"/>
  <c r="AR93" i="27"/>
  <c r="AN93" i="27"/>
  <c r="AJ93" i="27"/>
  <c r="BC93" i="27"/>
  <c r="AX93" i="27"/>
  <c r="AS93" i="27"/>
  <c r="AM93" i="27"/>
  <c r="BB93" i="27"/>
  <c r="AW93" i="27"/>
  <c r="AQ93" i="27"/>
  <c r="AL93" i="27"/>
  <c r="BA93" i="27"/>
  <c r="AU93" i="27"/>
  <c r="AP93" i="27"/>
  <c r="AK93" i="27"/>
  <c r="AY93" i="27"/>
  <c r="AT93" i="27"/>
  <c r="AO93" i="27"/>
  <c r="BD97" i="27"/>
  <c r="AZ97" i="27"/>
  <c r="AV97" i="27"/>
  <c r="AR97" i="27"/>
  <c r="AN97" i="27"/>
  <c r="AJ97" i="27"/>
  <c r="BB97" i="27"/>
  <c r="AW97" i="27"/>
  <c r="AQ97" i="27"/>
  <c r="AL97" i="27"/>
  <c r="AY97" i="27"/>
  <c r="AS97" i="27"/>
  <c r="AK97" i="27"/>
  <c r="AU97" i="27"/>
  <c r="AM97" i="27"/>
  <c r="BC97" i="27"/>
  <c r="AT97" i="27"/>
  <c r="AI97" i="27"/>
  <c r="BA97" i="27"/>
  <c r="AP97" i="27"/>
  <c r="AX97" i="27"/>
  <c r="AO97" i="27"/>
  <c r="BD101" i="27"/>
  <c r="AZ101" i="27"/>
  <c r="AV101" i="27"/>
  <c r="AR101" i="27"/>
  <c r="AN101" i="27"/>
  <c r="AJ101" i="27"/>
  <c r="BB101" i="27"/>
  <c r="AW101" i="27"/>
  <c r="AQ101" i="27"/>
  <c r="AL101" i="27"/>
  <c r="BA101" i="27"/>
  <c r="AT101" i="27"/>
  <c r="AM101" i="27"/>
  <c r="AY101" i="27"/>
  <c r="AP101" i="27"/>
  <c r="AX101" i="27"/>
  <c r="AO101" i="27"/>
  <c r="AU101" i="27"/>
  <c r="AK101" i="27"/>
  <c r="AI101" i="27"/>
  <c r="BC101" i="27"/>
  <c r="AJ57" i="27"/>
  <c r="AZ57" i="27"/>
  <c r="AN58" i="27"/>
  <c r="BD58" i="27"/>
  <c r="AR59" i="27"/>
  <c r="AV60" i="27"/>
  <c r="AJ61" i="27"/>
  <c r="AZ61" i="27"/>
  <c r="AN62" i="27"/>
  <c r="BD62" i="27"/>
  <c r="AR63" i="27"/>
  <c r="AV64" i="27"/>
  <c r="AJ65" i="27"/>
  <c r="AZ65" i="27"/>
  <c r="AN66" i="27"/>
  <c r="BD66" i="27"/>
  <c r="AR67" i="27"/>
  <c r="AV68" i="27"/>
  <c r="AJ69" i="27"/>
  <c r="AZ69" i="27"/>
  <c r="AN70" i="27"/>
  <c r="BD70" i="27"/>
  <c r="AR71" i="27"/>
  <c r="AV72" i="27"/>
  <c r="AJ73" i="27"/>
  <c r="AZ73" i="27"/>
  <c r="AN74" i="27"/>
  <c r="BD74" i="27"/>
  <c r="AR75" i="27"/>
  <c r="AV76" i="27"/>
  <c r="AJ77" i="27"/>
  <c r="AZ77" i="27"/>
  <c r="AN78" i="27"/>
  <c r="BD78" i="27"/>
  <c r="AR79" i="27"/>
  <c r="AV80" i="27"/>
  <c r="AM81" i="27"/>
  <c r="AL82" i="27"/>
  <c r="AK83" i="27"/>
  <c r="AX84" i="27"/>
  <c r="AP85" i="27"/>
  <c r="BC94" i="27"/>
  <c r="AY100" i="27"/>
  <c r="AG50" i="28"/>
  <c r="AC50" i="28"/>
  <c r="Y50" i="28"/>
  <c r="AF50" i="28"/>
  <c r="AB50" i="28"/>
  <c r="X50" i="28"/>
  <c r="AE50" i="28"/>
  <c r="AA50" i="28"/>
  <c r="Z50" i="28"/>
  <c r="AH50" i="28"/>
  <c r="AG54" i="28"/>
  <c r="AC54" i="28"/>
  <c r="Y54" i="28"/>
  <c r="AF54" i="28"/>
  <c r="AB54" i="28"/>
  <c r="X54" i="28"/>
  <c r="AE54" i="28"/>
  <c r="AA54" i="28"/>
  <c r="AH54" i="28"/>
  <c r="AD54" i="28"/>
  <c r="Z54" i="28"/>
  <c r="AH58" i="28"/>
  <c r="AD58" i="28"/>
  <c r="Z58" i="28"/>
  <c r="AG58" i="28"/>
  <c r="AC58" i="28"/>
  <c r="Y58" i="28"/>
  <c r="AB58" i="28"/>
  <c r="AA58" i="28"/>
  <c r="AF58" i="28"/>
  <c r="X58" i="28"/>
  <c r="AE58" i="28"/>
  <c r="AH62" i="28"/>
  <c r="AD62" i="28"/>
  <c r="Z62" i="28"/>
  <c r="AG62" i="28"/>
  <c r="AC62" i="28"/>
  <c r="Y62" i="28"/>
  <c r="AB62" i="28"/>
  <c r="AA62" i="28"/>
  <c r="AF62" i="28"/>
  <c r="X62" i="28"/>
  <c r="AE62" i="28"/>
  <c r="AH66" i="28"/>
  <c r="AD66" i="28"/>
  <c r="Z66" i="28"/>
  <c r="AG66" i="28"/>
  <c r="AC66" i="28"/>
  <c r="Y66" i="28"/>
  <c r="AB66" i="28"/>
  <c r="AA66" i="28"/>
  <c r="AF66" i="28"/>
  <c r="X66" i="28"/>
  <c r="AH70" i="28"/>
  <c r="AD70" i="28"/>
  <c r="Z70" i="28"/>
  <c r="AG70" i="28"/>
  <c r="AC70" i="28"/>
  <c r="Y70" i="28"/>
  <c r="AF70" i="28"/>
  <c r="AB70" i="28"/>
  <c r="X70" i="28"/>
  <c r="AE70" i="28"/>
  <c r="AA70" i="28"/>
  <c r="AG82" i="28"/>
  <c r="AC82" i="28"/>
  <c r="Y82" i="28"/>
  <c r="AF82" i="28"/>
  <c r="AB82" i="28"/>
  <c r="X82" i="28"/>
  <c r="AE82" i="28"/>
  <c r="AA82" i="28"/>
  <c r="AH82" i="28"/>
  <c r="AD82" i="28"/>
  <c r="Z82" i="28"/>
  <c r="AE66" i="28"/>
  <c r="AG48" i="28"/>
  <c r="AC48" i="28"/>
  <c r="Y48" i="28"/>
  <c r="AF48" i="28"/>
  <c r="AB48" i="28"/>
  <c r="X48" i="28"/>
  <c r="AE48" i="28"/>
  <c r="AA48" i="28"/>
  <c r="AG52" i="28"/>
  <c r="AC52" i="28"/>
  <c r="Y52" i="28"/>
  <c r="AF52" i="28"/>
  <c r="AB52" i="28"/>
  <c r="X52" i="28"/>
  <c r="AE52" i="28"/>
  <c r="AA52" i="28"/>
  <c r="AH56" i="28"/>
  <c r="AD56" i="28"/>
  <c r="Z56" i="28"/>
  <c r="AG56" i="28"/>
  <c r="AC56" i="28"/>
  <c r="AF56" i="28"/>
  <c r="Y56" i="28"/>
  <c r="AE56" i="28"/>
  <c r="X56" i="28"/>
  <c r="AB56" i="28"/>
  <c r="AH60" i="28"/>
  <c r="AD60" i="28"/>
  <c r="Z60" i="28"/>
  <c r="AG60" i="28"/>
  <c r="AC60" i="28"/>
  <c r="Y60" i="28"/>
  <c r="AF60" i="28"/>
  <c r="X60" i="28"/>
  <c r="AE60" i="28"/>
  <c r="AB60" i="28"/>
  <c r="AH64" i="28"/>
  <c r="AD64" i="28"/>
  <c r="Z64" i="28"/>
  <c r="AG64" i="28"/>
  <c r="AC64" i="28"/>
  <c r="Y64" i="28"/>
  <c r="AF64" i="28"/>
  <c r="X64" i="28"/>
  <c r="AE64" i="28"/>
  <c r="AB64" i="28"/>
  <c r="AH68" i="28"/>
  <c r="AD68" i="28"/>
  <c r="Z68" i="28"/>
  <c r="AG68" i="28"/>
  <c r="AC68" i="28"/>
  <c r="Y68" i="28"/>
  <c r="AF68" i="28"/>
  <c r="AB68" i="28"/>
  <c r="X68" i="28"/>
  <c r="AE68" i="28"/>
  <c r="AA68" i="28"/>
  <c r="AG72" i="28"/>
  <c r="AC72" i="28"/>
  <c r="Y72" i="28"/>
  <c r="AF72" i="28"/>
  <c r="AB72" i="28"/>
  <c r="X72" i="28"/>
  <c r="AE72" i="28"/>
  <c r="AA72" i="28"/>
  <c r="AH72" i="28"/>
  <c r="AD72" i="28"/>
  <c r="Z72" i="28"/>
  <c r="AG80" i="28"/>
  <c r="AC80" i="28"/>
  <c r="Y80" i="28"/>
  <c r="AF80" i="28"/>
  <c r="AB80" i="28"/>
  <c r="X80" i="28"/>
  <c r="AE80" i="28"/>
  <c r="AA80" i="28"/>
  <c r="AH80" i="28"/>
  <c r="AD80" i="28"/>
  <c r="Z80" i="28"/>
  <c r="AG84" i="28"/>
  <c r="AC84" i="28"/>
  <c r="Y84" i="28"/>
  <c r="AF84" i="28"/>
  <c r="AB84" i="28"/>
  <c r="X84" i="28"/>
  <c r="AE84" i="28"/>
  <c r="AA84" i="28"/>
  <c r="AH84" i="28"/>
  <c r="AD84" i="28"/>
  <c r="Z84" i="28"/>
  <c r="AD48" i="28"/>
  <c r="AH48" i="28"/>
  <c r="Z52" i="28"/>
  <c r="AA64" i="28"/>
  <c r="AD52" i="28"/>
  <c r="AA60" i="28"/>
  <c r="Y51" i="28"/>
  <c r="AC51" i="28"/>
  <c r="AG51" i="28"/>
  <c r="Y55" i="28"/>
  <c r="AC55" i="28"/>
  <c r="AG55" i="28"/>
  <c r="Z59" i="28"/>
  <c r="Z63" i="28"/>
  <c r="AF59" i="28"/>
  <c r="AB59" i="28"/>
  <c r="X59" i="28"/>
  <c r="AE59" i="28"/>
  <c r="AA59" i="28"/>
  <c r="AF63" i="28"/>
  <c r="AB63" i="28"/>
  <c r="X63" i="28"/>
  <c r="AE63" i="28"/>
  <c r="AA63" i="28"/>
  <c r="AF67" i="28"/>
  <c r="AB67" i="28"/>
  <c r="X67" i="28"/>
  <c r="AE67" i="28"/>
  <c r="AA67" i="28"/>
  <c r="AH67" i="28"/>
  <c r="AD67" i="28"/>
  <c r="Z67" i="28"/>
  <c r="AF71" i="28"/>
  <c r="AB71" i="28"/>
  <c r="X71" i="28"/>
  <c r="AE71" i="28"/>
  <c r="AA71" i="28"/>
  <c r="AH71" i="28"/>
  <c r="AD71" i="28"/>
  <c r="Z71" i="28"/>
  <c r="AE75" i="28"/>
  <c r="AA75" i="28"/>
  <c r="AH75" i="28"/>
  <c r="AD75" i="28"/>
  <c r="Z75" i="28"/>
  <c r="AG75" i="28"/>
  <c r="AC75" i="28"/>
  <c r="Y75" i="28"/>
  <c r="AF75" i="28"/>
  <c r="AB75" i="28"/>
  <c r="X75" i="28"/>
  <c r="AE79" i="28"/>
  <c r="AA79" i="28"/>
  <c r="AH79" i="28"/>
  <c r="AD79" i="28"/>
  <c r="Z79" i="28"/>
  <c r="AG79" i="28"/>
  <c r="AC79" i="28"/>
  <c r="Y79" i="28"/>
  <c r="AF79" i="28"/>
  <c r="AB79" i="28"/>
  <c r="X79" i="28"/>
  <c r="AE83" i="28"/>
  <c r="AA83" i="28"/>
  <c r="AH83" i="28"/>
  <c r="AD83" i="28"/>
  <c r="Z83" i="28"/>
  <c r="AG83" i="28"/>
  <c r="AC83" i="28"/>
  <c r="Y83" i="28"/>
  <c r="AF83" i="28"/>
  <c r="AB83" i="28"/>
  <c r="X83" i="28"/>
  <c r="Z51" i="28"/>
  <c r="AD51" i="28"/>
  <c r="AH51" i="28"/>
  <c r="Z55" i="28"/>
  <c r="AD55" i="28"/>
  <c r="AH55" i="28"/>
  <c r="AC59" i="28"/>
  <c r="AC63" i="28"/>
  <c r="AC71" i="28"/>
  <c r="AA51" i="28"/>
  <c r="AA55" i="28"/>
  <c r="AD59" i="28"/>
  <c r="AD63" i="28"/>
  <c r="Y67" i="28"/>
  <c r="AG71" i="28"/>
  <c r="F8" i="29"/>
  <c r="T8" i="29"/>
  <c r="R8" i="29"/>
  <c r="N8" i="29"/>
  <c r="U8" i="29"/>
  <c r="M8" i="29"/>
  <c r="I8" i="29"/>
  <c r="E8" i="29"/>
  <c r="D8" i="29"/>
  <c r="B8" i="30"/>
  <c r="F8" i="30"/>
  <c r="H8" i="30"/>
  <c r="J8" i="30"/>
  <c r="K8" i="30"/>
  <c r="AC65" i="17"/>
  <c r="AC69" i="17"/>
  <c r="AC73" i="17"/>
  <c r="AC77" i="17"/>
  <c r="AC81" i="17"/>
  <c r="AC264" i="17"/>
  <c r="AC268" i="17"/>
  <c r="AC2" i="17"/>
  <c r="AC6" i="17"/>
  <c r="AC10" i="17"/>
  <c r="AC14" i="17"/>
  <c r="AC18" i="17"/>
  <c r="AC39" i="17"/>
  <c r="AC43" i="17"/>
  <c r="AC47" i="17"/>
  <c r="AD9" i="21"/>
  <c r="AC51" i="17"/>
  <c r="AC53" i="17"/>
  <c r="AC55" i="17"/>
  <c r="AC57" i="17"/>
  <c r="AC59" i="17"/>
  <c r="AC61" i="17"/>
  <c r="AC87" i="17"/>
  <c r="AC89" i="17"/>
  <c r="AC91" i="17"/>
  <c r="AC93" i="17"/>
  <c r="AC95" i="17"/>
  <c r="AC97" i="17"/>
  <c r="AC38" i="17"/>
  <c r="AC42" i="17"/>
  <c r="AC46" i="17"/>
  <c r="AC4" i="17"/>
  <c r="AC8" i="17"/>
  <c r="AC12" i="17"/>
  <c r="AC16" i="17"/>
  <c r="AC20" i="17"/>
  <c r="AC24" i="17"/>
  <c r="AC28" i="17"/>
  <c r="AC32" i="17"/>
  <c r="AC36" i="17"/>
  <c r="AC112" i="17"/>
  <c r="AC116" i="17"/>
  <c r="AC120" i="17"/>
  <c r="AC124" i="17"/>
  <c r="AC128" i="17"/>
  <c r="AC132" i="17"/>
  <c r="AC136" i="17"/>
  <c r="AC140" i="17"/>
  <c r="AC156" i="17"/>
  <c r="AD10" i="21"/>
  <c r="AC41" i="17"/>
  <c r="AC262" i="17"/>
  <c r="AC266" i="17"/>
  <c r="AC270" i="17"/>
  <c r="AI6" i="21"/>
  <c r="AC22" i="17"/>
  <c r="AC26" i="17"/>
  <c r="AC30" i="17"/>
  <c r="AC34" i="17"/>
  <c r="AC186" i="17"/>
  <c r="AC114" i="17"/>
  <c r="AC118" i="17"/>
  <c r="AC122" i="17"/>
  <c r="AC126" i="17"/>
  <c r="AC130" i="17"/>
  <c r="AC134" i="17"/>
  <c r="AC138" i="17"/>
  <c r="AC146" i="17"/>
  <c r="AC162" i="17"/>
  <c r="AC178" i="17"/>
  <c r="AC194" i="17"/>
  <c r="AC210" i="17"/>
  <c r="AI4" i="21"/>
  <c r="AC5" i="17"/>
  <c r="AC9" i="17"/>
  <c r="AC13" i="17"/>
  <c r="AC17" i="17"/>
  <c r="AC21" i="17"/>
  <c r="AC25" i="17"/>
  <c r="AC145" i="17"/>
  <c r="AC98" i="17"/>
  <c r="AC99" i="17"/>
  <c r="AC100" i="17"/>
  <c r="AC101" i="17"/>
  <c r="AC102" i="17"/>
  <c r="AC103" i="17"/>
  <c r="AC104" i="17"/>
  <c r="AC105" i="17"/>
  <c r="AC106" i="17"/>
  <c r="AC107" i="17"/>
  <c r="AC108" i="17"/>
  <c r="AC109" i="17"/>
  <c r="AC261" i="17"/>
  <c r="AC263" i="17"/>
  <c r="AC265" i="17"/>
  <c r="AC267" i="17"/>
  <c r="AC269" i="17"/>
  <c r="AC271" i="17"/>
  <c r="AC272" i="17"/>
  <c r="AI3" i="21"/>
  <c r="AI8" i="21"/>
  <c r="AI13" i="21"/>
  <c r="AA11" i="21"/>
  <c r="X6" i="21"/>
  <c r="AF6" i="21" s="1"/>
  <c r="Y8" i="21"/>
  <c r="AG8" i="21" s="1"/>
  <c r="AJ8" i="21"/>
  <c r="X4" i="21"/>
  <c r="AF4" i="21" s="1"/>
  <c r="AA9" i="21"/>
  <c r="X3" i="21"/>
  <c r="Y4" i="21"/>
  <c r="AG4" i="21" s="1"/>
  <c r="AJ4" i="21"/>
  <c r="Y3" i="21"/>
  <c r="AG3" i="21" s="1"/>
  <c r="AJ2" i="16"/>
  <c r="AJ7" i="16" s="1"/>
  <c r="AO3" i="16"/>
  <c r="AJ4" i="16"/>
  <c r="AT4" i="16"/>
  <c r="AO4" i="16"/>
  <c r="AJ5" i="16"/>
  <c r="AJ6" i="16"/>
  <c r="AT6" i="16"/>
  <c r="AJ3" i="16"/>
  <c r="AT3" i="16"/>
  <c r="AO6" i="16"/>
  <c r="AO2" i="16"/>
  <c r="AO7" i="16" s="1"/>
  <c r="AA10" i="21"/>
  <c r="AO5" i="16"/>
  <c r="Y13" i="21"/>
  <c r="AG13" i="21" s="1"/>
  <c r="AA12" i="21"/>
  <c r="AF3" i="21"/>
  <c r="Y5" i="21"/>
  <c r="AG5" i="21" s="1"/>
  <c r="AJ5" i="21"/>
  <c r="AJ13" i="21"/>
  <c r="Z4" i="21"/>
  <c r="AH4" i="21" s="1"/>
  <c r="Z5" i="21"/>
  <c r="AH5" i="21" s="1"/>
  <c r="Z6" i="21"/>
  <c r="AH6" i="21" s="1"/>
  <c r="Z8" i="21"/>
  <c r="AH8" i="21" s="1"/>
  <c r="AJ6" i="21"/>
  <c r="AJ3" i="21"/>
  <c r="Z13" i="21"/>
  <c r="AH13" i="21" s="1"/>
  <c r="R9" i="21"/>
  <c r="M272" i="21"/>
  <c r="U9" i="21" s="1"/>
  <c r="AI9" i="21" s="1"/>
  <c r="R10" i="21"/>
  <c r="M356" i="21"/>
  <c r="U10" i="21" s="1"/>
  <c r="AI10" i="21" s="1"/>
  <c r="U11" i="21"/>
  <c r="AI11" i="21" s="1"/>
  <c r="R11" i="21"/>
  <c r="R12" i="21"/>
  <c r="M534" i="21"/>
  <c r="U12" i="21" s="1"/>
  <c r="AI12" i="21" s="1"/>
  <c r="Y6" i="21"/>
  <c r="AG6" i="21" s="1"/>
  <c r="Z3" i="21"/>
  <c r="AH3" i="21" s="1"/>
  <c r="X5" i="21"/>
  <c r="AF5" i="21" s="1"/>
  <c r="X13" i="21"/>
  <c r="AF13" i="21" s="1"/>
  <c r="AJ8" i="16"/>
  <c r="AT2" i="16"/>
  <c r="AT7" i="16" s="1"/>
  <c r="AC48" i="17"/>
  <c r="AC62" i="17"/>
  <c r="AC66" i="17"/>
  <c r="AC70" i="17"/>
  <c r="AC74" i="17"/>
  <c r="AC78" i="17"/>
  <c r="AC82" i="17"/>
  <c r="AT5" i="16"/>
  <c r="AC85" i="17"/>
  <c r="AC45" i="17"/>
  <c r="AC49" i="17"/>
  <c r="AC63" i="17"/>
  <c r="AC67" i="17"/>
  <c r="AC71" i="17"/>
  <c r="AC75" i="17"/>
  <c r="AC79" i="17"/>
  <c r="AC83" i="17"/>
  <c r="AC166" i="17"/>
  <c r="AC168" i="17"/>
  <c r="AC182" i="17"/>
  <c r="AC184" i="17"/>
  <c r="AC198" i="17"/>
  <c r="AC200" i="17"/>
  <c r="AC214" i="17"/>
  <c r="AC230" i="17"/>
  <c r="AC246" i="17"/>
  <c r="AC170" i="17"/>
  <c r="AC202" i="17"/>
  <c r="AC29" i="17"/>
  <c r="AC33" i="17"/>
  <c r="AC37" i="17"/>
  <c r="AC113" i="17"/>
  <c r="AC117" i="17"/>
  <c r="AC121" i="17"/>
  <c r="AC125" i="17"/>
  <c r="AC129" i="17"/>
  <c r="AC133" i="17"/>
  <c r="AC137" i="17"/>
  <c r="AC141" i="17"/>
  <c r="AC142" i="17"/>
  <c r="AC152" i="17"/>
  <c r="AC157" i="17"/>
  <c r="AC158" i="17"/>
  <c r="AC172" i="17"/>
  <c r="AC188" i="17"/>
  <c r="AC204" i="17"/>
  <c r="AC218" i="17"/>
  <c r="AC234" i="17"/>
  <c r="AC110" i="17"/>
  <c r="AC148" i="17"/>
  <c r="AC153" i="17"/>
  <c r="AC154" i="17"/>
  <c r="AC160" i="17"/>
  <c r="AC174" i="17"/>
  <c r="AC176" i="17"/>
  <c r="AC190" i="17"/>
  <c r="AC192" i="17"/>
  <c r="AC206" i="17"/>
  <c r="AC208" i="17"/>
  <c r="AC222" i="17"/>
  <c r="AC238" i="17"/>
  <c r="AC257" i="17"/>
  <c r="AC258" i="17"/>
  <c r="AJ9" i="16"/>
  <c r="AC27" i="17"/>
  <c r="AC31" i="17"/>
  <c r="AC35" i="17"/>
  <c r="AC111" i="17"/>
  <c r="AC115" i="17"/>
  <c r="AC119" i="17"/>
  <c r="AC123" i="17"/>
  <c r="AC127" i="17"/>
  <c r="AC131" i="17"/>
  <c r="AC135" i="17"/>
  <c r="AC139" i="17"/>
  <c r="AC144" i="17"/>
  <c r="AC149" i="17"/>
  <c r="AC150" i="17"/>
  <c r="AC164" i="17"/>
  <c r="AC180" i="17"/>
  <c r="AC196" i="17"/>
  <c r="AC226" i="17"/>
  <c r="AC242" i="17"/>
  <c r="AC143" i="17"/>
  <c r="AC147" i="17"/>
  <c r="AC151" i="17"/>
  <c r="AC155" i="17"/>
  <c r="AC159" i="17"/>
  <c r="AC163" i="17"/>
  <c r="AC167" i="17"/>
  <c r="AC171" i="17"/>
  <c r="AC175" i="17"/>
  <c r="AC179" i="17"/>
  <c r="AC183" i="17"/>
  <c r="AC187" i="17"/>
  <c r="AC191" i="17"/>
  <c r="AC195" i="17"/>
  <c r="AC199" i="17"/>
  <c r="AC203" i="17"/>
  <c r="AC207" i="17"/>
  <c r="AC211" i="17"/>
  <c r="AC215" i="17"/>
  <c r="AC219" i="17"/>
  <c r="AC223" i="17"/>
  <c r="AC227" i="17"/>
  <c r="AC231" i="17"/>
  <c r="AC235" i="17"/>
  <c r="AC239" i="17"/>
  <c r="AC243" i="17"/>
  <c r="AC247" i="17"/>
  <c r="AO8" i="16"/>
  <c r="AC212" i="17"/>
  <c r="AC216" i="17"/>
  <c r="AC220" i="17"/>
  <c r="AC224" i="17"/>
  <c r="AC228" i="17"/>
  <c r="AC232" i="17"/>
  <c r="AC236" i="17"/>
  <c r="AC240" i="17"/>
  <c r="AC244" i="17"/>
  <c r="AC248" i="17"/>
  <c r="AC253" i="17"/>
  <c r="AC254" i="17"/>
  <c r="AC161" i="17"/>
  <c r="AC165" i="17"/>
  <c r="AC169" i="17"/>
  <c r="AC173" i="17"/>
  <c r="AC177" i="17"/>
  <c r="AC181" i="17"/>
  <c r="AC185" i="17"/>
  <c r="AC189" i="17"/>
  <c r="AC193" i="17"/>
  <c r="AC197" i="17"/>
  <c r="AC201" i="17"/>
  <c r="AC205" i="17"/>
  <c r="AC209" i="17"/>
  <c r="AC213" i="17"/>
  <c r="AC217" i="17"/>
  <c r="AC221" i="17"/>
  <c r="AC225" i="17"/>
  <c r="AC229" i="17"/>
  <c r="AC233" i="17"/>
  <c r="AC237" i="17"/>
  <c r="AC241" i="17"/>
  <c r="AC245" i="17"/>
  <c r="AC249" i="17"/>
  <c r="AC250" i="17"/>
  <c r="AC251" i="17"/>
  <c r="AC255" i="17"/>
  <c r="AC259" i="17"/>
  <c r="AC252" i="17"/>
  <c r="AC256" i="17"/>
  <c r="AC260" i="17"/>
  <c r="M51" i="6"/>
  <c r="M12" i="6"/>
  <c r="AL54" i="8"/>
  <c r="AL54" i="7"/>
  <c r="AL54" i="9"/>
  <c r="AD54" i="8"/>
  <c r="AD54" i="9"/>
  <c r="AD54" i="7"/>
  <c r="AG56" i="9"/>
  <c r="AG56" i="8"/>
  <c r="AG56" i="7"/>
  <c r="AG58" i="6"/>
  <c r="AA46" i="13"/>
  <c r="AA46" i="10"/>
  <c r="AA46" i="11"/>
  <c r="AA46" i="12"/>
  <c r="U56" i="9"/>
  <c r="U56" i="8"/>
  <c r="U56" i="7"/>
  <c r="F18" i="5"/>
  <c r="U47" i="12"/>
  <c r="U47" i="13"/>
  <c r="U47" i="11"/>
  <c r="AH56" i="9"/>
  <c r="AH56" i="8"/>
  <c r="Z46" i="13"/>
  <c r="Z46" i="12"/>
  <c r="Z46" i="11"/>
  <c r="Z46" i="10"/>
  <c r="AB54" i="8"/>
  <c r="AB54" i="9"/>
  <c r="AB54" i="7"/>
  <c r="AH54" i="8"/>
  <c r="AH54" i="9"/>
  <c r="AH54" i="7"/>
  <c r="L54" i="8"/>
  <c r="L58" i="8" s="1"/>
  <c r="L54" i="9"/>
  <c r="L54" i="7"/>
  <c r="Q54" i="8"/>
  <c r="Q58" i="8" s="1"/>
  <c r="Q54" i="7"/>
  <c r="Q54" i="9"/>
  <c r="AH58" i="6"/>
  <c r="W46" i="13"/>
  <c r="W46" i="12"/>
  <c r="W46" i="11"/>
  <c r="W46" i="10"/>
  <c r="AA45" i="12"/>
  <c r="AA45" i="13"/>
  <c r="AA45" i="11"/>
  <c r="AA45" i="10"/>
  <c r="AA56" i="8"/>
  <c r="AA56" i="9"/>
  <c r="AA58" i="6"/>
  <c r="E28" i="5"/>
  <c r="AH55" i="8"/>
  <c r="AH55" i="9"/>
  <c r="AI56" i="8"/>
  <c r="AI56" i="9"/>
  <c r="Z45" i="13"/>
  <c r="Z45" i="12"/>
  <c r="Z45" i="10"/>
  <c r="Z45" i="11"/>
  <c r="AE54" i="8"/>
  <c r="AE54" i="9"/>
  <c r="AE54" i="7"/>
  <c r="AI58" i="6"/>
  <c r="AA56" i="7"/>
  <c r="W47" i="13"/>
  <c r="W47" i="12"/>
  <c r="W47" i="11"/>
  <c r="W47" i="10"/>
  <c r="AG54" i="7"/>
  <c r="AG54" i="9"/>
  <c r="AG54" i="8"/>
  <c r="AJ56" i="6"/>
  <c r="AH56" i="7"/>
  <c r="AD55" i="9"/>
  <c r="AD55" i="8"/>
  <c r="AD57" i="6"/>
  <c r="W54" i="8"/>
  <c r="W58" i="8" s="1"/>
  <c r="W54" i="9"/>
  <c r="W54" i="7"/>
  <c r="AI54" i="8"/>
  <c r="AI54" i="7"/>
  <c r="M54" i="9"/>
  <c r="M54" i="7"/>
  <c r="M54" i="8"/>
  <c r="M58" i="8" s="1"/>
  <c r="R54" i="8"/>
  <c r="R58" i="8" s="1"/>
  <c r="R54" i="9"/>
  <c r="R54" i="7"/>
  <c r="U58" i="6"/>
  <c r="AH57" i="6"/>
  <c r="AK54" i="9"/>
  <c r="AK54" i="7"/>
  <c r="AK54" i="8"/>
  <c r="AK58" i="8" s="1"/>
  <c r="AH55" i="7"/>
  <c r="AI56" i="7"/>
  <c r="U47" i="10"/>
  <c r="AD56" i="9"/>
  <c r="AD56" i="8"/>
  <c r="AA47" i="13"/>
  <c r="AA47" i="12"/>
  <c r="AA47" i="11"/>
  <c r="AA47" i="10"/>
  <c r="U54" i="9"/>
  <c r="U54" i="8"/>
  <c r="U58" i="8" s="1"/>
  <c r="U54" i="7"/>
  <c r="V58" i="6"/>
  <c r="X54" i="8"/>
  <c r="X58" i="8" s="1"/>
  <c r="X54" i="9"/>
  <c r="X54" i="7"/>
  <c r="AC54" i="9"/>
  <c r="AC54" i="7"/>
  <c r="AF54" i="8"/>
  <c r="AF54" i="9"/>
  <c r="AJ57" i="6"/>
  <c r="Z54" i="8"/>
  <c r="Z58" i="8" s="1"/>
  <c r="Z54" i="9"/>
  <c r="Z54" i="7"/>
  <c r="AB55" i="7"/>
  <c r="P54" i="7"/>
  <c r="V56" i="9"/>
  <c r="Z56" i="9"/>
  <c r="Y45" i="13"/>
  <c r="Y45" i="11"/>
  <c r="Y45" i="10"/>
  <c r="Y45" i="12"/>
  <c r="AJ55" i="9"/>
  <c r="AJ55" i="8"/>
  <c r="Z47" i="13"/>
  <c r="Z47" i="10"/>
  <c r="Z47" i="12"/>
  <c r="Z47" i="11"/>
  <c r="W45" i="12"/>
  <c r="W45" i="13"/>
  <c r="W45" i="11"/>
  <c r="Y47" i="12"/>
  <c r="Y47" i="11"/>
  <c r="Y47" i="10"/>
  <c r="Y47" i="13"/>
  <c r="R45" i="13"/>
  <c r="R45" i="11"/>
  <c r="R45" i="12"/>
  <c r="AI55" i="9"/>
  <c r="AI55" i="8"/>
  <c r="F28" i="5"/>
  <c r="AJ56" i="9"/>
  <c r="AJ56" i="8"/>
  <c r="AI55" i="6"/>
  <c r="AI60" i="6" s="1"/>
  <c r="O54" i="8"/>
  <c r="O58" i="8" s="1"/>
  <c r="O54" i="9"/>
  <c r="O54" i="7"/>
  <c r="S54" i="9"/>
  <c r="S54" i="7"/>
  <c r="AD58" i="6"/>
  <c r="AI57" i="6"/>
  <c r="AJ58" i="6"/>
  <c r="AA54" i="8"/>
  <c r="AA58" i="8" s="1"/>
  <c r="AA45" i="9" s="1"/>
  <c r="AA54" i="9"/>
  <c r="AC54" i="8"/>
  <c r="AC58" i="8" s="1"/>
  <c r="M49" i="11"/>
  <c r="P49" i="12"/>
  <c r="M49" i="12"/>
  <c r="Z51" i="9"/>
  <c r="Z49" i="9"/>
  <c r="Z47" i="9"/>
  <c r="Z45" i="9"/>
  <c r="Z43" i="9"/>
  <c r="Z42" i="9"/>
  <c r="Z48" i="9"/>
  <c r="Z41" i="9"/>
  <c r="Z39" i="9"/>
  <c r="Z50" i="9"/>
  <c r="Z46" i="9"/>
  <c r="Z44" i="9"/>
  <c r="Z37" i="9"/>
  <c r="Z36" i="9"/>
  <c r="Z34" i="9"/>
  <c r="Z32" i="9"/>
  <c r="Z30" i="9"/>
  <c r="Z28" i="9"/>
  <c r="Z40" i="9"/>
  <c r="Z35" i="9"/>
  <c r="Z31" i="9"/>
  <c r="Z26" i="9"/>
  <c r="Z24" i="9"/>
  <c r="Z22" i="9"/>
  <c r="Z20" i="9"/>
  <c r="Z18" i="9"/>
  <c r="Z38" i="9"/>
  <c r="Z33" i="9"/>
  <c r="Z29" i="9"/>
  <c r="Z27" i="9"/>
  <c r="Z25" i="9"/>
  <c r="Z23" i="9"/>
  <c r="Z21" i="9"/>
  <c r="Z19" i="9"/>
  <c r="Z16" i="9"/>
  <c r="Z14" i="9"/>
  <c r="Z12" i="9"/>
  <c r="Z10" i="9"/>
  <c r="Z8" i="9"/>
  <c r="Z6" i="9"/>
  <c r="Z17" i="9"/>
  <c r="Z15" i="9"/>
  <c r="Z13" i="9"/>
  <c r="Z11" i="9"/>
  <c r="Z9" i="9"/>
  <c r="Z7" i="9"/>
  <c r="Z5" i="9"/>
  <c r="AA51" i="9"/>
  <c r="AA50" i="9"/>
  <c r="AA48" i="9"/>
  <c r="AA41" i="9"/>
  <c r="AA39" i="9"/>
  <c r="AA37" i="9"/>
  <c r="AA46" i="9"/>
  <c r="AA43" i="9"/>
  <c r="AA44" i="9"/>
  <c r="AA47" i="9"/>
  <c r="AA38" i="9"/>
  <c r="AA36" i="9"/>
  <c r="AA32" i="9"/>
  <c r="AA30" i="9"/>
  <c r="AA28" i="9"/>
  <c r="AA35" i="9"/>
  <c r="AA31" i="9"/>
  <c r="AA33" i="9"/>
  <c r="AA27" i="9"/>
  <c r="AA25" i="9"/>
  <c r="AA23" i="9"/>
  <c r="AA19" i="9"/>
  <c r="AA24" i="9"/>
  <c r="AA20" i="9"/>
  <c r="AA17" i="9"/>
  <c r="AA15" i="9"/>
  <c r="AA13" i="9"/>
  <c r="AA9" i="9"/>
  <c r="AA7" i="9"/>
  <c r="AA5" i="9"/>
  <c r="AA21" i="9"/>
  <c r="AA16" i="9"/>
  <c r="AA14" i="9"/>
  <c r="AA10" i="9"/>
  <c r="AA8" i="9"/>
  <c r="AA6" i="9"/>
  <c r="M63" i="6"/>
  <c r="M68" i="6"/>
  <c r="AF53" i="7"/>
  <c r="AE53" i="7"/>
  <c r="AA53" i="7"/>
  <c r="AA58" i="7" s="1"/>
  <c r="Z53" i="7"/>
  <c r="Z58" i="7" s="1"/>
  <c r="AG53" i="7"/>
  <c r="M66" i="6"/>
  <c r="AM57" i="7"/>
  <c r="M7" i="6"/>
  <c r="M13" i="6"/>
  <c r="M17" i="6"/>
  <c r="M21" i="6"/>
  <c r="M23" i="6"/>
  <c r="M25" i="6"/>
  <c r="R55" i="6"/>
  <c r="R60" i="6" s="1"/>
  <c r="R48" i="7" s="1"/>
  <c r="Y55" i="6"/>
  <c r="Z55" i="6"/>
  <c r="M8" i="6"/>
  <c r="M14" i="6"/>
  <c r="M18" i="6"/>
  <c r="M26" i="6"/>
  <c r="M28" i="6"/>
  <c r="M30" i="6"/>
  <c r="M32" i="6"/>
  <c r="M34" i="6"/>
  <c r="M36" i="6"/>
  <c r="M38" i="6"/>
  <c r="M40" i="6"/>
  <c r="M42" i="6"/>
  <c r="M44" i="6"/>
  <c r="M46" i="6"/>
  <c r="M48" i="6"/>
  <c r="M50" i="6"/>
  <c r="O55" i="6"/>
  <c r="O60" i="6" s="1"/>
  <c r="O30" i="7" s="1"/>
  <c r="S55" i="6"/>
  <c r="S60" i="6" s="1"/>
  <c r="S39" i="7" s="1"/>
  <c r="U55" i="6"/>
  <c r="U60" i="6" s="1"/>
  <c r="AC55" i="6"/>
  <c r="AC60" i="6" s="1"/>
  <c r="AC46" i="7" s="1"/>
  <c r="AE55" i="6"/>
  <c r="AE60" i="6" s="1"/>
  <c r="M11" i="6"/>
  <c r="M19" i="6"/>
  <c r="M22" i="6"/>
  <c r="M24" i="6"/>
  <c r="L55" i="6"/>
  <c r="L60" i="6" s="1"/>
  <c r="L43" i="7" s="1"/>
  <c r="P55" i="6"/>
  <c r="P60" i="6" s="1"/>
  <c r="P43" i="7" s="1"/>
  <c r="V55" i="6"/>
  <c r="W55" i="6"/>
  <c r="W60" i="6" s="1"/>
  <c r="AF55" i="6"/>
  <c r="AF60" i="6" s="1"/>
  <c r="AH55" i="6"/>
  <c r="AH60" i="6" s="1"/>
  <c r="M20" i="6"/>
  <c r="M27" i="6"/>
  <c r="M29" i="6"/>
  <c r="M31" i="6"/>
  <c r="M33" i="6"/>
  <c r="M35" i="6"/>
  <c r="M37" i="6"/>
  <c r="M39" i="6"/>
  <c r="M41" i="6"/>
  <c r="M43" i="6"/>
  <c r="M45" i="6"/>
  <c r="M47" i="6"/>
  <c r="M49" i="6"/>
  <c r="Q55" i="6"/>
  <c r="Q60" i="6" s="1"/>
  <c r="Q50" i="7" s="1"/>
  <c r="X55" i="6"/>
  <c r="X60" i="6" s="1"/>
  <c r="AA55" i="6"/>
  <c r="D37" i="5"/>
  <c r="E36" i="5"/>
  <c r="F36" i="5"/>
  <c r="AI44" i="7" l="1"/>
  <c r="AI42" i="7"/>
  <c r="AI51" i="7"/>
  <c r="AI29" i="7"/>
  <c r="AI28" i="7"/>
  <c r="L43" i="9"/>
  <c r="Q50" i="9"/>
  <c r="Q8" i="29"/>
  <c r="AI6" i="17"/>
  <c r="H8" i="29"/>
  <c r="V8" i="29"/>
  <c r="AA12" i="9"/>
  <c r="AA26" i="9"/>
  <c r="AA11" i="9"/>
  <c r="AA18" i="9"/>
  <c r="AA22" i="9"/>
  <c r="AA29" i="9"/>
  <c r="AA42" i="9"/>
  <c r="AA34" i="9"/>
  <c r="AA40" i="9"/>
  <c r="AA49" i="9"/>
  <c r="B8" i="29"/>
  <c r="I31" i="28"/>
  <c r="I31" i="11"/>
  <c r="I31" i="13"/>
  <c r="I31" i="12"/>
  <c r="I31" i="10"/>
  <c r="AE51" i="28"/>
  <c r="AF51" i="28"/>
  <c r="AB51" i="28"/>
  <c r="X51" i="28"/>
  <c r="AV57" i="27"/>
  <c r="BD57" i="27"/>
  <c r="W8" i="29" s="1"/>
  <c r="AR57" i="27"/>
  <c r="K8" i="29" s="1"/>
  <c r="AN57" i="27"/>
  <c r="G6" i="29" s="1"/>
  <c r="AN80" i="27"/>
  <c r="AJ80" i="27"/>
  <c r="BD80" i="27"/>
  <c r="AZ80" i="27"/>
  <c r="AV75" i="27"/>
  <c r="AJ68" i="27"/>
  <c r="BD68" i="27"/>
  <c r="AZ68" i="27"/>
  <c r="AN68" i="27"/>
  <c r="AV61" i="27"/>
  <c r="AR61" i="27"/>
  <c r="AN61" i="27"/>
  <c r="G10" i="29" s="1"/>
  <c r="BD61" i="27"/>
  <c r="AH59" i="28"/>
  <c r="AG59" i="28"/>
  <c r="Y59" i="28"/>
  <c r="D8" i="30"/>
  <c r="I35" i="28"/>
  <c r="I35" i="11"/>
  <c r="I35" i="13"/>
  <c r="I35" i="12"/>
  <c r="I35" i="10"/>
  <c r="I30" i="28"/>
  <c r="I30" i="10"/>
  <c r="Z48" i="10" s="1"/>
  <c r="I30" i="11"/>
  <c r="I30" i="13"/>
  <c r="I30" i="12"/>
  <c r="BA85" i="27"/>
  <c r="AE55" i="28"/>
  <c r="X55" i="28"/>
  <c r="AF55" i="28"/>
  <c r="AB55" i="28"/>
  <c r="BD79" i="27"/>
  <c r="AV79" i="27"/>
  <c r="BD72" i="27"/>
  <c r="AZ72" i="27"/>
  <c r="AN72" i="27"/>
  <c r="AJ72" i="27"/>
  <c r="BD67" i="27"/>
  <c r="AV67" i="27"/>
  <c r="AZ60" i="27"/>
  <c r="S8" i="29" s="1"/>
  <c r="AN60" i="27"/>
  <c r="AJ60" i="27"/>
  <c r="C8" i="29" s="1"/>
  <c r="BD60" i="27"/>
  <c r="AV69" i="27"/>
  <c r="BD69" i="27"/>
  <c r="AR69" i="27"/>
  <c r="AN69" i="27"/>
  <c r="AZ63" i="27"/>
  <c r="AV63" i="27"/>
  <c r="L8" i="29"/>
  <c r="P8" i="29"/>
  <c r="I34" i="28"/>
  <c r="I34" i="10"/>
  <c r="I34" i="11"/>
  <c r="I34" i="13"/>
  <c r="I34" i="12"/>
  <c r="AV77" i="27"/>
  <c r="AN77" i="27"/>
  <c r="BD77" i="27"/>
  <c r="AR77" i="27"/>
  <c r="AZ71" i="27"/>
  <c r="AV71" i="27"/>
  <c r="AN64" i="27"/>
  <c r="AJ64" i="27"/>
  <c r="BD64" i="27"/>
  <c r="AZ64" i="27"/>
  <c r="S10" i="29" s="1"/>
  <c r="P14" i="5"/>
  <c r="P17" i="5" s="1"/>
  <c r="J8" i="29"/>
  <c r="O10" i="29"/>
  <c r="I33" i="28"/>
  <c r="I33" i="13"/>
  <c r="I33" i="12"/>
  <c r="I33" i="10"/>
  <c r="I33" i="11"/>
  <c r="Y71" i="28"/>
  <c r="AG67" i="28"/>
  <c r="AC67" i="28"/>
  <c r="AH63" i="28"/>
  <c r="Y63" i="28"/>
  <c r="AG63" i="28"/>
  <c r="AH52" i="28"/>
  <c r="AN76" i="27"/>
  <c r="AJ76" i="27"/>
  <c r="BD76" i="27"/>
  <c r="AZ76" i="27"/>
  <c r="BC81" i="27"/>
  <c r="AS81" i="27"/>
  <c r="AX81" i="27"/>
  <c r="Q6" i="29" s="1"/>
  <c r="M67" i="6"/>
  <c r="M64" i="6" s="1"/>
  <c r="M70" i="6" s="1"/>
  <c r="AV59" i="27"/>
  <c r="AU83" i="27"/>
  <c r="AP83" i="27"/>
  <c r="AV73" i="27"/>
  <c r="AR73" i="27"/>
  <c r="AN73" i="27"/>
  <c r="BD73" i="27"/>
  <c r="AV65" i="27"/>
  <c r="AN65" i="27"/>
  <c r="BD65" i="27"/>
  <c r="AR65" i="27"/>
  <c r="K10" i="29" s="1"/>
  <c r="B10" i="30"/>
  <c r="H10" i="30"/>
  <c r="I8" i="30"/>
  <c r="I10" i="30"/>
  <c r="F10" i="30"/>
  <c r="L10" i="29"/>
  <c r="L6" i="29"/>
  <c r="Q10" i="29"/>
  <c r="F10" i="29"/>
  <c r="F6" i="29"/>
  <c r="V10" i="29"/>
  <c r="V6" i="29"/>
  <c r="W6" i="29"/>
  <c r="E8" i="30"/>
  <c r="E10" i="30"/>
  <c r="J10" i="30"/>
  <c r="C8" i="30"/>
  <c r="C10" i="30"/>
  <c r="D10" i="30"/>
  <c r="C10" i="29"/>
  <c r="C6" i="29"/>
  <c r="P10" i="29"/>
  <c r="P6" i="29"/>
  <c r="E10" i="29"/>
  <c r="E6" i="29"/>
  <c r="U10" i="29"/>
  <c r="U6" i="29"/>
  <c r="J10" i="29"/>
  <c r="J6" i="29"/>
  <c r="L10" i="30"/>
  <c r="K10" i="30"/>
  <c r="L8" i="30"/>
  <c r="G8" i="30"/>
  <c r="G10" i="30"/>
  <c r="D10" i="29"/>
  <c r="D6" i="29"/>
  <c r="T10" i="29"/>
  <c r="T6" i="29"/>
  <c r="I10" i="29"/>
  <c r="I6" i="29"/>
  <c r="N10" i="29"/>
  <c r="N6" i="29"/>
  <c r="K6" i="29"/>
  <c r="O6" i="29"/>
  <c r="H10" i="29"/>
  <c r="H6" i="29"/>
  <c r="M10" i="29"/>
  <c r="M6" i="29"/>
  <c r="B10" i="29"/>
  <c r="B6" i="29"/>
  <c r="R10" i="29"/>
  <c r="R6" i="29"/>
  <c r="AI8" i="17"/>
  <c r="AI7" i="17"/>
  <c r="AI3" i="17"/>
  <c r="AI5" i="17"/>
  <c r="AT8" i="16"/>
  <c r="AT9" i="16" s="1"/>
  <c r="X11" i="21"/>
  <c r="AF11" i="21" s="1"/>
  <c r="X12" i="21"/>
  <c r="AF12" i="21" s="1"/>
  <c r="X10" i="21"/>
  <c r="AF10" i="21" s="1"/>
  <c r="X9" i="21"/>
  <c r="AF9" i="21" s="1"/>
  <c r="AO9" i="16"/>
  <c r="AA53" i="9"/>
  <c r="Q32" i="7"/>
  <c r="L25" i="7"/>
  <c r="O31" i="7"/>
  <c r="S41" i="7"/>
  <c r="R35" i="7"/>
  <c r="L18" i="7"/>
  <c r="R34" i="7"/>
  <c r="O51" i="7"/>
  <c r="S50" i="7"/>
  <c r="R44" i="7"/>
  <c r="L39" i="7"/>
  <c r="R42" i="7"/>
  <c r="Z53" i="9"/>
  <c r="O40" i="7"/>
  <c r="S22" i="7"/>
  <c r="AI45" i="7"/>
  <c r="S24" i="7"/>
  <c r="Q45" i="7"/>
  <c r="L7" i="7"/>
  <c r="L40" i="7"/>
  <c r="S38" i="7"/>
  <c r="S40" i="7"/>
  <c r="L45" i="7"/>
  <c r="R41" i="7"/>
  <c r="R51" i="7"/>
  <c r="L46" i="7"/>
  <c r="S47" i="7"/>
  <c r="L20" i="7"/>
  <c r="S34" i="7"/>
  <c r="S30" i="7"/>
  <c r="L38" i="7"/>
  <c r="S36" i="7"/>
  <c r="L41" i="7"/>
  <c r="R37" i="7"/>
  <c r="AI35" i="7"/>
  <c r="S45" i="7"/>
  <c r="R39" i="7"/>
  <c r="L42" i="7"/>
  <c r="AI36" i="7"/>
  <c r="AI21" i="7"/>
  <c r="AD46" i="7"/>
  <c r="AC46" i="9"/>
  <c r="AD46" i="9" s="1"/>
  <c r="P43" i="9"/>
  <c r="S45" i="12"/>
  <c r="S45" i="13"/>
  <c r="S45" i="11"/>
  <c r="S45" i="10"/>
  <c r="AH25" i="7"/>
  <c r="AH19" i="7"/>
  <c r="AH20" i="7"/>
  <c r="AH18" i="7"/>
  <c r="AH15" i="7"/>
  <c r="AH10" i="7"/>
  <c r="AH16" i="7"/>
  <c r="AH13" i="7"/>
  <c r="AH8" i="7"/>
  <c r="AH7" i="7"/>
  <c r="AH5" i="7"/>
  <c r="AH14" i="7"/>
  <c r="AH9" i="7"/>
  <c r="AH42" i="7"/>
  <c r="AH34" i="7"/>
  <c r="AH29" i="7"/>
  <c r="AH24" i="7"/>
  <c r="AH6" i="7"/>
  <c r="AH50" i="7"/>
  <c r="AH17" i="7"/>
  <c r="AH12" i="7"/>
  <c r="AH11" i="7"/>
  <c r="AH22" i="7"/>
  <c r="AH40" i="7"/>
  <c r="AH27" i="7"/>
  <c r="AH47" i="7"/>
  <c r="AH33" i="7"/>
  <c r="AH49" i="7"/>
  <c r="AH31" i="7"/>
  <c r="AH36" i="7"/>
  <c r="AH26" i="7"/>
  <c r="AH23" i="7"/>
  <c r="AH44" i="7"/>
  <c r="AH38" i="7"/>
  <c r="AH35" i="7"/>
  <c r="AH51" i="7"/>
  <c r="AH37" i="7"/>
  <c r="AH21" i="7"/>
  <c r="AH46" i="7"/>
  <c r="AH28" i="7"/>
  <c r="AH48" i="7"/>
  <c r="AH39" i="7"/>
  <c r="AH41" i="7"/>
  <c r="AH30" i="7"/>
  <c r="U50" i="7"/>
  <c r="U48" i="7"/>
  <c r="U46" i="7"/>
  <c r="U44" i="7"/>
  <c r="U42" i="7"/>
  <c r="U40" i="7"/>
  <c r="U38" i="7"/>
  <c r="U36" i="7"/>
  <c r="U34" i="7"/>
  <c r="U29" i="7"/>
  <c r="U32" i="7"/>
  <c r="U27" i="7"/>
  <c r="U25" i="7"/>
  <c r="U23" i="7"/>
  <c r="U21" i="7"/>
  <c r="U19" i="7"/>
  <c r="U17" i="7"/>
  <c r="U15" i="7"/>
  <c r="U13" i="7"/>
  <c r="U11" i="7"/>
  <c r="U9" i="7"/>
  <c r="U47" i="7"/>
  <c r="U39" i="7"/>
  <c r="U24" i="7"/>
  <c r="U18" i="7"/>
  <c r="U10" i="7"/>
  <c r="U6" i="7"/>
  <c r="U51" i="7"/>
  <c r="U43" i="7"/>
  <c r="U45" i="7"/>
  <c r="U37" i="7"/>
  <c r="U31" i="7"/>
  <c r="U30" i="7"/>
  <c r="U22" i="7"/>
  <c r="U16" i="7"/>
  <c r="U8" i="7"/>
  <c r="U28" i="7"/>
  <c r="U7" i="7"/>
  <c r="U33" i="7"/>
  <c r="U26" i="7"/>
  <c r="U14" i="7"/>
  <c r="U5" i="7"/>
  <c r="U35" i="7"/>
  <c r="U20" i="7"/>
  <c r="U49" i="7"/>
  <c r="U41" i="7"/>
  <c r="U12" i="7"/>
  <c r="AA51" i="8"/>
  <c r="Z51" i="27" s="1"/>
  <c r="Z103" i="27" s="1"/>
  <c r="AA49" i="8"/>
  <c r="Z49" i="27" s="1"/>
  <c r="Z101" i="27" s="1"/>
  <c r="AA46" i="8"/>
  <c r="Z46" i="27" s="1"/>
  <c r="Z98" i="27" s="1"/>
  <c r="AA43" i="8"/>
  <c r="Z43" i="27" s="1"/>
  <c r="Z95" i="27" s="1"/>
  <c r="AA40" i="8"/>
  <c r="Z40" i="27" s="1"/>
  <c r="Z92" i="27" s="1"/>
  <c r="AA35" i="8"/>
  <c r="Z35" i="27" s="1"/>
  <c r="Z87" i="27" s="1"/>
  <c r="AA32" i="8"/>
  <c r="Z32" i="27" s="1"/>
  <c r="Z84" i="27" s="1"/>
  <c r="AA29" i="8"/>
  <c r="Z29" i="27" s="1"/>
  <c r="Z81" i="27" s="1"/>
  <c r="AA25" i="8"/>
  <c r="Z25" i="27" s="1"/>
  <c r="Z77" i="27" s="1"/>
  <c r="AA22" i="8"/>
  <c r="Z22" i="27" s="1"/>
  <c r="Z74" i="27" s="1"/>
  <c r="AA20" i="8"/>
  <c r="Z20" i="27" s="1"/>
  <c r="Z72" i="27" s="1"/>
  <c r="AA18" i="8"/>
  <c r="Z18" i="27" s="1"/>
  <c r="Z70" i="27" s="1"/>
  <c r="AA16" i="8"/>
  <c r="Z16" i="27" s="1"/>
  <c r="Z68" i="27" s="1"/>
  <c r="AA14" i="8"/>
  <c r="Z14" i="27" s="1"/>
  <c r="Z66" i="27" s="1"/>
  <c r="AA12" i="8"/>
  <c r="Z12" i="27" s="1"/>
  <c r="Z64" i="27" s="1"/>
  <c r="AA10" i="8"/>
  <c r="Z10" i="27" s="1"/>
  <c r="Z62" i="27" s="1"/>
  <c r="AA8" i="8"/>
  <c r="Z8" i="27" s="1"/>
  <c r="Z60" i="27" s="1"/>
  <c r="AA6" i="8"/>
  <c r="Z6" i="27" s="1"/>
  <c r="Z58" i="27" s="1"/>
  <c r="AA50" i="8"/>
  <c r="Z50" i="27" s="1"/>
  <c r="Z102" i="27" s="1"/>
  <c r="AA47" i="8"/>
  <c r="Z47" i="27" s="1"/>
  <c r="Z99" i="27" s="1"/>
  <c r="AA38" i="8"/>
  <c r="Z38" i="27" s="1"/>
  <c r="Z90" i="27" s="1"/>
  <c r="AA34" i="8"/>
  <c r="Z34" i="27" s="1"/>
  <c r="Z86" i="27" s="1"/>
  <c r="AA31" i="8"/>
  <c r="Z31" i="27" s="1"/>
  <c r="Z83" i="27" s="1"/>
  <c r="AA26" i="8"/>
  <c r="Z26" i="27" s="1"/>
  <c r="Z78" i="27" s="1"/>
  <c r="AA19" i="8"/>
  <c r="Z19" i="27" s="1"/>
  <c r="Z71" i="27" s="1"/>
  <c r="AA45" i="8"/>
  <c r="Z45" i="27" s="1"/>
  <c r="Z97" i="27" s="1"/>
  <c r="AA37" i="8"/>
  <c r="Z37" i="27" s="1"/>
  <c r="Z89" i="27" s="1"/>
  <c r="AA33" i="8"/>
  <c r="Z33" i="27" s="1"/>
  <c r="Z85" i="27" s="1"/>
  <c r="AA28" i="8"/>
  <c r="Z28" i="27" s="1"/>
  <c r="Z80" i="27" s="1"/>
  <c r="AA23" i="8"/>
  <c r="Z23" i="27" s="1"/>
  <c r="Z75" i="27" s="1"/>
  <c r="AA21" i="8"/>
  <c r="Z21" i="27" s="1"/>
  <c r="Z73" i="27" s="1"/>
  <c r="AA15" i="8"/>
  <c r="Z15" i="27" s="1"/>
  <c r="Z67" i="27" s="1"/>
  <c r="AA7" i="8"/>
  <c r="Z7" i="27" s="1"/>
  <c r="Z59" i="27" s="1"/>
  <c r="AA48" i="8"/>
  <c r="Z48" i="27" s="1"/>
  <c r="Z100" i="27" s="1"/>
  <c r="AA41" i="8"/>
  <c r="Z41" i="27" s="1"/>
  <c r="Z93" i="27" s="1"/>
  <c r="AA39" i="8"/>
  <c r="Z39" i="27" s="1"/>
  <c r="Z91" i="27" s="1"/>
  <c r="AA30" i="8"/>
  <c r="Z30" i="27" s="1"/>
  <c r="Z82" i="27" s="1"/>
  <c r="AA17" i="8"/>
  <c r="Z17" i="27" s="1"/>
  <c r="Z69" i="27" s="1"/>
  <c r="AA9" i="8"/>
  <c r="Z9" i="27" s="1"/>
  <c r="Z61" i="27" s="1"/>
  <c r="AA36" i="8"/>
  <c r="Z36" i="27" s="1"/>
  <c r="Z88" i="27" s="1"/>
  <c r="AA27" i="8"/>
  <c r="Z27" i="27" s="1"/>
  <c r="Z79" i="27" s="1"/>
  <c r="AA11" i="8"/>
  <c r="Z11" i="27" s="1"/>
  <c r="Z63" i="27" s="1"/>
  <c r="AA24" i="8"/>
  <c r="Z24" i="27" s="1"/>
  <c r="Z76" i="27" s="1"/>
  <c r="AA44" i="8"/>
  <c r="Z44" i="27" s="1"/>
  <c r="Z96" i="27" s="1"/>
  <c r="AA5" i="8"/>
  <c r="Z5" i="27" s="1"/>
  <c r="Z57" i="27" s="1"/>
  <c r="P11" i="29" s="1"/>
  <c r="AA13" i="8"/>
  <c r="Z13" i="27" s="1"/>
  <c r="Z65" i="27" s="1"/>
  <c r="AA42" i="8"/>
  <c r="Z42" i="27" s="1"/>
  <c r="Z94" i="27" s="1"/>
  <c r="AH45" i="7"/>
  <c r="AC29" i="7"/>
  <c r="AC27" i="7"/>
  <c r="AH32" i="7"/>
  <c r="R48" i="9"/>
  <c r="P40" i="7"/>
  <c r="AH58" i="8"/>
  <c r="L38" i="9"/>
  <c r="E37" i="5"/>
  <c r="R46" i="12"/>
  <c r="R46" i="11"/>
  <c r="R49" i="11" s="1"/>
  <c r="R46" i="10"/>
  <c r="R46" i="13"/>
  <c r="Q27" i="7"/>
  <c r="Q23" i="7"/>
  <c r="Q21" i="7"/>
  <c r="Q26" i="7"/>
  <c r="Q14" i="7"/>
  <c r="Q29" i="7"/>
  <c r="Q24" i="7"/>
  <c r="Q9" i="7"/>
  <c r="Q5" i="7"/>
  <c r="Q48" i="7"/>
  <c r="Q31" i="7"/>
  <c r="Q13" i="7"/>
  <c r="Q6" i="7"/>
  <c r="Q28" i="7"/>
  <c r="Q22" i="7"/>
  <c r="Q16" i="7"/>
  <c r="Q10" i="7"/>
  <c r="Q40" i="7"/>
  <c r="Q34" i="7"/>
  <c r="Q15" i="7"/>
  <c r="Q20" i="7"/>
  <c r="Q8" i="7"/>
  <c r="Q38" i="7"/>
  <c r="Q19" i="7"/>
  <c r="Q33" i="7"/>
  <c r="Q49" i="7"/>
  <c r="Q35" i="7"/>
  <c r="Q51" i="7"/>
  <c r="Q42" i="7"/>
  <c r="Q12" i="7"/>
  <c r="Q37" i="7"/>
  <c r="Q39" i="7"/>
  <c r="Q18" i="7"/>
  <c r="Q36" i="7"/>
  <c r="Q7" i="7"/>
  <c r="Q46" i="7"/>
  <c r="Q44" i="7"/>
  <c r="Q17" i="7"/>
  <c r="Q41" i="7"/>
  <c r="Q43" i="7"/>
  <c r="W51" i="7"/>
  <c r="W49" i="7"/>
  <c r="W47" i="7"/>
  <c r="W45" i="7"/>
  <c r="W43" i="7"/>
  <c r="W41" i="7"/>
  <c r="W39" i="7"/>
  <c r="W37" i="7"/>
  <c r="W35" i="7"/>
  <c r="W33" i="7"/>
  <c r="W30" i="7"/>
  <c r="W31" i="7"/>
  <c r="W28" i="7"/>
  <c r="W26" i="7"/>
  <c r="W24" i="7"/>
  <c r="W22" i="7"/>
  <c r="W20" i="7"/>
  <c r="W18" i="7"/>
  <c r="W16" i="7"/>
  <c r="W14" i="7"/>
  <c r="W12" i="7"/>
  <c r="W10" i="7"/>
  <c r="W8" i="7"/>
  <c r="W48" i="7"/>
  <c r="W40" i="7"/>
  <c r="W27" i="7"/>
  <c r="W19" i="7"/>
  <c r="W11" i="7"/>
  <c r="W7" i="7"/>
  <c r="W5" i="7"/>
  <c r="W44" i="7"/>
  <c r="W46" i="7"/>
  <c r="W38" i="7"/>
  <c r="W25" i="7"/>
  <c r="W17" i="7"/>
  <c r="W9" i="7"/>
  <c r="W32" i="7"/>
  <c r="W21" i="7"/>
  <c r="W15" i="7"/>
  <c r="W42" i="7"/>
  <c r="W34" i="7"/>
  <c r="W29" i="7"/>
  <c r="W23" i="7"/>
  <c r="W6" i="7"/>
  <c r="W50" i="7"/>
  <c r="W13" i="7"/>
  <c r="W36" i="7"/>
  <c r="O20" i="7"/>
  <c r="O25" i="7"/>
  <c r="O18" i="7"/>
  <c r="O13" i="7"/>
  <c r="O10" i="7"/>
  <c r="O19" i="7"/>
  <c r="O16" i="7"/>
  <c r="O11" i="7"/>
  <c r="O8" i="7"/>
  <c r="O6" i="7"/>
  <c r="O27" i="7"/>
  <c r="O17" i="7"/>
  <c r="O5" i="7"/>
  <c r="O21" i="7"/>
  <c r="O12" i="7"/>
  <c r="O47" i="7"/>
  <c r="O39" i="7"/>
  <c r="O33" i="7"/>
  <c r="O9" i="7"/>
  <c r="O15" i="7"/>
  <c r="O14" i="7"/>
  <c r="O7" i="7"/>
  <c r="O41" i="7"/>
  <c r="O34" i="7"/>
  <c r="O50" i="7"/>
  <c r="O32" i="7"/>
  <c r="O45" i="7"/>
  <c r="O44" i="7"/>
  <c r="O23" i="7"/>
  <c r="O38" i="7"/>
  <c r="O35" i="7"/>
  <c r="O24" i="7"/>
  <c r="O49" i="7"/>
  <c r="O28" i="7"/>
  <c r="O48" i="7"/>
  <c r="O26" i="7"/>
  <c r="O42" i="7"/>
  <c r="O43" i="7"/>
  <c r="O29" i="7"/>
  <c r="O22" i="7"/>
  <c r="O36" i="7"/>
  <c r="O51" i="9"/>
  <c r="AC44" i="7"/>
  <c r="R41" i="9"/>
  <c r="AC31" i="7"/>
  <c r="Q25" i="7"/>
  <c r="AJ54" i="8"/>
  <c r="AJ58" i="8" s="1"/>
  <c r="AJ54" i="9"/>
  <c r="AJ54" i="7"/>
  <c r="L40" i="9"/>
  <c r="O46" i="7"/>
  <c r="R42" i="9"/>
  <c r="AC20" i="7"/>
  <c r="AC19" i="7"/>
  <c r="AC14" i="7"/>
  <c r="AC11" i="7"/>
  <c r="AC25" i="7"/>
  <c r="AC17" i="7"/>
  <c r="AC12" i="7"/>
  <c r="AC9" i="7"/>
  <c r="AC6" i="7"/>
  <c r="AC39" i="7"/>
  <c r="AC10" i="7"/>
  <c r="AC5" i="7"/>
  <c r="AC33" i="7"/>
  <c r="AC32" i="7"/>
  <c r="AC15" i="7"/>
  <c r="AC8" i="7"/>
  <c r="AC47" i="7"/>
  <c r="AC23" i="7"/>
  <c r="AC18" i="7"/>
  <c r="AC13" i="7"/>
  <c r="AC16" i="7"/>
  <c r="AC7" i="7"/>
  <c r="AC21" i="7"/>
  <c r="AC34" i="7"/>
  <c r="AC50" i="7"/>
  <c r="AC35" i="7"/>
  <c r="AC37" i="7"/>
  <c r="AC28" i="7"/>
  <c r="AC48" i="7"/>
  <c r="AC38" i="7"/>
  <c r="AC43" i="7"/>
  <c r="AC41" i="7"/>
  <c r="AC36" i="7"/>
  <c r="AC26" i="7"/>
  <c r="AC42" i="7"/>
  <c r="AC51" i="7"/>
  <c r="AC24" i="7"/>
  <c r="AC45" i="7"/>
  <c r="AC22" i="7"/>
  <c r="AC40" i="7"/>
  <c r="Q32" i="9"/>
  <c r="AH43" i="7"/>
  <c r="L18" i="9"/>
  <c r="R34" i="9"/>
  <c r="AC30" i="7"/>
  <c r="O30" i="9"/>
  <c r="P29" i="7"/>
  <c r="P27" i="7"/>
  <c r="P25" i="7"/>
  <c r="P23" i="7"/>
  <c r="P21" i="7"/>
  <c r="P19" i="7"/>
  <c r="P17" i="7"/>
  <c r="P15" i="7"/>
  <c r="P13" i="7"/>
  <c r="P11" i="7"/>
  <c r="P9" i="7"/>
  <c r="P28" i="7"/>
  <c r="P20" i="7"/>
  <c r="P16" i="7"/>
  <c r="P8" i="7"/>
  <c r="P6" i="7"/>
  <c r="P26" i="7"/>
  <c r="P14" i="7"/>
  <c r="P30" i="7"/>
  <c r="P18" i="7"/>
  <c r="P12" i="7"/>
  <c r="P39" i="7"/>
  <c r="P31" i="7"/>
  <c r="P37" i="7"/>
  <c r="P22" i="7"/>
  <c r="P10" i="7"/>
  <c r="P7" i="7"/>
  <c r="P45" i="7"/>
  <c r="P24" i="7"/>
  <c r="P5" i="7"/>
  <c r="P44" i="7"/>
  <c r="P33" i="7"/>
  <c r="P47" i="7"/>
  <c r="P42" i="7"/>
  <c r="P32" i="7"/>
  <c r="P48" i="7"/>
  <c r="P41" i="7"/>
  <c r="P51" i="7"/>
  <c r="P46" i="7"/>
  <c r="P36" i="7"/>
  <c r="P49" i="7"/>
  <c r="P35" i="7"/>
  <c r="P34" i="7"/>
  <c r="P50" i="7"/>
  <c r="P38" i="7"/>
  <c r="AL56" i="9"/>
  <c r="AL56" i="8"/>
  <c r="AL58" i="6"/>
  <c r="AL56" i="7"/>
  <c r="Q47" i="7"/>
  <c r="AC49" i="7"/>
  <c r="O37" i="7"/>
  <c r="Q11" i="7"/>
  <c r="Q30" i="7"/>
  <c r="AC27" i="9"/>
  <c r="AD27" i="9" s="1"/>
  <c r="AI20" i="7"/>
  <c r="AI18" i="7"/>
  <c r="AI16" i="7"/>
  <c r="AI14" i="7"/>
  <c r="AI12" i="7"/>
  <c r="AI10" i="7"/>
  <c r="AI8" i="7"/>
  <c r="AI13" i="7"/>
  <c r="AI7" i="7"/>
  <c r="AI5" i="7"/>
  <c r="AI11" i="7"/>
  <c r="AI48" i="7"/>
  <c r="AI19" i="7"/>
  <c r="AI6" i="7"/>
  <c r="AI40" i="7"/>
  <c r="AI17" i="7"/>
  <c r="AI27" i="7"/>
  <c r="AI32" i="7"/>
  <c r="AI25" i="7"/>
  <c r="AI15" i="7"/>
  <c r="AI9" i="7"/>
  <c r="AI47" i="7"/>
  <c r="AI31" i="7"/>
  <c r="AI41" i="7"/>
  <c r="AI24" i="7"/>
  <c r="AI23" i="7"/>
  <c r="Z49" i="12"/>
  <c r="AI38" i="7"/>
  <c r="AB56" i="9"/>
  <c r="AB56" i="8"/>
  <c r="AB56" i="7"/>
  <c r="AB58" i="6"/>
  <c r="AI34" i="7"/>
  <c r="F37" i="5"/>
  <c r="R47" i="13"/>
  <c r="R47" i="12"/>
  <c r="R49" i="12" s="1"/>
  <c r="R47" i="11"/>
  <c r="R47" i="10"/>
  <c r="X31" i="7"/>
  <c r="X28" i="7"/>
  <c r="X26" i="7"/>
  <c r="X24" i="7"/>
  <c r="X22" i="7"/>
  <c r="X20" i="7"/>
  <c r="X50" i="7"/>
  <c r="X48" i="7"/>
  <c r="X46" i="7"/>
  <c r="X44" i="7"/>
  <c r="X42" i="7"/>
  <c r="X40" i="7"/>
  <c r="X38" i="7"/>
  <c r="X36" i="7"/>
  <c r="X34" i="7"/>
  <c r="X29" i="7"/>
  <c r="X45" i="7"/>
  <c r="X37" i="7"/>
  <c r="X30" i="7"/>
  <c r="X25" i="7"/>
  <c r="X17" i="7"/>
  <c r="X14" i="7"/>
  <c r="X9" i="7"/>
  <c r="X49" i="7"/>
  <c r="X51" i="7"/>
  <c r="X43" i="7"/>
  <c r="X35" i="7"/>
  <c r="X32" i="7"/>
  <c r="X23" i="7"/>
  <c r="X15" i="7"/>
  <c r="X12" i="7"/>
  <c r="X6" i="7"/>
  <c r="X39" i="7"/>
  <c r="X33" i="7"/>
  <c r="X19" i="7"/>
  <c r="X5" i="7"/>
  <c r="X47" i="7"/>
  <c r="X18" i="7"/>
  <c r="X13" i="7"/>
  <c r="X8" i="7"/>
  <c r="X41" i="7"/>
  <c r="X27" i="7"/>
  <c r="X11" i="7"/>
  <c r="X21" i="7"/>
  <c r="X16" i="7"/>
  <c r="X10" i="7"/>
  <c r="X7" i="7"/>
  <c r="L27" i="7"/>
  <c r="L23" i="7"/>
  <c r="L21" i="7"/>
  <c r="L22" i="7"/>
  <c r="L9" i="7"/>
  <c r="L28" i="7"/>
  <c r="L15" i="7"/>
  <c r="L10" i="7"/>
  <c r="L5" i="7"/>
  <c r="L44" i="7"/>
  <c r="L29" i="7"/>
  <c r="L24" i="7"/>
  <c r="L14" i="7"/>
  <c r="L13" i="7"/>
  <c r="L8" i="7"/>
  <c r="L36" i="7"/>
  <c r="L26" i="7"/>
  <c r="L16" i="7"/>
  <c r="L11" i="7"/>
  <c r="L6" i="7"/>
  <c r="S20" i="7"/>
  <c r="S15" i="7"/>
  <c r="S12" i="7"/>
  <c r="S18" i="7"/>
  <c r="S13" i="7"/>
  <c r="S10" i="7"/>
  <c r="S6" i="7"/>
  <c r="S43" i="7"/>
  <c r="S16" i="7"/>
  <c r="S51" i="7"/>
  <c r="S37" i="7"/>
  <c r="S32" i="7"/>
  <c r="S19" i="7"/>
  <c r="S9" i="7"/>
  <c r="S7" i="7"/>
  <c r="S23" i="7"/>
  <c r="S14" i="7"/>
  <c r="S8" i="7"/>
  <c r="S5" i="7"/>
  <c r="S35" i="7"/>
  <c r="S25" i="7"/>
  <c r="S17" i="7"/>
  <c r="S11" i="7"/>
  <c r="R28" i="7"/>
  <c r="R26" i="7"/>
  <c r="R24" i="7"/>
  <c r="R22" i="7"/>
  <c r="R20" i="7"/>
  <c r="R18" i="7"/>
  <c r="R16" i="7"/>
  <c r="R14" i="7"/>
  <c r="R12" i="7"/>
  <c r="R10" i="7"/>
  <c r="R8" i="7"/>
  <c r="R29" i="7"/>
  <c r="R23" i="7"/>
  <c r="R17" i="7"/>
  <c r="R9" i="7"/>
  <c r="R7" i="7"/>
  <c r="R5" i="7"/>
  <c r="R21" i="7"/>
  <c r="R15" i="7"/>
  <c r="R25" i="7"/>
  <c r="R11" i="7"/>
  <c r="R40" i="7"/>
  <c r="R46" i="7"/>
  <c r="R19" i="7"/>
  <c r="R38" i="7"/>
  <c r="R27" i="7"/>
  <c r="R13" i="7"/>
  <c r="R6" i="7"/>
  <c r="L20" i="9"/>
  <c r="L42" i="9"/>
  <c r="R44" i="9"/>
  <c r="S48" i="7"/>
  <c r="S28" i="7"/>
  <c r="L37" i="7"/>
  <c r="R49" i="7"/>
  <c r="R33" i="7"/>
  <c r="L32" i="7"/>
  <c r="U23" i="9"/>
  <c r="AI43" i="7"/>
  <c r="AI22" i="7"/>
  <c r="AI37" i="7"/>
  <c r="S33" i="7"/>
  <c r="R47" i="7"/>
  <c r="R31" i="7"/>
  <c r="L34" i="7"/>
  <c r="S27" i="7"/>
  <c r="L12" i="7"/>
  <c r="Q30" i="9"/>
  <c r="AI50" i="7"/>
  <c r="AI30" i="7"/>
  <c r="S46" i="7"/>
  <c r="S26" i="7"/>
  <c r="R36" i="7"/>
  <c r="L51" i="7"/>
  <c r="L35" i="7"/>
  <c r="L19" i="7"/>
  <c r="Z47" i="8"/>
  <c r="Y47" i="27" s="1"/>
  <c r="Y99" i="27" s="1"/>
  <c r="Z46" i="8"/>
  <c r="Y46" i="27" s="1"/>
  <c r="Y98" i="27" s="1"/>
  <c r="Z41" i="8"/>
  <c r="Y41" i="27" s="1"/>
  <c r="Y93" i="27" s="1"/>
  <c r="Z38" i="8"/>
  <c r="Y38" i="27" s="1"/>
  <c r="Y90" i="27" s="1"/>
  <c r="Z33" i="8"/>
  <c r="Y33" i="27" s="1"/>
  <c r="Y85" i="27" s="1"/>
  <c r="Z30" i="8"/>
  <c r="Y30" i="27" s="1"/>
  <c r="Y82" i="27" s="1"/>
  <c r="Z26" i="8"/>
  <c r="Y26" i="27" s="1"/>
  <c r="Y78" i="27" s="1"/>
  <c r="Z49" i="8"/>
  <c r="Y49" i="27" s="1"/>
  <c r="Y101" i="27" s="1"/>
  <c r="Z45" i="8"/>
  <c r="Y45" i="27" s="1"/>
  <c r="Y97" i="27" s="1"/>
  <c r="Z42" i="8"/>
  <c r="Y42" i="27" s="1"/>
  <c r="Y94" i="27" s="1"/>
  <c r="Z39" i="8"/>
  <c r="Y39" i="27" s="1"/>
  <c r="Y91" i="27" s="1"/>
  <c r="Z35" i="8"/>
  <c r="Y35" i="27" s="1"/>
  <c r="Y87" i="27" s="1"/>
  <c r="Z27" i="8"/>
  <c r="Y27" i="27" s="1"/>
  <c r="Y79" i="27" s="1"/>
  <c r="Z22" i="8"/>
  <c r="Y22" i="27" s="1"/>
  <c r="Y74" i="27" s="1"/>
  <c r="Z17" i="8"/>
  <c r="Y17" i="27" s="1"/>
  <c r="Y69" i="27" s="1"/>
  <c r="Z44" i="8"/>
  <c r="Y44" i="27" s="1"/>
  <c r="Y96" i="27" s="1"/>
  <c r="Z31" i="8"/>
  <c r="Y31" i="27" s="1"/>
  <c r="Y83" i="27" s="1"/>
  <c r="Z13" i="8"/>
  <c r="Y13" i="27" s="1"/>
  <c r="Y65" i="27" s="1"/>
  <c r="Z10" i="8"/>
  <c r="Y10" i="27" s="1"/>
  <c r="Y62" i="27" s="1"/>
  <c r="Z5" i="8"/>
  <c r="Y5" i="27" s="1"/>
  <c r="Y57" i="27" s="1"/>
  <c r="O11" i="29" s="1"/>
  <c r="Z50" i="8"/>
  <c r="Y50" i="27" s="1"/>
  <c r="Y102" i="27" s="1"/>
  <c r="Z37" i="8"/>
  <c r="Y37" i="27" s="1"/>
  <c r="Y89" i="27" s="1"/>
  <c r="Z28" i="8"/>
  <c r="Y28" i="27" s="1"/>
  <c r="Y80" i="27" s="1"/>
  <c r="Z25" i="8"/>
  <c r="Y25" i="27" s="1"/>
  <c r="Y77" i="27" s="1"/>
  <c r="Z23" i="8"/>
  <c r="Y23" i="27" s="1"/>
  <c r="Y75" i="27" s="1"/>
  <c r="Z21" i="8"/>
  <c r="Y21" i="27" s="1"/>
  <c r="Y73" i="27" s="1"/>
  <c r="Z19" i="8"/>
  <c r="Y19" i="27" s="1"/>
  <c r="Y71" i="27" s="1"/>
  <c r="Z15" i="8"/>
  <c r="Y15" i="27" s="1"/>
  <c r="Y67" i="27" s="1"/>
  <c r="Z12" i="8"/>
  <c r="Y12" i="27" s="1"/>
  <c r="Y64" i="27" s="1"/>
  <c r="Z7" i="8"/>
  <c r="Y7" i="27" s="1"/>
  <c r="Y59" i="27" s="1"/>
  <c r="Z32" i="8"/>
  <c r="Y32" i="27" s="1"/>
  <c r="Y84" i="27" s="1"/>
  <c r="Z14" i="8"/>
  <c r="Y14" i="27" s="1"/>
  <c r="Y66" i="27" s="1"/>
  <c r="Z48" i="8"/>
  <c r="Y48" i="27" s="1"/>
  <c r="Y100" i="27" s="1"/>
  <c r="Z43" i="8"/>
  <c r="Y43" i="27" s="1"/>
  <c r="Y95" i="27" s="1"/>
  <c r="Z34" i="8"/>
  <c r="Y34" i="27" s="1"/>
  <c r="Y86" i="27" s="1"/>
  <c r="Z9" i="8"/>
  <c r="Y9" i="27" s="1"/>
  <c r="Y61" i="27" s="1"/>
  <c r="Z6" i="8"/>
  <c r="Y6" i="27" s="1"/>
  <c r="Y58" i="27" s="1"/>
  <c r="Z51" i="8"/>
  <c r="Y51" i="27" s="1"/>
  <c r="Y103" i="27" s="1"/>
  <c r="Z40" i="8"/>
  <c r="Y40" i="27" s="1"/>
  <c r="Y92" i="27" s="1"/>
  <c r="Z36" i="8"/>
  <c r="Y36" i="27" s="1"/>
  <c r="Y88" i="27" s="1"/>
  <c r="Z18" i="8"/>
  <c r="Y18" i="27" s="1"/>
  <c r="Y70" i="27" s="1"/>
  <c r="Z11" i="8"/>
  <c r="Y11" i="27" s="1"/>
  <c r="Y63" i="27" s="1"/>
  <c r="Z8" i="8"/>
  <c r="Y8" i="27" s="1"/>
  <c r="Y60" i="27" s="1"/>
  <c r="Z24" i="8"/>
  <c r="Y24" i="27" s="1"/>
  <c r="Y76" i="27" s="1"/>
  <c r="Z20" i="8"/>
  <c r="Y20" i="27" s="1"/>
  <c r="Y72" i="27" s="1"/>
  <c r="Z29" i="8"/>
  <c r="Y29" i="27" s="1"/>
  <c r="Y81" i="27" s="1"/>
  <c r="Z16" i="8"/>
  <c r="Y16" i="27" s="1"/>
  <c r="Y68" i="27" s="1"/>
  <c r="L7" i="9"/>
  <c r="S44" i="7"/>
  <c r="R30" i="7"/>
  <c r="L49" i="7"/>
  <c r="L33" i="7"/>
  <c r="R45" i="7"/>
  <c r="AI39" i="7"/>
  <c r="S31" i="7"/>
  <c r="AI49" i="7"/>
  <c r="AI33" i="7"/>
  <c r="S49" i="7"/>
  <c r="S29" i="7"/>
  <c r="R43" i="7"/>
  <c r="L50" i="7"/>
  <c r="L30" i="7"/>
  <c r="AI58" i="8"/>
  <c r="AI36" i="9" s="1"/>
  <c r="R50" i="7"/>
  <c r="L48" i="7"/>
  <c r="Z49" i="11"/>
  <c r="AL55" i="9"/>
  <c r="AL55" i="8"/>
  <c r="AL55" i="7"/>
  <c r="AL57" i="6"/>
  <c r="AI46" i="7"/>
  <c r="AI26" i="7"/>
  <c r="S42" i="7"/>
  <c r="S21" i="7"/>
  <c r="R32" i="7"/>
  <c r="L47" i="7"/>
  <c r="L31" i="7"/>
  <c r="L17" i="7"/>
  <c r="M55" i="6"/>
  <c r="M60" i="6" s="1"/>
  <c r="M41" i="7" s="1"/>
  <c r="Y56" i="6"/>
  <c r="Y60" i="6" s="1"/>
  <c r="V60" i="6"/>
  <c r="V56" i="6"/>
  <c r="D30" i="5"/>
  <c r="Z48" i="11" l="1"/>
  <c r="R37" i="9"/>
  <c r="L46" i="9"/>
  <c r="Q45" i="9"/>
  <c r="O40" i="9"/>
  <c r="L39" i="9"/>
  <c r="O31" i="9"/>
  <c r="S6" i="29"/>
  <c r="X6" i="29" s="1"/>
  <c r="G8" i="29"/>
  <c r="Z73" i="28"/>
  <c r="AC73" i="28"/>
  <c r="AE73" i="28"/>
  <c r="Y73" i="28"/>
  <c r="C6" i="30" s="1"/>
  <c r="AF73" i="28"/>
  <c r="AA73" i="28"/>
  <c r="AH73" i="28"/>
  <c r="AB73" i="28"/>
  <c r="AD73" i="28"/>
  <c r="AG73" i="28"/>
  <c r="X73" i="28"/>
  <c r="B6" i="30" s="1"/>
  <c r="Z48" i="12"/>
  <c r="R39" i="9"/>
  <c r="L41" i="9"/>
  <c r="R51" i="9"/>
  <c r="L25" i="9"/>
  <c r="AC76" i="28"/>
  <c r="AD76" i="28"/>
  <c r="Y76" i="28"/>
  <c r="AF76" i="28"/>
  <c r="Z76" i="28"/>
  <c r="AB76" i="28"/>
  <c r="AE76" i="28"/>
  <c r="AG76" i="28"/>
  <c r="X76" i="28"/>
  <c r="AA76" i="28"/>
  <c r="AH76" i="28"/>
  <c r="AE77" i="28"/>
  <c r="Y77" i="28"/>
  <c r="AF77" i="28"/>
  <c r="AA77" i="28"/>
  <c r="AH77" i="28"/>
  <c r="AB77" i="28"/>
  <c r="AD77" i="28"/>
  <c r="AG77" i="28"/>
  <c r="X77" i="28"/>
  <c r="Z77" i="28"/>
  <c r="AC77" i="28"/>
  <c r="AG78" i="28"/>
  <c r="X78" i="28"/>
  <c r="AA78" i="28"/>
  <c r="AH78" i="28"/>
  <c r="AC78" i="28"/>
  <c r="AD78" i="28"/>
  <c r="Y78" i="28"/>
  <c r="AF78" i="28"/>
  <c r="Z78" i="28"/>
  <c r="AB78" i="28"/>
  <c r="AE78" i="28"/>
  <c r="AC74" i="28"/>
  <c r="AD74" i="28"/>
  <c r="Y74" i="28"/>
  <c r="AF74" i="28"/>
  <c r="Z74" i="28"/>
  <c r="AB74" i="28"/>
  <c r="AE74" i="28"/>
  <c r="AG74" i="28"/>
  <c r="X74" i="28"/>
  <c r="AA74" i="28"/>
  <c r="AH74" i="28"/>
  <c r="W10" i="29"/>
  <c r="X10" i="29" s="1"/>
  <c r="R35" i="9"/>
  <c r="P7" i="29"/>
  <c r="Y44" i="11"/>
  <c r="X44" i="11"/>
  <c r="O9" i="29"/>
  <c r="P9" i="29"/>
  <c r="L45" i="9"/>
  <c r="O7" i="29"/>
  <c r="N44" i="10"/>
  <c r="V44" i="10"/>
  <c r="V49" i="10" s="1"/>
  <c r="N48" i="10"/>
  <c r="M48" i="10"/>
  <c r="Q44" i="10"/>
  <c r="X44" i="10"/>
  <c r="X49" i="10" s="1"/>
  <c r="O48" i="10"/>
  <c r="S44" i="10"/>
  <c r="Z44" i="10"/>
  <c r="Z49" i="10" s="1"/>
  <c r="T48" i="10"/>
  <c r="M44" i="10"/>
  <c r="M49" i="10" s="1"/>
  <c r="U44" i="10"/>
  <c r="P44" i="10"/>
  <c r="P48" i="10"/>
  <c r="R44" i="10"/>
  <c r="R49" i="10" s="1"/>
  <c r="T44" i="10"/>
  <c r="T49" i="10" s="1"/>
  <c r="V48" i="10"/>
  <c r="W44" i="10"/>
  <c r="Y44" i="10"/>
  <c r="U48" i="10"/>
  <c r="AA44" i="10"/>
  <c r="L44" i="10"/>
  <c r="X48" i="10"/>
  <c r="O44" i="10"/>
  <c r="O49" i="10" s="1"/>
  <c r="AB44" i="10"/>
  <c r="O8" i="29"/>
  <c r="M8" i="30"/>
  <c r="M10" i="30"/>
  <c r="R48" i="12"/>
  <c r="R48" i="11"/>
  <c r="M41" i="9"/>
  <c r="L8" i="9"/>
  <c r="L15" i="9"/>
  <c r="M37" i="7"/>
  <c r="X41" i="9"/>
  <c r="X39" i="9"/>
  <c r="X51" i="9"/>
  <c r="X45" i="9"/>
  <c r="X46" i="9"/>
  <c r="X31" i="9"/>
  <c r="AI24" i="9"/>
  <c r="AI25" i="9"/>
  <c r="AI40" i="9"/>
  <c r="AI11" i="9"/>
  <c r="AI8" i="9"/>
  <c r="AI16" i="9"/>
  <c r="Q11" i="9"/>
  <c r="P38" i="9"/>
  <c r="AI44" i="9"/>
  <c r="M40" i="7"/>
  <c r="P35" i="9"/>
  <c r="P51" i="9"/>
  <c r="P42" i="9"/>
  <c r="P53" i="7"/>
  <c r="P58" i="7" s="1"/>
  <c r="P43" i="8" s="1"/>
  <c r="P43" i="27" s="1"/>
  <c r="P95" i="27" s="1"/>
  <c r="P5" i="9"/>
  <c r="P10" i="9"/>
  <c r="P39" i="9"/>
  <c r="P14" i="9"/>
  <c r="P16" i="9"/>
  <c r="P11" i="9"/>
  <c r="P27" i="8"/>
  <c r="P27" i="9"/>
  <c r="M42" i="7"/>
  <c r="M34" i="7"/>
  <c r="AD24" i="7"/>
  <c r="AC24" i="9"/>
  <c r="AD24" i="9" s="1"/>
  <c r="AD36" i="7"/>
  <c r="AC36" i="9"/>
  <c r="AD36" i="9" s="1"/>
  <c r="AD48" i="7"/>
  <c r="AC48" i="9"/>
  <c r="AD48" i="9" s="1"/>
  <c r="AD50" i="7"/>
  <c r="AC50" i="9"/>
  <c r="AD50" i="9" s="1"/>
  <c r="AD16" i="7"/>
  <c r="AC16" i="9"/>
  <c r="AD16" i="9" s="1"/>
  <c r="AD47" i="7"/>
  <c r="AC47" i="9"/>
  <c r="AD47" i="9" s="1"/>
  <c r="AD33" i="7"/>
  <c r="AC33" i="9"/>
  <c r="AD33" i="9" s="1"/>
  <c r="AD6" i="7"/>
  <c r="AC6" i="9"/>
  <c r="AD6" i="9" s="1"/>
  <c r="AD25" i="7"/>
  <c r="AC25" i="9"/>
  <c r="AD25" i="9" s="1"/>
  <c r="AD20" i="7"/>
  <c r="AC20" i="9"/>
  <c r="AD20" i="9" s="1"/>
  <c r="AD31" i="7"/>
  <c r="AC31" i="9"/>
  <c r="AD31" i="9" s="1"/>
  <c r="M36" i="7"/>
  <c r="O29" i="9"/>
  <c r="O48" i="9"/>
  <c r="O35" i="9"/>
  <c r="O45" i="9"/>
  <c r="O41" i="9"/>
  <c r="O9" i="9"/>
  <c r="O12" i="9"/>
  <c r="O27" i="9"/>
  <c r="O16" i="9"/>
  <c r="O18" i="9"/>
  <c r="W36" i="9"/>
  <c r="W23" i="9"/>
  <c r="W15" i="9"/>
  <c r="W17" i="9"/>
  <c r="W44" i="9"/>
  <c r="W19" i="9"/>
  <c r="W8" i="9"/>
  <c r="W16" i="9"/>
  <c r="W24" i="9"/>
  <c r="W30" i="9"/>
  <c r="W39" i="9"/>
  <c r="W47" i="9"/>
  <c r="M35" i="7"/>
  <c r="Q17" i="9"/>
  <c r="Q36" i="9"/>
  <c r="Q12" i="9"/>
  <c r="Q49" i="9"/>
  <c r="Q8" i="9"/>
  <c r="Q40" i="9"/>
  <c r="Q28" i="9"/>
  <c r="Q48" i="9"/>
  <c r="Q29" i="9"/>
  <c r="Q23" i="9"/>
  <c r="AH32" i="9"/>
  <c r="AA53" i="8"/>
  <c r="U20" i="9"/>
  <c r="U26" i="9"/>
  <c r="U8" i="9"/>
  <c r="U31" i="9"/>
  <c r="U51" i="9"/>
  <c r="U24" i="9"/>
  <c r="U11" i="9"/>
  <c r="U19" i="9"/>
  <c r="U27" i="9"/>
  <c r="U36" i="9"/>
  <c r="U44" i="9"/>
  <c r="M19" i="7"/>
  <c r="AH48" i="9"/>
  <c r="AH37" i="9"/>
  <c r="AH44" i="9"/>
  <c r="AH31" i="9"/>
  <c r="AH27" i="9"/>
  <c r="AH12" i="9"/>
  <c r="AH24" i="9"/>
  <c r="AH9" i="9"/>
  <c r="AH8" i="9"/>
  <c r="AH15" i="9"/>
  <c r="AH25" i="9"/>
  <c r="M22" i="7"/>
  <c r="Y25" i="7"/>
  <c r="Y19" i="7"/>
  <c r="Y17" i="7"/>
  <c r="Y15" i="7"/>
  <c r="Y13" i="7"/>
  <c r="Y11" i="7"/>
  <c r="Y9" i="7"/>
  <c r="Y20" i="7"/>
  <c r="Y12" i="7"/>
  <c r="Y6" i="7"/>
  <c r="Y18" i="7"/>
  <c r="Y10" i="7"/>
  <c r="Y37" i="7"/>
  <c r="Y14" i="7"/>
  <c r="Y8" i="7"/>
  <c r="Y24" i="7"/>
  <c r="Y45" i="7"/>
  <c r="Y30" i="7"/>
  <c r="Y16" i="7"/>
  <c r="Y7" i="7"/>
  <c r="Y5" i="7"/>
  <c r="Y26" i="7"/>
  <c r="Y28" i="7"/>
  <c r="Y44" i="7"/>
  <c r="Y33" i="7"/>
  <c r="Y47" i="7"/>
  <c r="Y38" i="7"/>
  <c r="Y22" i="7"/>
  <c r="Y32" i="7"/>
  <c r="Y48" i="7"/>
  <c r="Y41" i="7"/>
  <c r="Y27" i="7"/>
  <c r="Y51" i="7"/>
  <c r="Y29" i="7"/>
  <c r="Y42" i="7"/>
  <c r="Y31" i="7"/>
  <c r="Y36" i="7"/>
  <c r="Y49" i="7"/>
  <c r="Y35" i="7"/>
  <c r="Y21" i="7"/>
  <c r="Y46" i="7"/>
  <c r="Y39" i="7"/>
  <c r="Y40" i="7"/>
  <c r="Y34" i="7"/>
  <c r="Y50" i="7"/>
  <c r="Y43" i="7"/>
  <c r="Y23" i="7"/>
  <c r="T38" i="11"/>
  <c r="T11" i="11"/>
  <c r="T7" i="11"/>
  <c r="T42" i="11"/>
  <c r="T30" i="11"/>
  <c r="T22" i="11"/>
  <c r="T20" i="11"/>
  <c r="T19" i="11"/>
  <c r="T14" i="11"/>
  <c r="T27" i="11"/>
  <c r="T26" i="11"/>
  <c r="T13" i="11"/>
  <c r="T10" i="11"/>
  <c r="T8" i="11"/>
  <c r="T5" i="11"/>
  <c r="T16" i="11"/>
  <c r="T6" i="11"/>
  <c r="T34" i="11"/>
  <c r="T23" i="11"/>
  <c r="T18" i="11"/>
  <c r="T17" i="11"/>
  <c r="T12" i="11"/>
  <c r="T15" i="11"/>
  <c r="T24" i="11"/>
  <c r="T9" i="11"/>
  <c r="T29" i="11"/>
  <c r="T39" i="11"/>
  <c r="T32" i="11"/>
  <c r="T21" i="11"/>
  <c r="T37" i="11"/>
  <c r="T36" i="11"/>
  <c r="T33" i="11"/>
  <c r="T41" i="11"/>
  <c r="T31" i="11"/>
  <c r="T40" i="11"/>
  <c r="T25" i="11"/>
  <c r="T35" i="11"/>
  <c r="T28" i="11"/>
  <c r="R32" i="9"/>
  <c r="AI21" i="9"/>
  <c r="AI28" i="9"/>
  <c r="AI45" i="9"/>
  <c r="AI29" i="9"/>
  <c r="L33" i="9"/>
  <c r="L51" i="9"/>
  <c r="S53" i="7"/>
  <c r="L36" i="9"/>
  <c r="L24" i="9"/>
  <c r="L22" i="9"/>
  <c r="M29" i="7"/>
  <c r="X27" i="9"/>
  <c r="X18" i="9"/>
  <c r="X15" i="9"/>
  <c r="X43" i="9"/>
  <c r="X37" i="9"/>
  <c r="X36" i="9"/>
  <c r="X20" i="9"/>
  <c r="X28" i="9"/>
  <c r="AI15" i="9"/>
  <c r="AI17" i="9"/>
  <c r="AI48" i="9"/>
  <c r="AI13" i="9"/>
  <c r="AI14" i="9"/>
  <c r="AI35" i="9"/>
  <c r="M32" i="7"/>
  <c r="P34" i="8"/>
  <c r="P34" i="27" s="1"/>
  <c r="P86" i="27" s="1"/>
  <c r="P34" i="9"/>
  <c r="P46" i="8"/>
  <c r="P46" i="27" s="1"/>
  <c r="P98" i="27" s="1"/>
  <c r="P46" i="9"/>
  <c r="P32" i="8"/>
  <c r="P32" i="27" s="1"/>
  <c r="P84" i="27" s="1"/>
  <c r="P32" i="9"/>
  <c r="P44" i="8"/>
  <c r="P44" i="27" s="1"/>
  <c r="P96" i="27" s="1"/>
  <c r="P44" i="9"/>
  <c r="P7" i="8"/>
  <c r="P7" i="27" s="1"/>
  <c r="P59" i="27" s="1"/>
  <c r="P7" i="9"/>
  <c r="P31" i="8"/>
  <c r="P31" i="27" s="1"/>
  <c r="P83" i="27" s="1"/>
  <c r="P31" i="9"/>
  <c r="P30" i="8"/>
  <c r="P30" i="27" s="1"/>
  <c r="P82" i="27" s="1"/>
  <c r="P30" i="9"/>
  <c r="P8" i="8"/>
  <c r="P8" i="27" s="1"/>
  <c r="P60" i="27" s="1"/>
  <c r="P8" i="9"/>
  <c r="P9" i="8"/>
  <c r="P9" i="27" s="1"/>
  <c r="P61" i="27" s="1"/>
  <c r="P9" i="9"/>
  <c r="P17" i="8"/>
  <c r="P17" i="27" s="1"/>
  <c r="P69" i="27" s="1"/>
  <c r="P17" i="9"/>
  <c r="P25" i="8"/>
  <c r="P25" i="27" s="1"/>
  <c r="P77" i="27" s="1"/>
  <c r="P25" i="9"/>
  <c r="M47" i="7"/>
  <c r="AI42" i="9"/>
  <c r="AI51" i="9"/>
  <c r="M23" i="7"/>
  <c r="AD45" i="7"/>
  <c r="AC45" i="9"/>
  <c r="AD45" i="9" s="1"/>
  <c r="AD26" i="7"/>
  <c r="AC26" i="9"/>
  <c r="AD26" i="9" s="1"/>
  <c r="AD38" i="7"/>
  <c r="AC38" i="9"/>
  <c r="AD38" i="9" s="1"/>
  <c r="AD35" i="7"/>
  <c r="AC35" i="9"/>
  <c r="AD35" i="9" s="1"/>
  <c r="AD7" i="7"/>
  <c r="AC7" i="9"/>
  <c r="AD7" i="9" s="1"/>
  <c r="AD23" i="7"/>
  <c r="AC23" i="9"/>
  <c r="AD23" i="9" s="1"/>
  <c r="AD32" i="7"/>
  <c r="AC32" i="9"/>
  <c r="AD32" i="9" s="1"/>
  <c r="AD39" i="7"/>
  <c r="AC39" i="9"/>
  <c r="AD39" i="9" s="1"/>
  <c r="AD17" i="7"/>
  <c r="AC17" i="9"/>
  <c r="AD17" i="9" s="1"/>
  <c r="AD19" i="7"/>
  <c r="AC19" i="9"/>
  <c r="AD19" i="9" s="1"/>
  <c r="M28" i="7"/>
  <c r="O22" i="9"/>
  <c r="O26" i="9"/>
  <c r="O24" i="9"/>
  <c r="O44" i="9"/>
  <c r="O34" i="9"/>
  <c r="O15" i="9"/>
  <c r="O47" i="9"/>
  <c r="O17" i="9"/>
  <c r="O11" i="9"/>
  <c r="M24" i="7"/>
  <c r="W42" i="9"/>
  <c r="W46" i="9"/>
  <c r="W48" i="9"/>
  <c r="W22" i="9"/>
  <c r="W37" i="9"/>
  <c r="M27" i="7"/>
  <c r="Q7" i="9"/>
  <c r="Q35" i="9"/>
  <c r="Q34" i="9"/>
  <c r="Q31" i="9"/>
  <c r="Q21" i="9"/>
  <c r="AH45" i="9"/>
  <c r="U14" i="9"/>
  <c r="U28" i="9"/>
  <c r="U43" i="9"/>
  <c r="U18" i="9"/>
  <c r="U9" i="9"/>
  <c r="U17" i="9"/>
  <c r="U34" i="9"/>
  <c r="U42" i="9"/>
  <c r="U50" i="9"/>
  <c r="AH39" i="9"/>
  <c r="AH21" i="9"/>
  <c r="AH38" i="9"/>
  <c r="AH36" i="9"/>
  <c r="AH47" i="9"/>
  <c r="AH11" i="9"/>
  <c r="AH6" i="9"/>
  <c r="AH42" i="9"/>
  <c r="AH7" i="9"/>
  <c r="AH10" i="9"/>
  <c r="AH19" i="9"/>
  <c r="M50" i="7"/>
  <c r="V54" i="8"/>
  <c r="V58" i="8" s="1"/>
  <c r="V54" i="9"/>
  <c r="V54" i="7"/>
  <c r="L17" i="9"/>
  <c r="AI39" i="9"/>
  <c r="L49" i="9"/>
  <c r="M8" i="7"/>
  <c r="R36" i="9"/>
  <c r="AI50" i="9"/>
  <c r="L34" i="9"/>
  <c r="AI37" i="9"/>
  <c r="L32" i="9"/>
  <c r="R13" i="9"/>
  <c r="R46" i="9"/>
  <c r="R15" i="9"/>
  <c r="R9" i="9"/>
  <c r="R8" i="9"/>
  <c r="R16" i="9"/>
  <c r="R24" i="9"/>
  <c r="M30" i="7"/>
  <c r="L11" i="9"/>
  <c r="L29" i="9"/>
  <c r="L21" i="9"/>
  <c r="X16" i="9"/>
  <c r="X47" i="9"/>
  <c r="X23" i="9"/>
  <c r="X17" i="9"/>
  <c r="X38" i="9"/>
  <c r="X22" i="9"/>
  <c r="P19" i="8"/>
  <c r="P19" i="27" s="1"/>
  <c r="P71" i="27" s="1"/>
  <c r="P19" i="9"/>
  <c r="V32" i="7"/>
  <c r="V27" i="7"/>
  <c r="V25" i="7"/>
  <c r="V23" i="7"/>
  <c r="V21" i="7"/>
  <c r="V51" i="7"/>
  <c r="V49" i="7"/>
  <c r="V47" i="7"/>
  <c r="V45" i="7"/>
  <c r="V43" i="7"/>
  <c r="V41" i="7"/>
  <c r="V39" i="7"/>
  <c r="V37" i="7"/>
  <c r="V35" i="7"/>
  <c r="V33" i="7"/>
  <c r="V30" i="7"/>
  <c r="V50" i="7"/>
  <c r="V42" i="7"/>
  <c r="V34" i="7"/>
  <c r="V31" i="7"/>
  <c r="V22" i="7"/>
  <c r="V16" i="7"/>
  <c r="V13" i="7"/>
  <c r="V8" i="7"/>
  <c r="V46" i="7"/>
  <c r="V48" i="7"/>
  <c r="V40" i="7"/>
  <c r="V28" i="7"/>
  <c r="V20" i="7"/>
  <c r="V19" i="7"/>
  <c r="V14" i="7"/>
  <c r="V11" i="7"/>
  <c r="V7" i="7"/>
  <c r="V5" i="7"/>
  <c r="V36" i="7"/>
  <c r="V26" i="7"/>
  <c r="V10" i="7"/>
  <c r="V9" i="7"/>
  <c r="V15" i="7"/>
  <c r="V38" i="7"/>
  <c r="V29" i="7"/>
  <c r="V24" i="7"/>
  <c r="V18" i="7"/>
  <c r="V17" i="7"/>
  <c r="V12" i="7"/>
  <c r="V6" i="7"/>
  <c r="V44" i="7"/>
  <c r="Z28" i="11"/>
  <c r="Z8" i="11"/>
  <c r="Z40" i="11"/>
  <c r="Z34" i="11"/>
  <c r="Z13" i="11"/>
  <c r="Z9" i="11"/>
  <c r="Z5" i="11"/>
  <c r="Z42" i="11"/>
  <c r="Z20" i="11"/>
  <c r="Z15" i="11"/>
  <c r="Z7" i="11"/>
  <c r="Z36" i="11"/>
  <c r="Z32" i="11"/>
  <c r="Z22" i="11"/>
  <c r="Z6" i="11"/>
  <c r="Z26" i="11"/>
  <c r="Z24" i="11"/>
  <c r="Z19" i="11"/>
  <c r="Z10" i="11"/>
  <c r="Z11" i="11"/>
  <c r="Z18" i="11"/>
  <c r="Z16" i="11"/>
  <c r="Z14" i="11"/>
  <c r="Z31" i="11"/>
  <c r="Z33" i="11"/>
  <c r="Z38" i="11"/>
  <c r="Z23" i="11"/>
  <c r="Z17" i="11"/>
  <c r="Z35" i="11"/>
  <c r="Z12" i="11"/>
  <c r="Z37" i="11"/>
  <c r="Z21" i="11"/>
  <c r="Z39" i="11"/>
  <c r="Z25" i="11"/>
  <c r="Z41" i="11"/>
  <c r="Z27" i="11"/>
  <c r="Z29" i="11"/>
  <c r="Z30" i="11"/>
  <c r="V10" i="11"/>
  <c r="V6" i="11"/>
  <c r="V15" i="11"/>
  <c r="V11" i="11"/>
  <c r="V7" i="11"/>
  <c r="V24" i="11"/>
  <c r="V16" i="11"/>
  <c r="V13" i="11"/>
  <c r="V8" i="11"/>
  <c r="V5" i="11"/>
  <c r="V18" i="11"/>
  <c r="V22" i="11"/>
  <c r="V17" i="11"/>
  <c r="V12" i="11"/>
  <c r="V9" i="11"/>
  <c r="V20" i="11"/>
  <c r="V14" i="11"/>
  <c r="V23" i="11"/>
  <c r="V33" i="11"/>
  <c r="V39" i="11"/>
  <c r="V32" i="11"/>
  <c r="V34" i="11"/>
  <c r="V37" i="11"/>
  <c r="V27" i="11"/>
  <c r="V36" i="11"/>
  <c r="V38" i="11"/>
  <c r="V25" i="11"/>
  <c r="V41" i="11"/>
  <c r="V31" i="11"/>
  <c r="V40" i="11"/>
  <c r="V26" i="11"/>
  <c r="V42" i="11"/>
  <c r="V29" i="11"/>
  <c r="V19" i="11"/>
  <c r="V35" i="11"/>
  <c r="V28" i="11"/>
  <c r="V21" i="11"/>
  <c r="V30" i="11"/>
  <c r="L31" i="9"/>
  <c r="L48" i="9"/>
  <c r="L50" i="9"/>
  <c r="AI33" i="9"/>
  <c r="R45" i="9"/>
  <c r="R30" i="9"/>
  <c r="L19" i="9"/>
  <c r="R31" i="9"/>
  <c r="AI22" i="9"/>
  <c r="R33" i="9"/>
  <c r="R27" i="9"/>
  <c r="R40" i="9"/>
  <c r="R21" i="9"/>
  <c r="R17" i="9"/>
  <c r="R10" i="9"/>
  <c r="R18" i="9"/>
  <c r="R26" i="9"/>
  <c r="M38" i="7"/>
  <c r="L16" i="9"/>
  <c r="L13" i="9"/>
  <c r="L44" i="9"/>
  <c r="L28" i="9"/>
  <c r="L23" i="9"/>
  <c r="M45" i="7"/>
  <c r="X21" i="9"/>
  <c r="X8" i="9"/>
  <c r="X5" i="9"/>
  <c r="X53" i="7"/>
  <c r="X58" i="7" s="1"/>
  <c r="X18" i="8" s="1"/>
  <c r="W18" i="27" s="1"/>
  <c r="W70" i="27" s="1"/>
  <c r="X6" i="9"/>
  <c r="X32" i="9"/>
  <c r="X49" i="9"/>
  <c r="X25" i="9"/>
  <c r="X29" i="9"/>
  <c r="X40" i="9"/>
  <c r="X48" i="9"/>
  <c r="X24" i="9"/>
  <c r="S47" i="13"/>
  <c r="S47" i="12"/>
  <c r="S47" i="10"/>
  <c r="S47" i="11"/>
  <c r="AI23" i="9"/>
  <c r="AI41" i="9"/>
  <c r="AI32" i="9"/>
  <c r="AI6" i="9"/>
  <c r="AI53" i="7"/>
  <c r="AI58" i="7" s="1"/>
  <c r="AI25" i="8" s="1"/>
  <c r="AE25" i="27" s="1"/>
  <c r="AE77" i="27" s="1"/>
  <c r="AI5" i="9"/>
  <c r="AI10" i="9"/>
  <c r="AI18" i="8"/>
  <c r="AE18" i="27" s="1"/>
  <c r="AE70" i="27" s="1"/>
  <c r="AI18" i="9"/>
  <c r="O37" i="9"/>
  <c r="Q47" i="9"/>
  <c r="M21" i="7"/>
  <c r="M48" i="7"/>
  <c r="P49" i="8"/>
  <c r="P49" i="27" s="1"/>
  <c r="P101" i="27" s="1"/>
  <c r="P49" i="9"/>
  <c r="P41" i="8"/>
  <c r="P41" i="27" s="1"/>
  <c r="P93" i="27" s="1"/>
  <c r="P41" i="9"/>
  <c r="P47" i="8"/>
  <c r="P47" i="27" s="1"/>
  <c r="P99" i="27" s="1"/>
  <c r="P47" i="9"/>
  <c r="P24" i="8"/>
  <c r="P24" i="9"/>
  <c r="P22" i="8"/>
  <c r="P22" i="9"/>
  <c r="P12" i="8"/>
  <c r="P12" i="27" s="1"/>
  <c r="P64" i="27" s="1"/>
  <c r="P12" i="9"/>
  <c r="P26" i="8"/>
  <c r="P26" i="9"/>
  <c r="P20" i="8"/>
  <c r="P20" i="27" s="1"/>
  <c r="P72" i="27" s="1"/>
  <c r="P20" i="9"/>
  <c r="P13" i="8"/>
  <c r="P13" i="27" s="1"/>
  <c r="P65" i="27" s="1"/>
  <c r="P13" i="9"/>
  <c r="P21" i="8"/>
  <c r="P21" i="9"/>
  <c r="P29" i="8"/>
  <c r="P29" i="9"/>
  <c r="M20" i="7"/>
  <c r="AD40" i="7"/>
  <c r="AC40" i="9"/>
  <c r="AD40" i="9" s="1"/>
  <c r="AD51" i="7"/>
  <c r="AC51" i="9"/>
  <c r="AD51" i="9" s="1"/>
  <c r="AD41" i="7"/>
  <c r="AC41" i="9"/>
  <c r="AD41" i="9" s="1"/>
  <c r="AD28" i="7"/>
  <c r="AC28" i="9"/>
  <c r="AD28" i="9" s="1"/>
  <c r="AD34" i="7"/>
  <c r="AC34" i="9"/>
  <c r="AD34" i="9" s="1"/>
  <c r="AD13" i="7"/>
  <c r="AC13" i="9"/>
  <c r="AD13" i="9" s="1"/>
  <c r="AD8" i="7"/>
  <c r="AC8" i="9"/>
  <c r="AD8" i="9" s="1"/>
  <c r="AD5" i="7"/>
  <c r="AC5" i="9"/>
  <c r="AC53" i="7"/>
  <c r="AC58" i="7" s="1"/>
  <c r="AC46" i="8" s="1"/>
  <c r="AA46" i="27" s="1"/>
  <c r="AA98" i="27" s="1"/>
  <c r="AD9" i="7"/>
  <c r="AC9" i="9"/>
  <c r="AD9" i="9" s="1"/>
  <c r="AD11" i="7"/>
  <c r="AC11" i="9"/>
  <c r="AD11" i="9" s="1"/>
  <c r="M33" i="7"/>
  <c r="O46" i="9"/>
  <c r="Q25" i="9"/>
  <c r="AD44" i="7"/>
  <c r="AC44" i="9"/>
  <c r="AD44" i="9" s="1"/>
  <c r="M44" i="7"/>
  <c r="O43" i="9"/>
  <c r="O28" i="9"/>
  <c r="O38" i="9"/>
  <c r="O32" i="9"/>
  <c r="O7" i="9"/>
  <c r="O33" i="9"/>
  <c r="O21" i="9"/>
  <c r="O6" i="9"/>
  <c r="O19" i="9"/>
  <c r="O25" i="9"/>
  <c r="W13" i="9"/>
  <c r="W29" i="9"/>
  <c r="W21" i="9"/>
  <c r="W25" i="9"/>
  <c r="W5" i="9"/>
  <c r="W53" i="7"/>
  <c r="W58" i="7" s="1"/>
  <c r="W39" i="8" s="1"/>
  <c r="V39" i="27" s="1"/>
  <c r="V91" i="27" s="1"/>
  <c r="W27" i="9"/>
  <c r="W10" i="9"/>
  <c r="W18" i="9"/>
  <c r="W26" i="9"/>
  <c r="W33" i="9"/>
  <c r="W41" i="9"/>
  <c r="W49" i="9"/>
  <c r="M43" i="7"/>
  <c r="Q44" i="8"/>
  <c r="Q44" i="27" s="1"/>
  <c r="Q96" i="27" s="1"/>
  <c r="Q44" i="9"/>
  <c r="Q18" i="9"/>
  <c r="Q42" i="9"/>
  <c r="Q33" i="9"/>
  <c r="Q20" i="8"/>
  <c r="Q20" i="27" s="1"/>
  <c r="Q72" i="27" s="1"/>
  <c r="Q20" i="9"/>
  <c r="Q10" i="9"/>
  <c r="Q6" i="8"/>
  <c r="Q6" i="27" s="1"/>
  <c r="Q58" i="27" s="1"/>
  <c r="Q6" i="9"/>
  <c r="Q53" i="7"/>
  <c r="Q58" i="7" s="1"/>
  <c r="Q7" i="8" s="1"/>
  <c r="Q7" i="27" s="1"/>
  <c r="Q59" i="27" s="1"/>
  <c r="Q5" i="9"/>
  <c r="Q14" i="9"/>
  <c r="Q27" i="8"/>
  <c r="Q27" i="27" s="1"/>
  <c r="Q79" i="27" s="1"/>
  <c r="Q27" i="9"/>
  <c r="U12" i="9"/>
  <c r="U35" i="9"/>
  <c r="U33" i="9"/>
  <c r="U16" i="9"/>
  <c r="U37" i="9"/>
  <c r="U6" i="9"/>
  <c r="U39" i="9"/>
  <c r="AB13" i="7"/>
  <c r="U13" i="9"/>
  <c r="U21" i="9"/>
  <c r="U32" i="9"/>
  <c r="U38" i="9"/>
  <c r="U46" i="9"/>
  <c r="AH30" i="9"/>
  <c r="AH28" i="9"/>
  <c r="AH51" i="9"/>
  <c r="AH23" i="9"/>
  <c r="AH49" i="9"/>
  <c r="AH40" i="9"/>
  <c r="AH17" i="9"/>
  <c r="AH29" i="9"/>
  <c r="AH14" i="9"/>
  <c r="AH13" i="9"/>
  <c r="AH18" i="9"/>
  <c r="M39" i="7"/>
  <c r="M16" i="7"/>
  <c r="M10" i="7"/>
  <c r="M15" i="7"/>
  <c r="M5" i="7"/>
  <c r="M6" i="7"/>
  <c r="M9" i="7"/>
  <c r="M12" i="7"/>
  <c r="M51" i="7"/>
  <c r="AI46" i="8"/>
  <c r="AE46" i="27" s="1"/>
  <c r="AE98" i="27" s="1"/>
  <c r="AI46" i="9"/>
  <c r="M25" i="7"/>
  <c r="AI30" i="9"/>
  <c r="L37" i="9"/>
  <c r="R6" i="9"/>
  <c r="R19" i="9"/>
  <c r="R25" i="9"/>
  <c r="R7" i="9"/>
  <c r="R29" i="9"/>
  <c r="R14" i="9"/>
  <c r="R22" i="9"/>
  <c r="M14" i="7"/>
  <c r="L6" i="9"/>
  <c r="L10" i="9"/>
  <c r="X10" i="9"/>
  <c r="X33" i="9"/>
  <c r="X14" i="9"/>
  <c r="X44" i="9"/>
  <c r="AI47" i="9"/>
  <c r="O13" i="9"/>
  <c r="W6" i="9"/>
  <c r="W9" i="9"/>
  <c r="W11" i="9"/>
  <c r="W14" i="9"/>
  <c r="W31" i="9"/>
  <c r="W45" i="9"/>
  <c r="Q41" i="9"/>
  <c r="Q37" i="8"/>
  <c r="Q37" i="27" s="1"/>
  <c r="Q89" i="27" s="1"/>
  <c r="Q37" i="9"/>
  <c r="Q38" i="9"/>
  <c r="Q22" i="8"/>
  <c r="Q22" i="27" s="1"/>
  <c r="Q74" i="27" s="1"/>
  <c r="Q22" i="9"/>
  <c r="Q24" i="9"/>
  <c r="P40" i="8"/>
  <c r="P40" i="27" s="1"/>
  <c r="P92" i="27" s="1"/>
  <c r="P40" i="9"/>
  <c r="U49" i="9"/>
  <c r="U30" i="9"/>
  <c r="U25" i="9"/>
  <c r="L30" i="9"/>
  <c r="L45" i="13"/>
  <c r="L45" i="12"/>
  <c r="L49" i="12" s="1"/>
  <c r="L45" i="11"/>
  <c r="L49" i="11" s="1"/>
  <c r="L45" i="10"/>
  <c r="Y54" i="9"/>
  <c r="Y54" i="7"/>
  <c r="Y54" i="8"/>
  <c r="Y58" i="8" s="1"/>
  <c r="L47" i="9"/>
  <c r="AI26" i="9"/>
  <c r="R50" i="9"/>
  <c r="R43" i="9"/>
  <c r="AI49" i="9"/>
  <c r="M8" i="11"/>
  <c r="M11" i="11"/>
  <c r="M7" i="11"/>
  <c r="M25" i="11"/>
  <c r="M18" i="11"/>
  <c r="M17" i="11"/>
  <c r="M15" i="11"/>
  <c r="M13" i="11"/>
  <c r="M10" i="11"/>
  <c r="M5" i="11"/>
  <c r="M20" i="11"/>
  <c r="M9" i="11"/>
  <c r="M22" i="11"/>
  <c r="M16" i="11"/>
  <c r="M6" i="11"/>
  <c r="M21" i="11"/>
  <c r="M14" i="11"/>
  <c r="M19" i="11"/>
  <c r="M24" i="11"/>
  <c r="M23" i="11"/>
  <c r="M35" i="11"/>
  <c r="M33" i="11"/>
  <c r="M38" i="11"/>
  <c r="M32" i="11"/>
  <c r="M39" i="11"/>
  <c r="M37" i="11"/>
  <c r="M26" i="11"/>
  <c r="M42" i="11"/>
  <c r="M36" i="11"/>
  <c r="M27" i="11"/>
  <c r="M12" i="11"/>
  <c r="M41" i="11"/>
  <c r="M30" i="11"/>
  <c r="M40" i="11"/>
  <c r="M34" i="11"/>
  <c r="M31" i="11"/>
  <c r="M29" i="11"/>
  <c r="M28" i="11"/>
  <c r="Z53" i="8"/>
  <c r="M13" i="7"/>
  <c r="L35" i="9"/>
  <c r="L12" i="9"/>
  <c r="R47" i="9"/>
  <c r="AI43" i="8"/>
  <c r="AE43" i="27" s="1"/>
  <c r="AE95" i="27" s="1"/>
  <c r="AI43" i="9"/>
  <c r="R49" i="9"/>
  <c r="O40" i="11"/>
  <c r="O28" i="11"/>
  <c r="O10" i="11"/>
  <c r="O6" i="11"/>
  <c r="O37" i="11"/>
  <c r="O36" i="11"/>
  <c r="O32" i="11"/>
  <c r="O24" i="11"/>
  <c r="O20" i="11"/>
  <c r="O16" i="11"/>
  <c r="O8" i="11"/>
  <c r="O9" i="11"/>
  <c r="O7" i="11"/>
  <c r="O22" i="11"/>
  <c r="O11" i="11"/>
  <c r="O13" i="11"/>
  <c r="O18" i="11"/>
  <c r="O5" i="11"/>
  <c r="O29" i="11"/>
  <c r="O31" i="11"/>
  <c r="O33" i="11"/>
  <c r="O38" i="11"/>
  <c r="O15" i="11"/>
  <c r="O19" i="11"/>
  <c r="O35" i="11"/>
  <c r="O17" i="11"/>
  <c r="O41" i="11"/>
  <c r="O26" i="11"/>
  <c r="O42" i="11"/>
  <c r="O14" i="11"/>
  <c r="O23" i="11"/>
  <c r="O39" i="11"/>
  <c r="O21" i="11"/>
  <c r="O30" i="11"/>
  <c r="O12" i="11"/>
  <c r="O34" i="11"/>
  <c r="O27" i="11"/>
  <c r="O25" i="11"/>
  <c r="M17" i="7"/>
  <c r="R38" i="9"/>
  <c r="R11" i="9"/>
  <c r="R5" i="9"/>
  <c r="R53" i="7"/>
  <c r="R23" i="9"/>
  <c r="R12" i="9"/>
  <c r="R20" i="9"/>
  <c r="R28" i="9"/>
  <c r="M46" i="7"/>
  <c r="M11" i="7"/>
  <c r="L26" i="9"/>
  <c r="L14" i="9"/>
  <c r="L5" i="9"/>
  <c r="L53" i="7"/>
  <c r="L58" i="7" s="1"/>
  <c r="L15" i="8" s="1"/>
  <c r="L15" i="27" s="1"/>
  <c r="L67" i="27" s="1"/>
  <c r="L9" i="9"/>
  <c r="L27" i="9"/>
  <c r="X7" i="8"/>
  <c r="W7" i="27" s="1"/>
  <c r="W59" i="27" s="1"/>
  <c r="X7" i="9"/>
  <c r="X11" i="9"/>
  <c r="X13" i="8"/>
  <c r="W13" i="27" s="1"/>
  <c r="W65" i="27" s="1"/>
  <c r="X13" i="9"/>
  <c r="X19" i="9"/>
  <c r="X12" i="8"/>
  <c r="W12" i="27" s="1"/>
  <c r="W64" i="27" s="1"/>
  <c r="X12" i="9"/>
  <c r="X35" i="9"/>
  <c r="X9" i="8"/>
  <c r="W9" i="27" s="1"/>
  <c r="W61" i="27" s="1"/>
  <c r="X9" i="9"/>
  <c r="X30" i="9"/>
  <c r="X34" i="8"/>
  <c r="W34" i="27" s="1"/>
  <c r="W86" i="27" s="1"/>
  <c r="X34" i="9"/>
  <c r="X42" i="9"/>
  <c r="X50" i="8"/>
  <c r="W50" i="27" s="1"/>
  <c r="W102" i="27" s="1"/>
  <c r="X50" i="9"/>
  <c r="X26" i="9"/>
  <c r="AI34" i="8"/>
  <c r="AE34" i="27" s="1"/>
  <c r="AE86" i="27" s="1"/>
  <c r="AI34" i="9"/>
  <c r="AI38" i="9"/>
  <c r="AI31" i="8"/>
  <c r="AE31" i="27" s="1"/>
  <c r="AE83" i="27" s="1"/>
  <c r="AI31" i="9"/>
  <c r="AI9" i="9"/>
  <c r="AI27" i="8"/>
  <c r="AE27" i="27" s="1"/>
  <c r="AE79" i="27" s="1"/>
  <c r="AI27" i="9"/>
  <c r="AI19" i="9"/>
  <c r="AI7" i="8"/>
  <c r="AE7" i="27" s="1"/>
  <c r="AE59" i="27" s="1"/>
  <c r="AI7" i="9"/>
  <c r="AI12" i="9"/>
  <c r="AI20" i="8"/>
  <c r="AE20" i="27" s="1"/>
  <c r="AE72" i="27" s="1"/>
  <c r="AI20" i="9"/>
  <c r="Q30" i="8"/>
  <c r="Q30" i="27" s="1"/>
  <c r="Q82" i="27" s="1"/>
  <c r="AD49" i="7"/>
  <c r="AC49" i="9"/>
  <c r="AD49" i="9" s="1"/>
  <c r="M18" i="7"/>
  <c r="P50" i="8"/>
  <c r="P50" i="27" s="1"/>
  <c r="P102" i="27" s="1"/>
  <c r="P50" i="9"/>
  <c r="P36" i="8"/>
  <c r="P36" i="27" s="1"/>
  <c r="P88" i="27" s="1"/>
  <c r="P36" i="9"/>
  <c r="P48" i="8"/>
  <c r="P48" i="27" s="1"/>
  <c r="P100" i="27" s="1"/>
  <c r="P48" i="9"/>
  <c r="P33" i="8"/>
  <c r="P33" i="27" s="1"/>
  <c r="P85" i="27" s="1"/>
  <c r="P33" i="9"/>
  <c r="P45" i="8"/>
  <c r="P45" i="27" s="1"/>
  <c r="P97" i="27" s="1"/>
  <c r="P45" i="9"/>
  <c r="P37" i="8"/>
  <c r="P37" i="27" s="1"/>
  <c r="P89" i="27" s="1"/>
  <c r="P37" i="9"/>
  <c r="P18" i="8"/>
  <c r="P18" i="27" s="1"/>
  <c r="P70" i="27" s="1"/>
  <c r="P18" i="9"/>
  <c r="P6" i="8"/>
  <c r="P6" i="27" s="1"/>
  <c r="P58" i="27" s="1"/>
  <c r="P6" i="9"/>
  <c r="P28" i="8"/>
  <c r="P28" i="9"/>
  <c r="P15" i="8"/>
  <c r="P15" i="27" s="1"/>
  <c r="P67" i="27" s="1"/>
  <c r="P15" i="9"/>
  <c r="P23" i="8"/>
  <c r="P23" i="9"/>
  <c r="M31" i="7"/>
  <c r="M49" i="7"/>
  <c r="AD30" i="7"/>
  <c r="AC30" i="9"/>
  <c r="AD30" i="9" s="1"/>
  <c r="AH43" i="9"/>
  <c r="M7" i="7"/>
  <c r="AD22" i="7"/>
  <c r="AC22" i="9"/>
  <c r="AD22" i="9" s="1"/>
  <c r="AD42" i="7"/>
  <c r="AC42" i="9"/>
  <c r="AD42" i="9" s="1"/>
  <c r="AD43" i="7"/>
  <c r="AC43" i="9"/>
  <c r="AD43" i="9" s="1"/>
  <c r="AD37" i="7"/>
  <c r="AC37" i="9"/>
  <c r="AD37" i="9" s="1"/>
  <c r="AD21" i="7"/>
  <c r="AC21" i="9"/>
  <c r="AD21" i="9" s="1"/>
  <c r="AD18" i="7"/>
  <c r="AC18" i="9"/>
  <c r="AD18" i="9" s="1"/>
  <c r="AD15" i="7"/>
  <c r="AC15" i="9"/>
  <c r="AD15" i="9" s="1"/>
  <c r="AD10" i="7"/>
  <c r="AC10" i="9"/>
  <c r="AD10" i="9" s="1"/>
  <c r="AD12" i="7"/>
  <c r="AC12" i="9"/>
  <c r="AD12" i="9" s="1"/>
  <c r="AD14" i="7"/>
  <c r="AC14" i="9"/>
  <c r="AD14" i="9" s="1"/>
  <c r="O36" i="9"/>
  <c r="O42" i="9"/>
  <c r="O49" i="9"/>
  <c r="O23" i="9"/>
  <c r="O50" i="9"/>
  <c r="O14" i="9"/>
  <c r="O39" i="9"/>
  <c r="O5" i="9"/>
  <c r="O53" i="7"/>
  <c r="O58" i="7" s="1"/>
  <c r="O26" i="8" s="1"/>
  <c r="O26" i="27" s="1"/>
  <c r="O78" i="27" s="1"/>
  <c r="O8" i="9"/>
  <c r="O10" i="9"/>
  <c r="O20" i="9"/>
  <c r="W50" i="9"/>
  <c r="W34" i="9"/>
  <c r="W32" i="9"/>
  <c r="W38" i="9"/>
  <c r="W7" i="9"/>
  <c r="W40" i="9"/>
  <c r="W12" i="9"/>
  <c r="W20" i="9"/>
  <c r="W28" i="9"/>
  <c r="W35" i="9"/>
  <c r="W43" i="9"/>
  <c r="W51" i="9"/>
  <c r="Q43" i="8"/>
  <c r="Q43" i="27" s="1"/>
  <c r="Q95" i="27" s="1"/>
  <c r="Q43" i="9"/>
  <c r="Q46" i="8"/>
  <c r="Q46" i="27" s="1"/>
  <c r="Q98" i="27" s="1"/>
  <c r="Q46" i="9"/>
  <c r="Q39" i="8"/>
  <c r="Q39" i="27" s="1"/>
  <c r="Q91" i="27" s="1"/>
  <c r="Q39" i="9"/>
  <c r="Q51" i="8"/>
  <c r="Q51" i="27" s="1"/>
  <c r="Q103" i="27" s="1"/>
  <c r="Q51" i="9"/>
  <c r="Q19" i="8"/>
  <c r="Q19" i="27" s="1"/>
  <c r="Q71" i="27" s="1"/>
  <c r="Q19" i="9"/>
  <c r="Q15" i="8"/>
  <c r="Q15" i="27" s="1"/>
  <c r="Q67" i="27" s="1"/>
  <c r="Q15" i="9"/>
  <c r="Q16" i="8"/>
  <c r="Q16" i="27" s="1"/>
  <c r="Q68" i="27" s="1"/>
  <c r="Q16" i="9"/>
  <c r="Q13" i="8"/>
  <c r="Q13" i="27" s="1"/>
  <c r="Q65" i="27" s="1"/>
  <c r="Q13" i="9"/>
  <c r="Q9" i="8"/>
  <c r="Q9" i="27" s="1"/>
  <c r="Q61" i="27" s="1"/>
  <c r="Q9" i="9"/>
  <c r="Q26" i="8"/>
  <c r="Q26" i="27" s="1"/>
  <c r="Q78" i="27" s="1"/>
  <c r="Q26" i="9"/>
  <c r="S46" i="13"/>
  <c r="S46" i="12"/>
  <c r="S46" i="11"/>
  <c r="S46" i="10"/>
  <c r="AD27" i="7"/>
  <c r="AD29" i="7"/>
  <c r="AC29" i="9"/>
  <c r="AD29" i="9" s="1"/>
  <c r="U41" i="9"/>
  <c r="U53" i="7"/>
  <c r="U58" i="7" s="1"/>
  <c r="U20" i="8" s="1"/>
  <c r="T20" i="27" s="1"/>
  <c r="T72" i="27" s="1"/>
  <c r="U5" i="9"/>
  <c r="U7" i="9"/>
  <c r="U22" i="9"/>
  <c r="U45" i="9"/>
  <c r="AB10" i="7"/>
  <c r="U10" i="9"/>
  <c r="U47" i="9"/>
  <c r="U15" i="9"/>
  <c r="U29" i="9"/>
  <c r="U40" i="9"/>
  <c r="U48" i="9"/>
  <c r="AH41" i="9"/>
  <c r="AH46" i="9"/>
  <c r="AH35" i="9"/>
  <c r="AH26" i="9"/>
  <c r="AH33" i="9"/>
  <c r="AH22" i="9"/>
  <c r="AH50" i="9"/>
  <c r="AH34" i="9"/>
  <c r="AH5" i="9"/>
  <c r="AH53" i="7"/>
  <c r="AH58" i="7" s="1"/>
  <c r="AH37" i="8" s="1"/>
  <c r="AD37" i="27" s="1"/>
  <c r="AD89" i="27" s="1"/>
  <c r="AH16" i="9"/>
  <c r="AH20" i="9"/>
  <c r="M26" i="7"/>
  <c r="D4" i="5"/>
  <c r="N56" i="6" s="1"/>
  <c r="D35" i="5"/>
  <c r="P14" i="29" l="1"/>
  <c r="O14" i="29"/>
  <c r="Q42" i="8"/>
  <c r="Q42" i="27" s="1"/>
  <c r="Q94" i="27" s="1"/>
  <c r="T41" i="28"/>
  <c r="T84" i="28" s="1"/>
  <c r="T22" i="28"/>
  <c r="T65" i="28" s="1"/>
  <c r="V48" i="11"/>
  <c r="V48" i="12"/>
  <c r="P49" i="10"/>
  <c r="N49" i="10"/>
  <c r="F6" i="30"/>
  <c r="E6" i="30"/>
  <c r="X8" i="29"/>
  <c r="O8" i="8"/>
  <c r="O8" i="27" s="1"/>
  <c r="O60" i="27" s="1"/>
  <c r="L9" i="8"/>
  <c r="L9" i="27" s="1"/>
  <c r="L61" i="27" s="1"/>
  <c r="O14" i="28"/>
  <c r="O57" i="28" s="1"/>
  <c r="AB47" i="7"/>
  <c r="R36" i="28"/>
  <c r="R79" i="28" s="1"/>
  <c r="R5" i="28"/>
  <c r="R48" i="28" s="1"/>
  <c r="AB49" i="7"/>
  <c r="AB48" i="7"/>
  <c r="U48" i="12"/>
  <c r="U48" i="11"/>
  <c r="U49" i="10"/>
  <c r="M48" i="12"/>
  <c r="M48" i="11"/>
  <c r="K6" i="30"/>
  <c r="G6" i="30"/>
  <c r="O20" i="8"/>
  <c r="O20" i="27" s="1"/>
  <c r="O72" i="27" s="1"/>
  <c r="T38" i="28"/>
  <c r="T81" i="28" s="1"/>
  <c r="T5" i="28"/>
  <c r="T48" i="28" s="1"/>
  <c r="AB25" i="7"/>
  <c r="R37" i="28"/>
  <c r="R80" i="28" s="1"/>
  <c r="R8" i="28"/>
  <c r="R51" i="28" s="1"/>
  <c r="P16" i="8"/>
  <c r="P16" i="27" s="1"/>
  <c r="P68" i="27" s="1"/>
  <c r="R27" i="11"/>
  <c r="R33" i="11"/>
  <c r="R20" i="11"/>
  <c r="R9" i="11"/>
  <c r="R11" i="11"/>
  <c r="R10" i="11"/>
  <c r="R31" i="11"/>
  <c r="R36" i="11"/>
  <c r="R41" i="11"/>
  <c r="R21" i="11"/>
  <c r="R26" i="11"/>
  <c r="R30" i="11"/>
  <c r="R5" i="11"/>
  <c r="R15" i="11"/>
  <c r="R7" i="11"/>
  <c r="R37" i="11"/>
  <c r="R17" i="11"/>
  <c r="R22" i="11"/>
  <c r="R14" i="11"/>
  <c r="R42" i="11"/>
  <c r="R13" i="11"/>
  <c r="R12" i="11"/>
  <c r="R8" i="11"/>
  <c r="R19" i="11"/>
  <c r="R18" i="11"/>
  <c r="R35" i="11"/>
  <c r="R38" i="11"/>
  <c r="R39" i="11"/>
  <c r="R28" i="11"/>
  <c r="R16" i="11"/>
  <c r="R6" i="11"/>
  <c r="R23" i="11"/>
  <c r="R24" i="11"/>
  <c r="R34" i="11"/>
  <c r="R25" i="11"/>
  <c r="R40" i="11"/>
  <c r="R29" i="11"/>
  <c r="R32" i="11"/>
  <c r="O48" i="11"/>
  <c r="O48" i="12"/>
  <c r="N48" i="11"/>
  <c r="N48" i="12"/>
  <c r="H6" i="30"/>
  <c r="J6" i="30"/>
  <c r="I6" i="30"/>
  <c r="D6" i="30"/>
  <c r="O34" i="28"/>
  <c r="O77" i="28" s="1"/>
  <c r="O31" i="28"/>
  <c r="O74" i="28" s="1"/>
  <c r="O6" i="28"/>
  <c r="O49" i="28" s="1"/>
  <c r="M37" i="28"/>
  <c r="M80" i="28" s="1"/>
  <c r="V41" i="28"/>
  <c r="V84" i="28" s="1"/>
  <c r="V10" i="28"/>
  <c r="V53" i="28" s="1"/>
  <c r="V40" i="28"/>
  <c r="V83" i="28" s="1"/>
  <c r="AB16" i="7"/>
  <c r="P48" i="11"/>
  <c r="P48" i="12"/>
  <c r="T48" i="12"/>
  <c r="T48" i="11"/>
  <c r="L6" i="30"/>
  <c r="P13" i="29"/>
  <c r="O13" i="29"/>
  <c r="AB15" i="7"/>
  <c r="AB21" i="7"/>
  <c r="AC12" i="8"/>
  <c r="AC27" i="8"/>
  <c r="AC21" i="8"/>
  <c r="AB6" i="7"/>
  <c r="AC22" i="8"/>
  <c r="AB23" i="7"/>
  <c r="W43" i="8"/>
  <c r="V43" i="27" s="1"/>
  <c r="V95" i="27" s="1"/>
  <c r="W28" i="8"/>
  <c r="V28" i="27" s="1"/>
  <c r="V80" i="27" s="1"/>
  <c r="W12" i="8"/>
  <c r="V12" i="27" s="1"/>
  <c r="V64" i="27" s="1"/>
  <c r="W7" i="8"/>
  <c r="V7" i="27" s="1"/>
  <c r="V59" i="27" s="1"/>
  <c r="W32" i="8"/>
  <c r="V32" i="27" s="1"/>
  <c r="V84" i="27" s="1"/>
  <c r="W50" i="8"/>
  <c r="V50" i="27" s="1"/>
  <c r="V102" i="27" s="1"/>
  <c r="X10" i="8"/>
  <c r="W10" i="27" s="1"/>
  <c r="W62" i="27" s="1"/>
  <c r="X40" i="8"/>
  <c r="W40" i="27" s="1"/>
  <c r="W92" i="27" s="1"/>
  <c r="AB5" i="7"/>
  <c r="AB22" i="7"/>
  <c r="X26" i="8"/>
  <c r="W26" i="27" s="1"/>
  <c r="W78" i="27" s="1"/>
  <c r="X42" i="8"/>
  <c r="W42" i="27" s="1"/>
  <c r="W94" i="27" s="1"/>
  <c r="X30" i="8"/>
  <c r="W30" i="27" s="1"/>
  <c r="W82" i="27" s="1"/>
  <c r="X35" i="8"/>
  <c r="W35" i="27" s="1"/>
  <c r="W87" i="27" s="1"/>
  <c r="X19" i="8"/>
  <c r="W19" i="27" s="1"/>
  <c r="W71" i="27" s="1"/>
  <c r="X11" i="8"/>
  <c r="W11" i="27" s="1"/>
  <c r="W63" i="27" s="1"/>
  <c r="Y25" i="9"/>
  <c r="W14" i="8"/>
  <c r="V14" i="27" s="1"/>
  <c r="V66" i="27" s="1"/>
  <c r="X14" i="8"/>
  <c r="W14" i="27" s="1"/>
  <c r="W66" i="27" s="1"/>
  <c r="AB45" i="7"/>
  <c r="AB32" i="7"/>
  <c r="AB38" i="7"/>
  <c r="X25" i="8"/>
  <c r="W25" i="27" s="1"/>
  <c r="W77" i="27" s="1"/>
  <c r="W51" i="8"/>
  <c r="V51" i="27" s="1"/>
  <c r="V103" i="27" s="1"/>
  <c r="W35" i="8"/>
  <c r="V35" i="27" s="1"/>
  <c r="V87" i="27" s="1"/>
  <c r="W20" i="8"/>
  <c r="V20" i="27" s="1"/>
  <c r="V72" i="27" s="1"/>
  <c r="W40" i="8"/>
  <c r="V40" i="27" s="1"/>
  <c r="V92" i="27" s="1"/>
  <c r="W38" i="8"/>
  <c r="V38" i="27" s="1"/>
  <c r="V90" i="27" s="1"/>
  <c r="W34" i="8"/>
  <c r="V34" i="27" s="1"/>
  <c r="V86" i="27" s="1"/>
  <c r="W45" i="8"/>
  <c r="V45" i="27" s="1"/>
  <c r="V97" i="27" s="1"/>
  <c r="AC11" i="8"/>
  <c r="AA11" i="27" s="1"/>
  <c r="AA63" i="27" s="1"/>
  <c r="AB41" i="7"/>
  <c r="AC14" i="8"/>
  <c r="AC18" i="8"/>
  <c r="AC42" i="8"/>
  <c r="AC49" i="8"/>
  <c r="AC29" i="8"/>
  <c r="AC15" i="8"/>
  <c r="AC43" i="8"/>
  <c r="AC30" i="8"/>
  <c r="X44" i="8"/>
  <c r="W44" i="27" s="1"/>
  <c r="W96" i="27" s="1"/>
  <c r="X33" i="8"/>
  <c r="W33" i="27" s="1"/>
  <c r="W85" i="27" s="1"/>
  <c r="AC10" i="8"/>
  <c r="AA10" i="27" s="1"/>
  <c r="AA62" i="27" s="1"/>
  <c r="AC37" i="8"/>
  <c r="AA37" i="27" s="1"/>
  <c r="AA89" i="27" s="1"/>
  <c r="AB26" i="7"/>
  <c r="AB28" i="7"/>
  <c r="AB39" i="7"/>
  <c r="AB7" i="7"/>
  <c r="W9" i="8"/>
  <c r="V9" i="27" s="1"/>
  <c r="V61" i="27" s="1"/>
  <c r="AB44" i="7"/>
  <c r="AB18" i="7"/>
  <c r="AB14" i="7"/>
  <c r="AB34" i="7"/>
  <c r="AB46" i="7"/>
  <c r="AB33" i="7"/>
  <c r="AB37" i="7"/>
  <c r="AB12" i="7"/>
  <c r="AB29" i="7"/>
  <c r="AB40" i="7"/>
  <c r="AB35" i="7"/>
  <c r="AD46" i="8"/>
  <c r="AB24" i="7"/>
  <c r="AB9" i="7"/>
  <c r="AB19" i="7"/>
  <c r="AB42" i="7"/>
  <c r="U10" i="8"/>
  <c r="T10" i="27" s="1"/>
  <c r="T62" i="27" s="1"/>
  <c r="U47" i="8"/>
  <c r="T47" i="27" s="1"/>
  <c r="T99" i="27" s="1"/>
  <c r="AI49" i="8"/>
  <c r="AE49" i="27" s="1"/>
  <c r="AE101" i="27" s="1"/>
  <c r="AI26" i="8"/>
  <c r="AE26" i="27" s="1"/>
  <c r="AE78" i="27" s="1"/>
  <c r="AC41" i="8"/>
  <c r="AA41" i="27" s="1"/>
  <c r="AA93" i="27" s="1"/>
  <c r="AB36" i="7"/>
  <c r="U7" i="8"/>
  <c r="T7" i="27" s="1"/>
  <c r="T59" i="27" s="1"/>
  <c r="U41" i="8"/>
  <c r="T41" i="27" s="1"/>
  <c r="T93" i="27" s="1"/>
  <c r="U40" i="8"/>
  <c r="T40" i="27" s="1"/>
  <c r="T92" i="27" s="1"/>
  <c r="U15" i="8"/>
  <c r="T15" i="27" s="1"/>
  <c r="T67" i="27" s="1"/>
  <c r="U22" i="8"/>
  <c r="T22" i="27" s="1"/>
  <c r="T74" i="27" s="1"/>
  <c r="AI12" i="8"/>
  <c r="AE12" i="27" s="1"/>
  <c r="AE64" i="27" s="1"/>
  <c r="AI19" i="8"/>
  <c r="AE19" i="27" s="1"/>
  <c r="AE71" i="27" s="1"/>
  <c r="AI9" i="8"/>
  <c r="AE9" i="27" s="1"/>
  <c r="AE61" i="27" s="1"/>
  <c r="AI38" i="8"/>
  <c r="AE38" i="27" s="1"/>
  <c r="AE90" i="27" s="1"/>
  <c r="L27" i="8"/>
  <c r="L27" i="27" s="1"/>
  <c r="L79" i="27" s="1"/>
  <c r="L53" i="9"/>
  <c r="AI47" i="8"/>
  <c r="AE47" i="27" s="1"/>
  <c r="AE99" i="27" s="1"/>
  <c r="Q5" i="8"/>
  <c r="Q5" i="27" s="1"/>
  <c r="Q57" i="27" s="1"/>
  <c r="Q10" i="8"/>
  <c r="Q10" i="27" s="1"/>
  <c r="Q62" i="27" s="1"/>
  <c r="Q33" i="8"/>
  <c r="Q33" i="27" s="1"/>
  <c r="Q85" i="27" s="1"/>
  <c r="Q18" i="8"/>
  <c r="Q18" i="27" s="1"/>
  <c r="Q70" i="27" s="1"/>
  <c r="AC44" i="8"/>
  <c r="AA44" i="27" s="1"/>
  <c r="AA96" i="27" s="1"/>
  <c r="AC8" i="8"/>
  <c r="AA8" i="27" s="1"/>
  <c r="AA60" i="27" s="1"/>
  <c r="AC40" i="8"/>
  <c r="AA40" i="27" s="1"/>
  <c r="AA92" i="27" s="1"/>
  <c r="AI10" i="8"/>
  <c r="AE10" i="27" s="1"/>
  <c r="AE62" i="27" s="1"/>
  <c r="X24" i="8"/>
  <c r="W24" i="27" s="1"/>
  <c r="W76" i="27" s="1"/>
  <c r="U45" i="8"/>
  <c r="T45" i="27" s="1"/>
  <c r="T97" i="27" s="1"/>
  <c r="U29" i="8"/>
  <c r="T29" i="27" s="1"/>
  <c r="T81" i="27" s="1"/>
  <c r="U5" i="8"/>
  <c r="T5" i="27" s="1"/>
  <c r="T57" i="27" s="1"/>
  <c r="U48" i="8"/>
  <c r="T48" i="27" s="1"/>
  <c r="T100" i="27" s="1"/>
  <c r="U23" i="8"/>
  <c r="T23" i="27" s="1"/>
  <c r="T75" i="27" s="1"/>
  <c r="O10" i="8"/>
  <c r="O10" i="27" s="1"/>
  <c r="O62" i="27" s="1"/>
  <c r="O53" i="9"/>
  <c r="Q24" i="8"/>
  <c r="Q24" i="27" s="1"/>
  <c r="Q76" i="27" s="1"/>
  <c r="Q38" i="8"/>
  <c r="Q38" i="27" s="1"/>
  <c r="Q90" i="27" s="1"/>
  <c r="Q41" i="8"/>
  <c r="Q41" i="27" s="1"/>
  <c r="Q93" i="27" s="1"/>
  <c r="W31" i="8"/>
  <c r="V31" i="27" s="1"/>
  <c r="V83" i="27" s="1"/>
  <c r="W11" i="8"/>
  <c r="V11" i="27" s="1"/>
  <c r="V63" i="27" s="1"/>
  <c r="W6" i="8"/>
  <c r="V6" i="27" s="1"/>
  <c r="V58" i="27" s="1"/>
  <c r="AI30" i="8"/>
  <c r="AE30" i="27" s="1"/>
  <c r="AE82" i="27" s="1"/>
  <c r="Q14" i="8"/>
  <c r="Q14" i="27" s="1"/>
  <c r="Q66" i="27" s="1"/>
  <c r="AC9" i="8"/>
  <c r="AA9" i="27" s="1"/>
  <c r="AA61" i="27" s="1"/>
  <c r="AC5" i="8"/>
  <c r="AA5" i="27" s="1"/>
  <c r="AA57" i="27" s="1"/>
  <c r="AC34" i="8"/>
  <c r="AA34" i="27" s="1"/>
  <c r="AA86" i="27" s="1"/>
  <c r="AC28" i="8"/>
  <c r="AA28" i="27" s="1"/>
  <c r="AA80" i="27" s="1"/>
  <c r="X32" i="8"/>
  <c r="W32" i="27" s="1"/>
  <c r="W84" i="27" s="1"/>
  <c r="P39" i="8"/>
  <c r="P39" i="27" s="1"/>
  <c r="P91" i="27" s="1"/>
  <c r="AH20" i="8"/>
  <c r="AD20" i="27" s="1"/>
  <c r="AD72" i="27" s="1"/>
  <c r="AH53" i="9"/>
  <c r="O5" i="8"/>
  <c r="O5" i="27" s="1"/>
  <c r="O57" i="27" s="1"/>
  <c r="O14" i="8"/>
  <c r="O14" i="27" s="1"/>
  <c r="O66" i="27" s="1"/>
  <c r="O23" i="8"/>
  <c r="O23" i="27" s="1"/>
  <c r="O75" i="27" s="1"/>
  <c r="O42" i="8"/>
  <c r="O42" i="27" s="1"/>
  <c r="O94" i="27" s="1"/>
  <c r="M31" i="9"/>
  <c r="L5" i="8"/>
  <c r="L5" i="27" s="1"/>
  <c r="L57" i="27" s="1"/>
  <c r="L26" i="8"/>
  <c r="L26" i="27" s="1"/>
  <c r="L78" i="27" s="1"/>
  <c r="R53" i="9"/>
  <c r="M17" i="9"/>
  <c r="O12" i="12"/>
  <c r="O12" i="28" s="1"/>
  <c r="O55" i="28" s="1"/>
  <c r="O12" i="13"/>
  <c r="O23" i="12"/>
  <c r="O23" i="13"/>
  <c r="O23" i="28" s="1"/>
  <c r="O66" i="28" s="1"/>
  <c r="O41" i="12"/>
  <c r="O41" i="28" s="1"/>
  <c r="O84" i="28" s="1"/>
  <c r="O41" i="13"/>
  <c r="O15" i="12"/>
  <c r="O15" i="28" s="1"/>
  <c r="O58" i="28" s="1"/>
  <c r="O15" i="13"/>
  <c r="O29" i="12"/>
  <c r="O29" i="28" s="1"/>
  <c r="O72" i="28" s="1"/>
  <c r="O29" i="13"/>
  <c r="O11" i="12"/>
  <c r="O11" i="13"/>
  <c r="O11" i="28" s="1"/>
  <c r="O54" i="28" s="1"/>
  <c r="O8" i="12"/>
  <c r="O8" i="28" s="1"/>
  <c r="O51" i="28" s="1"/>
  <c r="O8" i="13"/>
  <c r="O32" i="12"/>
  <c r="O32" i="28" s="1"/>
  <c r="O75" i="28" s="1"/>
  <c r="O32" i="13"/>
  <c r="O10" i="12"/>
  <c r="O10" i="28" s="1"/>
  <c r="O53" i="28" s="1"/>
  <c r="O10" i="13"/>
  <c r="L35" i="8"/>
  <c r="L35" i="27" s="1"/>
  <c r="L87" i="27" s="1"/>
  <c r="M28" i="12"/>
  <c r="M28" i="28" s="1"/>
  <c r="M71" i="28" s="1"/>
  <c r="M28" i="13"/>
  <c r="M40" i="12"/>
  <c r="M40" i="28" s="1"/>
  <c r="M83" i="28" s="1"/>
  <c r="M40" i="13"/>
  <c r="M27" i="12"/>
  <c r="M27" i="28" s="1"/>
  <c r="M70" i="28" s="1"/>
  <c r="M27" i="13"/>
  <c r="M37" i="12"/>
  <c r="M37" i="13"/>
  <c r="M33" i="12"/>
  <c r="M33" i="28" s="1"/>
  <c r="M76" i="28" s="1"/>
  <c r="M33" i="13"/>
  <c r="M19" i="12"/>
  <c r="M19" i="28" s="1"/>
  <c r="M62" i="28" s="1"/>
  <c r="M19" i="13"/>
  <c r="M16" i="12"/>
  <c r="M16" i="28" s="1"/>
  <c r="M59" i="28" s="1"/>
  <c r="M16" i="13"/>
  <c r="M5" i="12"/>
  <c r="M44" i="11"/>
  <c r="M5" i="13"/>
  <c r="M5" i="28" s="1"/>
  <c r="M48" i="28" s="1"/>
  <c r="M17" i="12"/>
  <c r="M17" i="28" s="1"/>
  <c r="M60" i="28" s="1"/>
  <c r="M17" i="13"/>
  <c r="M11" i="12"/>
  <c r="M11" i="28" s="1"/>
  <c r="M54" i="28" s="1"/>
  <c r="M11" i="13"/>
  <c r="U49" i="8"/>
  <c r="T49" i="27" s="1"/>
  <c r="T101" i="27" s="1"/>
  <c r="L6" i="8"/>
  <c r="L6" i="27" s="1"/>
  <c r="L58" i="27" s="1"/>
  <c r="M12" i="9"/>
  <c r="M15" i="9"/>
  <c r="U6" i="8"/>
  <c r="T6" i="27" s="1"/>
  <c r="T58" i="27" s="1"/>
  <c r="U37" i="8"/>
  <c r="T37" i="27" s="1"/>
  <c r="T89" i="27" s="1"/>
  <c r="U35" i="8"/>
  <c r="T35" i="27" s="1"/>
  <c r="T87" i="27" s="1"/>
  <c r="W49" i="8"/>
  <c r="V49" i="27" s="1"/>
  <c r="V101" i="27" s="1"/>
  <c r="W33" i="8"/>
  <c r="V33" i="27" s="1"/>
  <c r="V85" i="27" s="1"/>
  <c r="W18" i="8"/>
  <c r="V18" i="27" s="1"/>
  <c r="V70" i="27" s="1"/>
  <c r="W27" i="8"/>
  <c r="V27" i="27" s="1"/>
  <c r="V79" i="27" s="1"/>
  <c r="M44" i="9"/>
  <c r="Q25" i="8"/>
  <c r="Q25" i="27" s="1"/>
  <c r="Q77" i="27" s="1"/>
  <c r="AI6" i="8"/>
  <c r="AE6" i="27" s="1"/>
  <c r="AE58" i="27" s="1"/>
  <c r="AI41" i="8"/>
  <c r="AE41" i="27" s="1"/>
  <c r="AE93" i="27" s="1"/>
  <c r="X53" i="9"/>
  <c r="L23" i="8"/>
  <c r="L23" i="27" s="1"/>
  <c r="L75" i="27" s="1"/>
  <c r="L44" i="8"/>
  <c r="L44" i="27" s="1"/>
  <c r="L96" i="27" s="1"/>
  <c r="L16" i="8"/>
  <c r="L16" i="27" s="1"/>
  <c r="L68" i="27" s="1"/>
  <c r="V28" i="12"/>
  <c r="T28" i="28" s="1"/>
  <c r="T71" i="28" s="1"/>
  <c r="V28" i="13"/>
  <c r="V42" i="12"/>
  <c r="T42" i="28" s="1"/>
  <c r="T85" i="28" s="1"/>
  <c r="V42" i="13"/>
  <c r="V41" i="12"/>
  <c r="V41" i="13"/>
  <c r="V27" i="12"/>
  <c r="T27" i="28" s="1"/>
  <c r="T70" i="28" s="1"/>
  <c r="V27" i="13"/>
  <c r="V39" i="12"/>
  <c r="T39" i="28" s="1"/>
  <c r="T82" i="28" s="1"/>
  <c r="V39" i="13"/>
  <c r="V20" i="12"/>
  <c r="T20" i="28" s="1"/>
  <c r="T63" i="28" s="1"/>
  <c r="V20" i="13"/>
  <c r="V22" i="12"/>
  <c r="V22" i="13"/>
  <c r="V13" i="12"/>
  <c r="T13" i="28" s="1"/>
  <c r="T56" i="28" s="1"/>
  <c r="V13" i="13"/>
  <c r="V11" i="12"/>
  <c r="T11" i="28" s="1"/>
  <c r="T54" i="28" s="1"/>
  <c r="V11" i="13"/>
  <c r="AA30" i="11"/>
  <c r="Z30" i="12"/>
  <c r="AA30" i="12" s="1"/>
  <c r="Z30" i="13"/>
  <c r="AA30" i="13" s="1"/>
  <c r="AA25" i="11"/>
  <c r="Z25" i="12"/>
  <c r="AA25" i="12" s="1"/>
  <c r="Z25" i="13"/>
  <c r="AA25" i="13" s="1"/>
  <c r="AA12" i="11"/>
  <c r="Z12" i="12"/>
  <c r="AA12" i="12" s="1"/>
  <c r="Z12" i="13"/>
  <c r="AA12" i="13" s="1"/>
  <c r="AA38" i="11"/>
  <c r="Z38" i="12"/>
  <c r="AA38" i="12" s="1"/>
  <c r="Z38" i="13"/>
  <c r="AA38" i="13" s="1"/>
  <c r="AA16" i="11"/>
  <c r="Z16" i="12"/>
  <c r="AA16" i="12" s="1"/>
  <c r="Z16" i="13"/>
  <c r="AA16" i="13" s="1"/>
  <c r="AA19" i="11"/>
  <c r="Z19" i="12"/>
  <c r="AA19" i="12" s="1"/>
  <c r="Z19" i="13"/>
  <c r="AA19" i="13" s="1"/>
  <c r="AA22" i="11"/>
  <c r="Z22" i="12"/>
  <c r="AA22" i="12" s="1"/>
  <c r="Z22" i="13"/>
  <c r="AA22" i="13" s="1"/>
  <c r="AA15" i="11"/>
  <c r="Z15" i="12"/>
  <c r="AA15" i="12" s="1"/>
  <c r="Z15" i="13"/>
  <c r="AA15" i="13" s="1"/>
  <c r="AA9" i="11"/>
  <c r="Z9" i="12"/>
  <c r="AA9" i="12" s="1"/>
  <c r="Z9" i="13"/>
  <c r="AA9" i="13" s="1"/>
  <c r="AA8" i="11"/>
  <c r="Z8" i="12"/>
  <c r="AA8" i="12" s="1"/>
  <c r="Z8" i="13"/>
  <c r="AA8" i="13" s="1"/>
  <c r="V12" i="9"/>
  <c r="V29" i="9"/>
  <c r="V10" i="9"/>
  <c r="V7" i="9"/>
  <c r="V20" i="9"/>
  <c r="V46" i="9"/>
  <c r="V22" i="9"/>
  <c r="V50" i="9"/>
  <c r="V37" i="9"/>
  <c r="V45" i="9"/>
  <c r="V21" i="9"/>
  <c r="V32" i="9"/>
  <c r="X22" i="8"/>
  <c r="W22" i="27" s="1"/>
  <c r="W74" i="27" s="1"/>
  <c r="X17" i="8"/>
  <c r="W17" i="27" s="1"/>
  <c r="W69" i="27" s="1"/>
  <c r="X47" i="8"/>
  <c r="W47" i="27" s="1"/>
  <c r="W99" i="27" s="1"/>
  <c r="L21" i="8"/>
  <c r="L21" i="27" s="1"/>
  <c r="L73" i="27" s="1"/>
  <c r="L11" i="8"/>
  <c r="L11" i="27" s="1"/>
  <c r="L63" i="27" s="1"/>
  <c r="L49" i="8"/>
  <c r="L49" i="27" s="1"/>
  <c r="L101" i="27" s="1"/>
  <c r="L17" i="8"/>
  <c r="L17" i="27" s="1"/>
  <c r="L69" i="27" s="1"/>
  <c r="M50" i="9"/>
  <c r="AH10" i="8"/>
  <c r="AD10" i="27" s="1"/>
  <c r="AD62" i="27" s="1"/>
  <c r="AH42" i="8"/>
  <c r="AD42" i="27" s="1"/>
  <c r="AD94" i="27" s="1"/>
  <c r="AH11" i="8"/>
  <c r="AD11" i="27" s="1"/>
  <c r="AD63" i="27" s="1"/>
  <c r="AH36" i="8"/>
  <c r="AD36" i="27" s="1"/>
  <c r="AD88" i="27" s="1"/>
  <c r="AH21" i="8"/>
  <c r="AD21" i="27" s="1"/>
  <c r="AD73" i="27" s="1"/>
  <c r="U50" i="8"/>
  <c r="T50" i="27" s="1"/>
  <c r="T102" i="27" s="1"/>
  <c r="U9" i="8"/>
  <c r="T9" i="27" s="1"/>
  <c r="T61" i="27" s="1"/>
  <c r="U14" i="8"/>
  <c r="T14" i="27" s="1"/>
  <c r="T66" i="27" s="1"/>
  <c r="W37" i="8"/>
  <c r="V37" i="27" s="1"/>
  <c r="V89" i="27" s="1"/>
  <c r="W48" i="8"/>
  <c r="V48" i="27" s="1"/>
  <c r="V100" i="27" s="1"/>
  <c r="W42" i="8"/>
  <c r="V42" i="27" s="1"/>
  <c r="V94" i="27" s="1"/>
  <c r="M28" i="9"/>
  <c r="AC38" i="8"/>
  <c r="AA38" i="27" s="1"/>
  <c r="AA90" i="27" s="1"/>
  <c r="M23" i="9"/>
  <c r="L22" i="8"/>
  <c r="L22" i="27" s="1"/>
  <c r="L74" i="27" s="1"/>
  <c r="L36" i="8"/>
  <c r="L36" i="27" s="1"/>
  <c r="L88" i="27" s="1"/>
  <c r="T25" i="12"/>
  <c r="R25" i="28" s="1"/>
  <c r="R68" i="28" s="1"/>
  <c r="T25" i="13"/>
  <c r="T33" i="12"/>
  <c r="R33" i="28" s="1"/>
  <c r="R76" i="28" s="1"/>
  <c r="T33" i="13"/>
  <c r="T32" i="12"/>
  <c r="R32" i="28" s="1"/>
  <c r="R75" i="28" s="1"/>
  <c r="T32" i="13"/>
  <c r="T24" i="12"/>
  <c r="R24" i="28" s="1"/>
  <c r="R67" i="28" s="1"/>
  <c r="T24" i="13"/>
  <c r="T18" i="12"/>
  <c r="R18" i="28" s="1"/>
  <c r="R61" i="28" s="1"/>
  <c r="T18" i="13"/>
  <c r="T16" i="12"/>
  <c r="R16" i="28" s="1"/>
  <c r="R59" i="28" s="1"/>
  <c r="T16" i="13"/>
  <c r="T13" i="12"/>
  <c r="R13" i="28" s="1"/>
  <c r="R56" i="28" s="1"/>
  <c r="T13" i="13"/>
  <c r="T19" i="12"/>
  <c r="R19" i="28" s="1"/>
  <c r="R62" i="28" s="1"/>
  <c r="T19" i="13"/>
  <c r="T42" i="12"/>
  <c r="R42" i="28" s="1"/>
  <c r="R85" i="28" s="1"/>
  <c r="T42" i="13"/>
  <c r="Y23" i="9"/>
  <c r="Y40" i="9"/>
  <c r="Y35" i="9"/>
  <c r="Y42" i="9"/>
  <c r="Y41" i="9"/>
  <c r="Y38" i="9"/>
  <c r="Y28" i="9"/>
  <c r="Y16" i="9"/>
  <c r="Y8" i="9"/>
  <c r="Y18" i="9"/>
  <c r="Y9" i="9"/>
  <c r="Y17" i="9"/>
  <c r="U44" i="8"/>
  <c r="T44" i="27" s="1"/>
  <c r="T96" i="27" s="1"/>
  <c r="U11" i="8"/>
  <c r="T11" i="27" s="1"/>
  <c r="T63" i="27" s="1"/>
  <c r="U24" i="8"/>
  <c r="T24" i="27" s="1"/>
  <c r="T76" i="27" s="1"/>
  <c r="U8" i="8"/>
  <c r="T8" i="27" s="1"/>
  <c r="T60" i="27" s="1"/>
  <c r="Q23" i="8"/>
  <c r="Q23" i="27" s="1"/>
  <c r="Q75" i="27" s="1"/>
  <c r="Q48" i="8"/>
  <c r="Q48" i="27" s="1"/>
  <c r="Q100" i="27" s="1"/>
  <c r="Q40" i="8"/>
  <c r="Q40" i="27" s="1"/>
  <c r="Q92" i="27" s="1"/>
  <c r="Q49" i="8"/>
  <c r="Q49" i="27" s="1"/>
  <c r="Q101" i="27" s="1"/>
  <c r="Q36" i="8"/>
  <c r="Q36" i="27" s="1"/>
  <c r="Q88" i="27" s="1"/>
  <c r="W24" i="8"/>
  <c r="V24" i="27" s="1"/>
  <c r="V76" i="27" s="1"/>
  <c r="W8" i="8"/>
  <c r="V8" i="27" s="1"/>
  <c r="V60" i="27" s="1"/>
  <c r="W44" i="8"/>
  <c r="V44" i="27" s="1"/>
  <c r="V96" i="27" s="1"/>
  <c r="W15" i="8"/>
  <c r="V15" i="27" s="1"/>
  <c r="V67" i="27" s="1"/>
  <c r="W36" i="8"/>
  <c r="V36" i="27" s="1"/>
  <c r="V88" i="27" s="1"/>
  <c r="O16" i="8"/>
  <c r="O16" i="27" s="1"/>
  <c r="O68" i="27" s="1"/>
  <c r="O12" i="8"/>
  <c r="O12" i="27" s="1"/>
  <c r="O64" i="27" s="1"/>
  <c r="O41" i="8"/>
  <c r="O41" i="27" s="1"/>
  <c r="O93" i="27" s="1"/>
  <c r="O35" i="8"/>
  <c r="O35" i="27" s="1"/>
  <c r="O87" i="27" s="1"/>
  <c r="O29" i="8"/>
  <c r="O29" i="27" s="1"/>
  <c r="O81" i="27" s="1"/>
  <c r="AC25" i="8"/>
  <c r="AA25" i="27" s="1"/>
  <c r="AA77" i="27" s="1"/>
  <c r="AC16" i="8"/>
  <c r="AA16" i="27" s="1"/>
  <c r="AA68" i="27" s="1"/>
  <c r="AC24" i="8"/>
  <c r="AA24" i="27" s="1"/>
  <c r="AA76" i="27" s="1"/>
  <c r="P53" i="9"/>
  <c r="P42" i="8"/>
  <c r="P42" i="27" s="1"/>
  <c r="P94" i="27" s="1"/>
  <c r="P35" i="8"/>
  <c r="P35" i="27" s="1"/>
  <c r="P87" i="27" s="1"/>
  <c r="P38" i="8"/>
  <c r="P38" i="27" s="1"/>
  <c r="P90" i="27" s="1"/>
  <c r="AI16" i="8"/>
  <c r="AE16" i="27" s="1"/>
  <c r="AE68" i="27" s="1"/>
  <c r="AI11" i="8"/>
  <c r="AE11" i="27" s="1"/>
  <c r="AE63" i="27" s="1"/>
  <c r="X31" i="8"/>
  <c r="W31" i="27" s="1"/>
  <c r="W83" i="27" s="1"/>
  <c r="X45" i="8"/>
  <c r="W45" i="27" s="1"/>
  <c r="W97" i="27" s="1"/>
  <c r="X39" i="8"/>
  <c r="W39" i="27" s="1"/>
  <c r="W91" i="27" s="1"/>
  <c r="D46" i="5"/>
  <c r="Q45" i="12"/>
  <c r="Q45" i="13"/>
  <c r="Q45" i="10"/>
  <c r="Q45" i="11"/>
  <c r="F30" i="5"/>
  <c r="AH5" i="8"/>
  <c r="AD5" i="27" s="1"/>
  <c r="AD57" i="27" s="1"/>
  <c r="AH50" i="8"/>
  <c r="AD50" i="27" s="1"/>
  <c r="AD102" i="27" s="1"/>
  <c r="AH33" i="8"/>
  <c r="AD33" i="27" s="1"/>
  <c r="AD85" i="27" s="1"/>
  <c r="AH35" i="8"/>
  <c r="AD35" i="27" s="1"/>
  <c r="AD87" i="27" s="1"/>
  <c r="AH41" i="8"/>
  <c r="AD41" i="27" s="1"/>
  <c r="AD93" i="27" s="1"/>
  <c r="M7" i="9"/>
  <c r="M11" i="9"/>
  <c r="O25" i="12"/>
  <c r="O25" i="28" s="1"/>
  <c r="O68" i="28" s="1"/>
  <c r="O25" i="13"/>
  <c r="O30" i="12"/>
  <c r="O30" i="28" s="1"/>
  <c r="O73" i="28" s="1"/>
  <c r="O30" i="13"/>
  <c r="O14" i="12"/>
  <c r="O14" i="13"/>
  <c r="O17" i="12"/>
  <c r="O17" i="28" s="1"/>
  <c r="O60" i="28" s="1"/>
  <c r="O17" i="13"/>
  <c r="O38" i="12"/>
  <c r="O38" i="28" s="1"/>
  <c r="O81" i="28" s="1"/>
  <c r="O38" i="13"/>
  <c r="O5" i="12"/>
  <c r="O5" i="28" s="1"/>
  <c r="O48" i="28" s="1"/>
  <c r="O44" i="11"/>
  <c r="O5" i="13"/>
  <c r="O22" i="12"/>
  <c r="O22" i="13"/>
  <c r="O22" i="28" s="1"/>
  <c r="O65" i="28" s="1"/>
  <c r="O16" i="12"/>
  <c r="O16" i="28" s="1"/>
  <c r="O59" i="28" s="1"/>
  <c r="O16" i="13"/>
  <c r="O36" i="12"/>
  <c r="O36" i="28" s="1"/>
  <c r="O79" i="28" s="1"/>
  <c r="O36" i="13"/>
  <c r="O28" i="12"/>
  <c r="O28" i="28" s="1"/>
  <c r="O71" i="28" s="1"/>
  <c r="O28" i="13"/>
  <c r="M13" i="9"/>
  <c r="M29" i="12"/>
  <c r="M29" i="28" s="1"/>
  <c r="M72" i="28" s="1"/>
  <c r="M29" i="13"/>
  <c r="M30" i="12"/>
  <c r="M30" i="28" s="1"/>
  <c r="M73" i="28" s="1"/>
  <c r="M30" i="13"/>
  <c r="M36" i="12"/>
  <c r="M36" i="28" s="1"/>
  <c r="M79" i="28" s="1"/>
  <c r="M36" i="13"/>
  <c r="M39" i="12"/>
  <c r="M39" i="28" s="1"/>
  <c r="M82" i="28" s="1"/>
  <c r="M39" i="13"/>
  <c r="M35" i="12"/>
  <c r="M35" i="28" s="1"/>
  <c r="M78" i="28" s="1"/>
  <c r="M35" i="13"/>
  <c r="M14" i="12"/>
  <c r="M14" i="28" s="1"/>
  <c r="M57" i="28" s="1"/>
  <c r="M14" i="13"/>
  <c r="M22" i="12"/>
  <c r="M22" i="28" s="1"/>
  <c r="M65" i="28" s="1"/>
  <c r="M22" i="13"/>
  <c r="M10" i="12"/>
  <c r="M10" i="28" s="1"/>
  <c r="M53" i="28" s="1"/>
  <c r="M10" i="13"/>
  <c r="M18" i="12"/>
  <c r="M18" i="28" s="1"/>
  <c r="M61" i="28" s="1"/>
  <c r="M18" i="13"/>
  <c r="M8" i="12"/>
  <c r="M8" i="28" s="1"/>
  <c r="M51" i="28" s="1"/>
  <c r="M8" i="13"/>
  <c r="L48" i="10"/>
  <c r="L48" i="12" s="1"/>
  <c r="U30" i="8"/>
  <c r="T30" i="27" s="1"/>
  <c r="T82" i="27" s="1"/>
  <c r="M14" i="9"/>
  <c r="M9" i="9"/>
  <c r="M10" i="9"/>
  <c r="AH18" i="8"/>
  <c r="AD18" i="27" s="1"/>
  <c r="AD70" i="27" s="1"/>
  <c r="AH14" i="8"/>
  <c r="AD14" i="27" s="1"/>
  <c r="AD66" i="27" s="1"/>
  <c r="AH17" i="8"/>
  <c r="AD17" i="27" s="1"/>
  <c r="AD69" i="27" s="1"/>
  <c r="AH49" i="8"/>
  <c r="AD49" i="27" s="1"/>
  <c r="AD101" i="27" s="1"/>
  <c r="AH51" i="8"/>
  <c r="AD51" i="27" s="1"/>
  <c r="AD103" i="27" s="1"/>
  <c r="AH30" i="8"/>
  <c r="AD30" i="27" s="1"/>
  <c r="AD82" i="27" s="1"/>
  <c r="U32" i="8"/>
  <c r="T32" i="27" s="1"/>
  <c r="T84" i="27" s="1"/>
  <c r="U39" i="8"/>
  <c r="T39" i="27" s="1"/>
  <c r="T91" i="27" s="1"/>
  <c r="U33" i="8"/>
  <c r="T33" i="27" s="1"/>
  <c r="T85" i="27" s="1"/>
  <c r="Q53" i="9"/>
  <c r="W25" i="8"/>
  <c r="V25" i="27" s="1"/>
  <c r="V77" i="27" s="1"/>
  <c r="W29" i="8"/>
  <c r="V29" i="27" s="1"/>
  <c r="V81" i="27" s="1"/>
  <c r="O25" i="8"/>
  <c r="O25" i="27" s="1"/>
  <c r="O77" i="27" s="1"/>
  <c r="O6" i="8"/>
  <c r="O6" i="27" s="1"/>
  <c r="O58" i="27" s="1"/>
  <c r="O33" i="8"/>
  <c r="O33" i="27" s="1"/>
  <c r="O85" i="27" s="1"/>
  <c r="O32" i="8"/>
  <c r="O32" i="27" s="1"/>
  <c r="O84" i="27" s="1"/>
  <c r="O28" i="8"/>
  <c r="O28" i="27" s="1"/>
  <c r="O80" i="27" s="1"/>
  <c r="AD53" i="7"/>
  <c r="Q47" i="8"/>
  <c r="Q47" i="27" s="1"/>
  <c r="Q99" i="27" s="1"/>
  <c r="AI29" i="8"/>
  <c r="AE29" i="27" s="1"/>
  <c r="AE81" i="27" s="1"/>
  <c r="AI28" i="8"/>
  <c r="AE28" i="27" s="1"/>
  <c r="AE80" i="27" s="1"/>
  <c r="AI45" i="8"/>
  <c r="AE45" i="27" s="1"/>
  <c r="AE97" i="27" s="1"/>
  <c r="AI44" i="8"/>
  <c r="AE44" i="27" s="1"/>
  <c r="AE96" i="27" s="1"/>
  <c r="AI36" i="8"/>
  <c r="AE36" i="27" s="1"/>
  <c r="AE88" i="27" s="1"/>
  <c r="AI21" i="8"/>
  <c r="AE21" i="27" s="1"/>
  <c r="AE73" i="27" s="1"/>
  <c r="AI51" i="8"/>
  <c r="AE51" i="27" s="1"/>
  <c r="AE103" i="27" s="1"/>
  <c r="AI42" i="8"/>
  <c r="AE42" i="27" s="1"/>
  <c r="AE94" i="27" s="1"/>
  <c r="AI35" i="8"/>
  <c r="AE35" i="27" s="1"/>
  <c r="AE87" i="27" s="1"/>
  <c r="X5" i="8"/>
  <c r="W5" i="27" s="1"/>
  <c r="W57" i="27" s="1"/>
  <c r="X21" i="8"/>
  <c r="W21" i="27" s="1"/>
  <c r="W73" i="27" s="1"/>
  <c r="M38" i="9"/>
  <c r="L19" i="8"/>
  <c r="L19" i="27" s="1"/>
  <c r="L71" i="27" s="1"/>
  <c r="L50" i="8"/>
  <c r="L50" i="27" s="1"/>
  <c r="L102" i="27" s="1"/>
  <c r="L31" i="8"/>
  <c r="L31" i="27" s="1"/>
  <c r="L83" i="27" s="1"/>
  <c r="V35" i="12"/>
  <c r="T35" i="28" s="1"/>
  <c r="T78" i="28" s="1"/>
  <c r="V35" i="13"/>
  <c r="V26" i="12"/>
  <c r="T26" i="28" s="1"/>
  <c r="T69" i="28" s="1"/>
  <c r="V26" i="13"/>
  <c r="V25" i="12"/>
  <c r="T25" i="28" s="1"/>
  <c r="T68" i="28" s="1"/>
  <c r="V25" i="13"/>
  <c r="V37" i="12"/>
  <c r="T37" i="28" s="1"/>
  <c r="T80" i="28" s="1"/>
  <c r="V37" i="13"/>
  <c r="V33" i="12"/>
  <c r="T33" i="28" s="1"/>
  <c r="T76" i="28" s="1"/>
  <c r="V33" i="13"/>
  <c r="V9" i="12"/>
  <c r="T9" i="28" s="1"/>
  <c r="T52" i="28" s="1"/>
  <c r="V9" i="13"/>
  <c r="V18" i="12"/>
  <c r="T18" i="28" s="1"/>
  <c r="T61" i="28" s="1"/>
  <c r="V18" i="13"/>
  <c r="V16" i="12"/>
  <c r="T16" i="28" s="1"/>
  <c r="T59" i="28" s="1"/>
  <c r="V16" i="13"/>
  <c r="V15" i="12"/>
  <c r="T15" i="28" s="1"/>
  <c r="T58" i="28" s="1"/>
  <c r="V15" i="13"/>
  <c r="AA29" i="11"/>
  <c r="Z29" i="12"/>
  <c r="AA29" i="12" s="1"/>
  <c r="Z29" i="13"/>
  <c r="AA29" i="13" s="1"/>
  <c r="AA39" i="11"/>
  <c r="Z39" i="12"/>
  <c r="AA39" i="12" s="1"/>
  <c r="Z39" i="13"/>
  <c r="AA39" i="13" s="1"/>
  <c r="AA35" i="11"/>
  <c r="Z35" i="12"/>
  <c r="AA35" i="12" s="1"/>
  <c r="Z35" i="13"/>
  <c r="AA35" i="13" s="1"/>
  <c r="AA33" i="11"/>
  <c r="Z33" i="12"/>
  <c r="AA33" i="12" s="1"/>
  <c r="Z33" i="13"/>
  <c r="AA33" i="13" s="1"/>
  <c r="AA18" i="11"/>
  <c r="Z18" i="12"/>
  <c r="AA18" i="12" s="1"/>
  <c r="Z18" i="13"/>
  <c r="AA18" i="13" s="1"/>
  <c r="AA24" i="11"/>
  <c r="Z24" i="12"/>
  <c r="AA24" i="12" s="1"/>
  <c r="Z24" i="13"/>
  <c r="AA24" i="13" s="1"/>
  <c r="AA32" i="11"/>
  <c r="Z32" i="12"/>
  <c r="AA32" i="12" s="1"/>
  <c r="Z32" i="13"/>
  <c r="AA32" i="13" s="1"/>
  <c r="AA20" i="11"/>
  <c r="Z20" i="12"/>
  <c r="AA20" i="12" s="1"/>
  <c r="Z20" i="13"/>
  <c r="AA20" i="13" s="1"/>
  <c r="AA13" i="11"/>
  <c r="Z13" i="12"/>
  <c r="AA13" i="12" s="1"/>
  <c r="Z13" i="13"/>
  <c r="AA13" i="13" s="1"/>
  <c r="AA28" i="11"/>
  <c r="Z28" i="12"/>
  <c r="AA28" i="12" s="1"/>
  <c r="Z28" i="13"/>
  <c r="AA28" i="13" s="1"/>
  <c r="V17" i="9"/>
  <c r="AB17" i="9" s="1"/>
  <c r="V38" i="9"/>
  <c r="AB38" i="9" s="1"/>
  <c r="V26" i="9"/>
  <c r="V11" i="9"/>
  <c r="V28" i="9"/>
  <c r="V8" i="9"/>
  <c r="V31" i="9"/>
  <c r="V30" i="9"/>
  <c r="V39" i="9"/>
  <c r="V47" i="9"/>
  <c r="V23" i="9"/>
  <c r="M30" i="9"/>
  <c r="AI37" i="8"/>
  <c r="AE37" i="27" s="1"/>
  <c r="AE89" i="27" s="1"/>
  <c r="AI50" i="8"/>
  <c r="AE50" i="27" s="1"/>
  <c r="AE102" i="27" s="1"/>
  <c r="AB50" i="7"/>
  <c r="U17" i="8"/>
  <c r="T17" i="27" s="1"/>
  <c r="T69" i="27" s="1"/>
  <c r="Q21" i="8"/>
  <c r="Q21" i="27" s="1"/>
  <c r="Q73" i="27" s="1"/>
  <c r="Q34" i="8"/>
  <c r="Q34" i="27" s="1"/>
  <c r="Q86" i="27" s="1"/>
  <c r="M24" i="9"/>
  <c r="O17" i="8"/>
  <c r="O17" i="27" s="1"/>
  <c r="O69" i="27" s="1"/>
  <c r="O15" i="8"/>
  <c r="O15" i="27" s="1"/>
  <c r="O67" i="27" s="1"/>
  <c r="O44" i="8"/>
  <c r="O44" i="27" s="1"/>
  <c r="O96" i="27" s="1"/>
  <c r="AC39" i="8"/>
  <c r="AA39" i="27" s="1"/>
  <c r="AA91" i="27" s="1"/>
  <c r="AC32" i="8"/>
  <c r="AA32" i="27" s="1"/>
  <c r="AA84" i="27" s="1"/>
  <c r="AC35" i="8"/>
  <c r="AA35" i="27" s="1"/>
  <c r="AA87" i="27" s="1"/>
  <c r="AI14" i="8"/>
  <c r="AE14" i="27" s="1"/>
  <c r="AE66" i="27" s="1"/>
  <c r="AI48" i="8"/>
  <c r="AE48" i="27" s="1"/>
  <c r="AE100" i="27" s="1"/>
  <c r="AI15" i="8"/>
  <c r="AE15" i="27" s="1"/>
  <c r="AE67" i="27" s="1"/>
  <c r="X20" i="8"/>
  <c r="W20" i="27" s="1"/>
  <c r="W72" i="27" s="1"/>
  <c r="X37" i="8"/>
  <c r="W37" i="27" s="1"/>
  <c r="W89" i="27" s="1"/>
  <c r="X15" i="8"/>
  <c r="W15" i="27" s="1"/>
  <c r="W67" i="27" s="1"/>
  <c r="X27" i="8"/>
  <c r="W27" i="27" s="1"/>
  <c r="W79" i="27" s="1"/>
  <c r="L33" i="8"/>
  <c r="L33" i="27" s="1"/>
  <c r="L85" i="27" s="1"/>
  <c r="T40" i="12"/>
  <c r="R40" i="28" s="1"/>
  <c r="R83" i="28" s="1"/>
  <c r="T40" i="13"/>
  <c r="T36" i="12"/>
  <c r="T36" i="13"/>
  <c r="T39" i="12"/>
  <c r="R39" i="28" s="1"/>
  <c r="R82" i="28" s="1"/>
  <c r="T39" i="13"/>
  <c r="T15" i="12"/>
  <c r="T15" i="13"/>
  <c r="T23" i="12"/>
  <c r="R23" i="28" s="1"/>
  <c r="R66" i="28" s="1"/>
  <c r="T23" i="13"/>
  <c r="T5" i="12"/>
  <c r="T44" i="11"/>
  <c r="T5" i="13"/>
  <c r="T26" i="12"/>
  <c r="R26" i="28" s="1"/>
  <c r="R69" i="28" s="1"/>
  <c r="T26" i="13"/>
  <c r="T20" i="12"/>
  <c r="R20" i="28" s="1"/>
  <c r="R63" i="28" s="1"/>
  <c r="T20" i="13"/>
  <c r="T7" i="12"/>
  <c r="R7" i="28" s="1"/>
  <c r="R50" i="28" s="1"/>
  <c r="T7" i="13"/>
  <c r="Y43" i="9"/>
  <c r="Y39" i="9"/>
  <c r="Y49" i="9"/>
  <c r="Y29" i="9"/>
  <c r="Y48" i="9"/>
  <c r="Y47" i="9"/>
  <c r="Y26" i="9"/>
  <c r="Y30" i="9"/>
  <c r="Y14" i="9"/>
  <c r="Y6" i="9"/>
  <c r="Y11" i="9"/>
  <c r="Y19" i="9"/>
  <c r="AH25" i="8"/>
  <c r="AD25" i="27" s="1"/>
  <c r="AD77" i="27" s="1"/>
  <c r="AH8" i="8"/>
  <c r="AD8" i="27" s="1"/>
  <c r="AD60" i="27" s="1"/>
  <c r="AH24" i="8"/>
  <c r="AD24" i="27" s="1"/>
  <c r="AD76" i="27" s="1"/>
  <c r="AH27" i="8"/>
  <c r="AD27" i="27" s="1"/>
  <c r="AD79" i="27" s="1"/>
  <c r="AH44" i="8"/>
  <c r="AD44" i="27" s="1"/>
  <c r="AD96" i="27" s="1"/>
  <c r="AH48" i="8"/>
  <c r="AD48" i="27" s="1"/>
  <c r="AD100" i="27" s="1"/>
  <c r="U19" i="8"/>
  <c r="T19" i="27" s="1"/>
  <c r="T71" i="27" s="1"/>
  <c r="AB11" i="7"/>
  <c r="U31" i="8"/>
  <c r="T31" i="27" s="1"/>
  <c r="T83" i="27" s="1"/>
  <c r="AB8" i="7"/>
  <c r="AB20" i="7"/>
  <c r="W47" i="8"/>
  <c r="V47" i="27" s="1"/>
  <c r="V99" i="27" s="1"/>
  <c r="W30" i="8"/>
  <c r="V30" i="27" s="1"/>
  <c r="V82" i="27" s="1"/>
  <c r="M36" i="9"/>
  <c r="AC20" i="8"/>
  <c r="AA20" i="27" s="1"/>
  <c r="AA72" i="27" s="1"/>
  <c r="AC47" i="8"/>
  <c r="AA47" i="27" s="1"/>
  <c r="AA99" i="27" s="1"/>
  <c r="AC36" i="8"/>
  <c r="AA36" i="27" s="1"/>
  <c r="AA88" i="27" s="1"/>
  <c r="M40" i="9"/>
  <c r="N54" i="8"/>
  <c r="N58" i="8" s="1"/>
  <c r="N54" i="9"/>
  <c r="N54" i="7"/>
  <c r="E30" i="5"/>
  <c r="M26" i="9"/>
  <c r="AH16" i="8"/>
  <c r="AD16" i="27" s="1"/>
  <c r="AD68" i="27" s="1"/>
  <c r="O40" i="8"/>
  <c r="O40" i="27" s="1"/>
  <c r="O92" i="27" s="1"/>
  <c r="O51" i="8"/>
  <c r="O51" i="27" s="1"/>
  <c r="O103" i="27" s="1"/>
  <c r="O31" i="8"/>
  <c r="O31" i="27" s="1"/>
  <c r="O83" i="27" s="1"/>
  <c r="O30" i="8"/>
  <c r="O30" i="27" s="1"/>
  <c r="O82" i="27" s="1"/>
  <c r="O39" i="8"/>
  <c r="O39" i="27" s="1"/>
  <c r="O91" i="27" s="1"/>
  <c r="O50" i="8"/>
  <c r="O50" i="27" s="1"/>
  <c r="O102" i="27" s="1"/>
  <c r="O49" i="8"/>
  <c r="O49" i="27" s="1"/>
  <c r="O101" i="27" s="1"/>
  <c r="O36" i="8"/>
  <c r="O36" i="27" s="1"/>
  <c r="O88" i="27" s="1"/>
  <c r="L18" i="8"/>
  <c r="L18" i="27" s="1"/>
  <c r="L70" i="27" s="1"/>
  <c r="L7" i="8"/>
  <c r="L7" i="27" s="1"/>
  <c r="L59" i="27" s="1"/>
  <c r="L46" i="8"/>
  <c r="L46" i="27" s="1"/>
  <c r="L98" i="27" s="1"/>
  <c r="L39" i="8"/>
  <c r="L39" i="27" s="1"/>
  <c r="L91" i="27" s="1"/>
  <c r="L43" i="8"/>
  <c r="L43" i="27" s="1"/>
  <c r="L95" i="27" s="1"/>
  <c r="L40" i="8"/>
  <c r="L40" i="27" s="1"/>
  <c r="L92" i="27" s="1"/>
  <c r="L25" i="8"/>
  <c r="L25" i="27" s="1"/>
  <c r="L77" i="27" s="1"/>
  <c r="L41" i="8"/>
  <c r="L41" i="27" s="1"/>
  <c r="L93" i="27" s="1"/>
  <c r="L42" i="8"/>
  <c r="L42" i="27" s="1"/>
  <c r="L94" i="27" s="1"/>
  <c r="L38" i="8"/>
  <c r="L38" i="27" s="1"/>
  <c r="L90" i="27" s="1"/>
  <c r="L45" i="8"/>
  <c r="L45" i="27" s="1"/>
  <c r="L97" i="27" s="1"/>
  <c r="L20" i="8"/>
  <c r="L20" i="27" s="1"/>
  <c r="L72" i="27" s="1"/>
  <c r="L14" i="8"/>
  <c r="L14" i="27" s="1"/>
  <c r="L66" i="27" s="1"/>
  <c r="M46" i="9"/>
  <c r="O27" i="12"/>
  <c r="O27" i="28" s="1"/>
  <c r="O70" i="28" s="1"/>
  <c r="O27" i="13"/>
  <c r="O21" i="12"/>
  <c r="O21" i="28" s="1"/>
  <c r="O64" i="28" s="1"/>
  <c r="O21" i="13"/>
  <c r="O42" i="12"/>
  <c r="O42" i="28" s="1"/>
  <c r="O85" i="28" s="1"/>
  <c r="O42" i="13"/>
  <c r="O35" i="12"/>
  <c r="O35" i="28" s="1"/>
  <c r="O78" i="28" s="1"/>
  <c r="O35" i="13"/>
  <c r="O33" i="12"/>
  <c r="O33" i="28" s="1"/>
  <c r="O76" i="28" s="1"/>
  <c r="O33" i="13"/>
  <c r="O18" i="12"/>
  <c r="O18" i="28" s="1"/>
  <c r="O61" i="28" s="1"/>
  <c r="O18" i="13"/>
  <c r="O7" i="12"/>
  <c r="O7" i="28" s="1"/>
  <c r="O50" i="28" s="1"/>
  <c r="O7" i="13"/>
  <c r="O20" i="12"/>
  <c r="O20" i="28" s="1"/>
  <c r="O63" i="28" s="1"/>
  <c r="O20" i="13"/>
  <c r="O37" i="12"/>
  <c r="O37" i="28" s="1"/>
  <c r="O80" i="28" s="1"/>
  <c r="O37" i="13"/>
  <c r="O40" i="12"/>
  <c r="O40" i="28" s="1"/>
  <c r="O83" i="28" s="1"/>
  <c r="O40" i="13"/>
  <c r="L12" i="8"/>
  <c r="L12" i="27" s="1"/>
  <c r="L64" i="27" s="1"/>
  <c r="M31" i="12"/>
  <c r="M31" i="28" s="1"/>
  <c r="M74" i="28" s="1"/>
  <c r="M31" i="13"/>
  <c r="M41" i="12"/>
  <c r="M41" i="28" s="1"/>
  <c r="M84" i="28" s="1"/>
  <c r="M41" i="13"/>
  <c r="M42" i="12"/>
  <c r="M42" i="28" s="1"/>
  <c r="M85" i="28" s="1"/>
  <c r="M42" i="13"/>
  <c r="M32" i="12"/>
  <c r="M32" i="13"/>
  <c r="M32" i="28" s="1"/>
  <c r="M75" i="28" s="1"/>
  <c r="M23" i="12"/>
  <c r="M23" i="28" s="1"/>
  <c r="M66" i="28" s="1"/>
  <c r="M23" i="13"/>
  <c r="M21" i="12"/>
  <c r="M21" i="28" s="1"/>
  <c r="M64" i="28" s="1"/>
  <c r="M21" i="13"/>
  <c r="M9" i="12"/>
  <c r="M9" i="28" s="1"/>
  <c r="M52" i="28" s="1"/>
  <c r="M9" i="13"/>
  <c r="M13" i="12"/>
  <c r="M13" i="13"/>
  <c r="M13" i="28" s="1"/>
  <c r="M56" i="28" s="1"/>
  <c r="M25" i="12"/>
  <c r="M25" i="28" s="1"/>
  <c r="M68" i="28" s="1"/>
  <c r="M25" i="13"/>
  <c r="L30" i="8"/>
  <c r="L30" i="27" s="1"/>
  <c r="L82" i="27" s="1"/>
  <c r="U25" i="8"/>
  <c r="T25" i="27" s="1"/>
  <c r="T77" i="27" s="1"/>
  <c r="O13" i="8"/>
  <c r="O13" i="27" s="1"/>
  <c r="O65" i="27" s="1"/>
  <c r="L10" i="8"/>
  <c r="L10" i="27" s="1"/>
  <c r="L62" i="27" s="1"/>
  <c r="M25" i="9"/>
  <c r="M6" i="9"/>
  <c r="M16" i="9"/>
  <c r="U38" i="8"/>
  <c r="T38" i="27" s="1"/>
  <c r="T90" i="27" s="1"/>
  <c r="U13" i="8"/>
  <c r="T13" i="27" s="1"/>
  <c r="T65" i="27" s="1"/>
  <c r="Q32" i="8"/>
  <c r="Q32" i="27" s="1"/>
  <c r="Q84" i="27" s="1"/>
  <c r="Q45" i="8"/>
  <c r="Q45" i="27" s="1"/>
  <c r="Q97" i="27" s="1"/>
  <c r="Q50" i="8"/>
  <c r="Q50" i="27" s="1"/>
  <c r="Q102" i="27" s="1"/>
  <c r="M43" i="9"/>
  <c r="W41" i="8"/>
  <c r="V41" i="27" s="1"/>
  <c r="V93" i="27" s="1"/>
  <c r="W26" i="8"/>
  <c r="V26" i="27" s="1"/>
  <c r="V78" i="27" s="1"/>
  <c r="W10" i="8"/>
  <c r="V10" i="27" s="1"/>
  <c r="V62" i="27" s="1"/>
  <c r="W53" i="9"/>
  <c r="O46" i="8"/>
  <c r="O46" i="27" s="1"/>
  <c r="O98" i="27" s="1"/>
  <c r="AC13" i="8"/>
  <c r="AA13" i="27" s="1"/>
  <c r="AA65" i="27" s="1"/>
  <c r="AC51" i="8"/>
  <c r="AA51" i="27" s="1"/>
  <c r="AA103" i="27" s="1"/>
  <c r="M48" i="9"/>
  <c r="AI5" i="8"/>
  <c r="AE5" i="27" s="1"/>
  <c r="AE57" i="27" s="1"/>
  <c r="AI32" i="8"/>
  <c r="AE32" i="27" s="1"/>
  <c r="AE84" i="27" s="1"/>
  <c r="AI23" i="8"/>
  <c r="AE23" i="27" s="1"/>
  <c r="AE75" i="27" s="1"/>
  <c r="X48" i="8"/>
  <c r="W48" i="27" s="1"/>
  <c r="W100" i="27" s="1"/>
  <c r="X29" i="8"/>
  <c r="W29" i="27" s="1"/>
  <c r="W81" i="27" s="1"/>
  <c r="X49" i="8"/>
  <c r="W49" i="27" s="1"/>
  <c r="W101" i="27" s="1"/>
  <c r="X6" i="8"/>
  <c r="W6" i="27" s="1"/>
  <c r="W58" i="27" s="1"/>
  <c r="M45" i="9"/>
  <c r="L28" i="8"/>
  <c r="L28" i="27" s="1"/>
  <c r="L80" i="27" s="1"/>
  <c r="L13" i="8"/>
  <c r="L13" i="27" s="1"/>
  <c r="L65" i="27" s="1"/>
  <c r="V30" i="12"/>
  <c r="T30" i="28" s="1"/>
  <c r="T73" i="28" s="1"/>
  <c r="V30" i="13"/>
  <c r="V19" i="12"/>
  <c r="T19" i="28" s="1"/>
  <c r="T62" i="28" s="1"/>
  <c r="V19" i="13"/>
  <c r="V40" i="12"/>
  <c r="T40" i="28" s="1"/>
  <c r="T83" i="28" s="1"/>
  <c r="V40" i="13"/>
  <c r="V38" i="12"/>
  <c r="V38" i="13"/>
  <c r="V34" i="12"/>
  <c r="T34" i="28" s="1"/>
  <c r="T77" i="28" s="1"/>
  <c r="V34" i="13"/>
  <c r="V23" i="12"/>
  <c r="T23" i="28" s="1"/>
  <c r="T66" i="28" s="1"/>
  <c r="V23" i="13"/>
  <c r="V12" i="12"/>
  <c r="T12" i="28" s="1"/>
  <c r="T55" i="28" s="1"/>
  <c r="V12" i="13"/>
  <c r="V5" i="12"/>
  <c r="V44" i="11"/>
  <c r="V5" i="13"/>
  <c r="V24" i="12"/>
  <c r="T24" i="28" s="1"/>
  <c r="T67" i="28" s="1"/>
  <c r="V24" i="13"/>
  <c r="V6" i="12"/>
  <c r="T6" i="28" s="1"/>
  <c r="T49" i="28" s="1"/>
  <c r="V6" i="13"/>
  <c r="AA27" i="11"/>
  <c r="Z27" i="12"/>
  <c r="AA27" i="12" s="1"/>
  <c r="Z27" i="13"/>
  <c r="AA27" i="13" s="1"/>
  <c r="AA21" i="11"/>
  <c r="Z21" i="12"/>
  <c r="AA21" i="12" s="1"/>
  <c r="Z21" i="13"/>
  <c r="AA21" i="13" s="1"/>
  <c r="AA17" i="11"/>
  <c r="Z17" i="12"/>
  <c r="AA17" i="12" s="1"/>
  <c r="Z17" i="13"/>
  <c r="AA17" i="13" s="1"/>
  <c r="AA31" i="11"/>
  <c r="Z31" i="12"/>
  <c r="AA31" i="12" s="1"/>
  <c r="Z31" i="13"/>
  <c r="AA31" i="13" s="1"/>
  <c r="AA11" i="11"/>
  <c r="Z11" i="12"/>
  <c r="AA11" i="12" s="1"/>
  <c r="Z11" i="13"/>
  <c r="AA11" i="13" s="1"/>
  <c r="AA26" i="11"/>
  <c r="Z26" i="12"/>
  <c r="AA26" i="12" s="1"/>
  <c r="Z26" i="13"/>
  <c r="AA26" i="13" s="1"/>
  <c r="AA36" i="11"/>
  <c r="Z36" i="12"/>
  <c r="AA36" i="12" s="1"/>
  <c r="Z36" i="13"/>
  <c r="AA36" i="13" s="1"/>
  <c r="AA42" i="11"/>
  <c r="Z42" i="12"/>
  <c r="AA42" i="12" s="1"/>
  <c r="Z42" i="13"/>
  <c r="AA42" i="13" s="1"/>
  <c r="AA34" i="11"/>
  <c r="Z34" i="12"/>
  <c r="AA34" i="12" s="1"/>
  <c r="Z34" i="13"/>
  <c r="AA34" i="13" s="1"/>
  <c r="V44" i="9"/>
  <c r="V18" i="9"/>
  <c r="V15" i="9"/>
  <c r="V36" i="9"/>
  <c r="V14" i="9"/>
  <c r="V40" i="9"/>
  <c r="V13" i="9"/>
  <c r="V34" i="9"/>
  <c r="V33" i="9"/>
  <c r="V41" i="9"/>
  <c r="V49" i="9"/>
  <c r="V25" i="9"/>
  <c r="X38" i="8"/>
  <c r="W38" i="27" s="1"/>
  <c r="W90" i="27" s="1"/>
  <c r="X23" i="8"/>
  <c r="W23" i="27" s="1"/>
  <c r="W75" i="27" s="1"/>
  <c r="X16" i="8"/>
  <c r="W16" i="27" s="1"/>
  <c r="W68" i="27" s="1"/>
  <c r="L29" i="8"/>
  <c r="L29" i="27" s="1"/>
  <c r="L81" i="27" s="1"/>
  <c r="M8" i="9"/>
  <c r="AI39" i="8"/>
  <c r="AE39" i="27" s="1"/>
  <c r="AE91" i="27" s="1"/>
  <c r="AH19" i="8"/>
  <c r="AD19" i="27" s="1"/>
  <c r="AD71" i="27" s="1"/>
  <c r="AH7" i="8"/>
  <c r="AD7" i="27" s="1"/>
  <c r="AD59" i="27" s="1"/>
  <c r="AH6" i="8"/>
  <c r="AD6" i="27" s="1"/>
  <c r="AD58" i="27" s="1"/>
  <c r="AH47" i="8"/>
  <c r="AD47" i="27" s="1"/>
  <c r="AD99" i="27" s="1"/>
  <c r="AH38" i="8"/>
  <c r="AD38" i="27" s="1"/>
  <c r="AD90" i="27" s="1"/>
  <c r="AH39" i="8"/>
  <c r="AD39" i="27" s="1"/>
  <c r="AD91" i="27" s="1"/>
  <c r="U34" i="8"/>
  <c r="T34" i="27" s="1"/>
  <c r="T86" i="27" s="1"/>
  <c r="AB17" i="7"/>
  <c r="U43" i="8"/>
  <c r="T43" i="27" s="1"/>
  <c r="T95" i="27" s="1"/>
  <c r="U28" i="8"/>
  <c r="T28" i="27" s="1"/>
  <c r="T80" i="27" s="1"/>
  <c r="M27" i="9"/>
  <c r="W22" i="8"/>
  <c r="V22" i="27" s="1"/>
  <c r="V74" i="27" s="1"/>
  <c r="W46" i="8"/>
  <c r="V46" i="27" s="1"/>
  <c r="V98" i="27" s="1"/>
  <c r="AC17" i="8"/>
  <c r="AA17" i="27" s="1"/>
  <c r="AA69" i="27" s="1"/>
  <c r="AC7" i="8"/>
  <c r="AA7" i="27" s="1"/>
  <c r="AA59" i="27" s="1"/>
  <c r="AC45" i="8"/>
  <c r="AA45" i="27" s="1"/>
  <c r="AA97" i="27" s="1"/>
  <c r="M32" i="9"/>
  <c r="M29" i="9"/>
  <c r="L24" i="8"/>
  <c r="L24" i="27" s="1"/>
  <c r="L76" i="27" s="1"/>
  <c r="T28" i="12"/>
  <c r="T28" i="13"/>
  <c r="T31" i="12"/>
  <c r="R31" i="28" s="1"/>
  <c r="R74" i="28" s="1"/>
  <c r="T31" i="13"/>
  <c r="T37" i="12"/>
  <c r="T37" i="13"/>
  <c r="T29" i="12"/>
  <c r="R29" i="28" s="1"/>
  <c r="R72" i="28" s="1"/>
  <c r="T29" i="13"/>
  <c r="T12" i="12"/>
  <c r="T12" i="13"/>
  <c r="T34" i="12"/>
  <c r="T34" i="13"/>
  <c r="T8" i="12"/>
  <c r="T8" i="13"/>
  <c r="T27" i="12"/>
  <c r="R27" i="28" s="1"/>
  <c r="R70" i="28" s="1"/>
  <c r="T27" i="13"/>
  <c r="T22" i="12"/>
  <c r="R22" i="28" s="1"/>
  <c r="R65" i="28" s="1"/>
  <c r="T22" i="13"/>
  <c r="T11" i="12"/>
  <c r="R11" i="28" s="1"/>
  <c r="R54" i="28" s="1"/>
  <c r="T11" i="13"/>
  <c r="Y50" i="9"/>
  <c r="AB50" i="9" s="1"/>
  <c r="Y46" i="9"/>
  <c r="Y36" i="9"/>
  <c r="Y51" i="9"/>
  <c r="Y32" i="9"/>
  <c r="Y33" i="9"/>
  <c r="Y53" i="7"/>
  <c r="Y58" i="7" s="1"/>
  <c r="Y40" i="8" s="1"/>
  <c r="X40" i="27" s="1"/>
  <c r="X92" i="27" s="1"/>
  <c r="Y5" i="9"/>
  <c r="Y45" i="9"/>
  <c r="Y37" i="9"/>
  <c r="Y12" i="9"/>
  <c r="Y13" i="9"/>
  <c r="M19" i="9"/>
  <c r="U27" i="8"/>
  <c r="T27" i="27" s="1"/>
  <c r="T79" i="27" s="1"/>
  <c r="U51" i="8"/>
  <c r="T51" i="27" s="1"/>
  <c r="T103" i="27" s="1"/>
  <c r="AB31" i="7"/>
  <c r="AH32" i="8"/>
  <c r="AD32" i="27" s="1"/>
  <c r="AD84" i="27" s="1"/>
  <c r="Q29" i="8"/>
  <c r="Q29" i="27" s="1"/>
  <c r="Q81" i="27" s="1"/>
  <c r="Q28" i="8"/>
  <c r="Q28" i="27" s="1"/>
  <c r="Q80" i="27" s="1"/>
  <c r="Q8" i="8"/>
  <c r="Q8" i="27" s="1"/>
  <c r="Q60" i="27" s="1"/>
  <c r="Q12" i="8"/>
  <c r="Q12" i="27" s="1"/>
  <c r="Q64" i="27" s="1"/>
  <c r="Q17" i="8"/>
  <c r="Q17" i="27" s="1"/>
  <c r="Q69" i="27" s="1"/>
  <c r="AB30" i="7"/>
  <c r="W16" i="8"/>
  <c r="V16" i="27" s="1"/>
  <c r="V68" i="27" s="1"/>
  <c r="W19" i="8"/>
  <c r="V19" i="27" s="1"/>
  <c r="V71" i="27" s="1"/>
  <c r="W17" i="8"/>
  <c r="V17" i="27" s="1"/>
  <c r="V69" i="27" s="1"/>
  <c r="W23" i="8"/>
  <c r="V23" i="27" s="1"/>
  <c r="V75" i="27" s="1"/>
  <c r="O18" i="8"/>
  <c r="O18" i="27" s="1"/>
  <c r="O70" i="27" s="1"/>
  <c r="O27" i="8"/>
  <c r="O27" i="27" s="1"/>
  <c r="O79" i="27" s="1"/>
  <c r="O9" i="8"/>
  <c r="O9" i="27" s="1"/>
  <c r="O61" i="27" s="1"/>
  <c r="O45" i="8"/>
  <c r="O45" i="27" s="1"/>
  <c r="O97" i="27" s="1"/>
  <c r="O48" i="8"/>
  <c r="O48" i="27" s="1"/>
  <c r="O100" i="27" s="1"/>
  <c r="AC31" i="8"/>
  <c r="AA31" i="27" s="1"/>
  <c r="AA83" i="27" s="1"/>
  <c r="AC33" i="8"/>
  <c r="AA33" i="27" s="1"/>
  <c r="AA85" i="27" s="1"/>
  <c r="AC48" i="8"/>
  <c r="AA48" i="27" s="1"/>
  <c r="AA100" i="27" s="1"/>
  <c r="M34" i="9"/>
  <c r="P5" i="8"/>
  <c r="P5" i="27" s="1"/>
  <c r="P57" i="27" s="1"/>
  <c r="P51" i="8"/>
  <c r="P51" i="27" s="1"/>
  <c r="P103" i="27" s="1"/>
  <c r="Q11" i="8"/>
  <c r="Q11" i="27" s="1"/>
  <c r="Q63" i="27" s="1"/>
  <c r="AI8" i="8"/>
  <c r="AE8" i="27" s="1"/>
  <c r="AE60" i="27" s="1"/>
  <c r="AI40" i="8"/>
  <c r="AE40" i="27" s="1"/>
  <c r="AE92" i="27" s="1"/>
  <c r="AI24" i="8"/>
  <c r="AE24" i="27" s="1"/>
  <c r="AE76" i="27" s="1"/>
  <c r="X46" i="8"/>
  <c r="W46" i="27" s="1"/>
  <c r="W98" i="27" s="1"/>
  <c r="X51" i="8"/>
  <c r="W51" i="27" s="1"/>
  <c r="W103" i="27" s="1"/>
  <c r="X41" i="8"/>
  <c r="W41" i="27" s="1"/>
  <c r="W93" i="27" s="1"/>
  <c r="AH34" i="8"/>
  <c r="AD34" i="27" s="1"/>
  <c r="AD86" i="27" s="1"/>
  <c r="AH22" i="8"/>
  <c r="AD22" i="27" s="1"/>
  <c r="AD74" i="27" s="1"/>
  <c r="AH26" i="8"/>
  <c r="AD26" i="27" s="1"/>
  <c r="AD78" i="27" s="1"/>
  <c r="AH46" i="8"/>
  <c r="AD46" i="27" s="1"/>
  <c r="AD98" i="27" s="1"/>
  <c r="U53" i="9"/>
  <c r="AH43" i="8"/>
  <c r="AD43" i="27" s="1"/>
  <c r="AD95" i="27" s="1"/>
  <c r="M49" i="9"/>
  <c r="M18" i="9"/>
  <c r="S58" i="7"/>
  <c r="R58" i="7"/>
  <c r="O34" i="12"/>
  <c r="O34" i="13"/>
  <c r="O39" i="12"/>
  <c r="O39" i="28" s="1"/>
  <c r="O82" i="28" s="1"/>
  <c r="O39" i="13"/>
  <c r="O26" i="12"/>
  <c r="O26" i="28" s="1"/>
  <c r="O69" i="28" s="1"/>
  <c r="O26" i="13"/>
  <c r="O19" i="12"/>
  <c r="O19" i="28" s="1"/>
  <c r="O62" i="28" s="1"/>
  <c r="O19" i="13"/>
  <c r="O31" i="12"/>
  <c r="O31" i="13"/>
  <c r="O13" i="12"/>
  <c r="O13" i="28" s="1"/>
  <c r="O56" i="28" s="1"/>
  <c r="O13" i="13"/>
  <c r="O9" i="12"/>
  <c r="O9" i="28" s="1"/>
  <c r="O52" i="28" s="1"/>
  <c r="O9" i="13"/>
  <c r="O24" i="12"/>
  <c r="O24" i="28" s="1"/>
  <c r="O67" i="28" s="1"/>
  <c r="O24" i="13"/>
  <c r="O6" i="12"/>
  <c r="O6" i="13"/>
  <c r="M34" i="12"/>
  <c r="M34" i="28" s="1"/>
  <c r="M77" i="28" s="1"/>
  <c r="M34" i="13"/>
  <c r="M12" i="12"/>
  <c r="M12" i="28" s="1"/>
  <c r="M55" i="28" s="1"/>
  <c r="M12" i="13"/>
  <c r="M26" i="12"/>
  <c r="M26" i="13"/>
  <c r="M26" i="28" s="1"/>
  <c r="M69" i="28" s="1"/>
  <c r="M38" i="12"/>
  <c r="M38" i="28" s="1"/>
  <c r="M81" i="28" s="1"/>
  <c r="M38" i="13"/>
  <c r="M24" i="12"/>
  <c r="M24" i="28" s="1"/>
  <c r="M67" i="28" s="1"/>
  <c r="M24" i="13"/>
  <c r="M6" i="12"/>
  <c r="M6" i="28" s="1"/>
  <c r="M49" i="28" s="1"/>
  <c r="M6" i="13"/>
  <c r="M20" i="12"/>
  <c r="M20" i="13"/>
  <c r="M20" i="28" s="1"/>
  <c r="M63" i="28" s="1"/>
  <c r="M15" i="12"/>
  <c r="M15" i="28" s="1"/>
  <c r="M58" i="28" s="1"/>
  <c r="M15" i="13"/>
  <c r="M7" i="12"/>
  <c r="M7" i="28" s="1"/>
  <c r="M50" i="28" s="1"/>
  <c r="M7" i="13"/>
  <c r="L47" i="8"/>
  <c r="L47" i="27" s="1"/>
  <c r="L99" i="27" s="1"/>
  <c r="L37" i="8"/>
  <c r="L37" i="27" s="1"/>
  <c r="L89" i="27" s="1"/>
  <c r="M51" i="9"/>
  <c r="M5" i="9"/>
  <c r="M53" i="7"/>
  <c r="M58" i="7" s="1"/>
  <c r="M41" i="8" s="1"/>
  <c r="M41" i="27" s="1"/>
  <c r="M93" i="27" s="1"/>
  <c r="M39" i="9"/>
  <c r="AH13" i="8"/>
  <c r="AD13" i="27" s="1"/>
  <c r="AD65" i="27" s="1"/>
  <c r="AH29" i="8"/>
  <c r="AD29" i="27" s="1"/>
  <c r="AD81" i="27" s="1"/>
  <c r="AH40" i="8"/>
  <c r="AD40" i="27" s="1"/>
  <c r="AD92" i="27" s="1"/>
  <c r="AH23" i="8"/>
  <c r="AD23" i="27" s="1"/>
  <c r="AD75" i="27" s="1"/>
  <c r="AH28" i="8"/>
  <c r="AD28" i="27" s="1"/>
  <c r="AD80" i="27" s="1"/>
  <c r="U46" i="8"/>
  <c r="T46" i="27" s="1"/>
  <c r="T98" i="27" s="1"/>
  <c r="U21" i="8"/>
  <c r="T21" i="27" s="1"/>
  <c r="T73" i="27" s="1"/>
  <c r="U16" i="8"/>
  <c r="T16" i="27" s="1"/>
  <c r="T68" i="27" s="1"/>
  <c r="U12" i="8"/>
  <c r="T12" i="27" s="1"/>
  <c r="T64" i="27" s="1"/>
  <c r="W5" i="8"/>
  <c r="V5" i="27" s="1"/>
  <c r="V57" i="27" s="1"/>
  <c r="W21" i="8"/>
  <c r="V21" i="27" s="1"/>
  <c r="V73" i="27" s="1"/>
  <c r="W13" i="8"/>
  <c r="V13" i="27" s="1"/>
  <c r="V65" i="27" s="1"/>
  <c r="O19" i="8"/>
  <c r="O19" i="27" s="1"/>
  <c r="O71" i="27" s="1"/>
  <c r="O21" i="8"/>
  <c r="O21" i="27" s="1"/>
  <c r="O73" i="27" s="1"/>
  <c r="O7" i="8"/>
  <c r="O7" i="27" s="1"/>
  <c r="O59" i="27" s="1"/>
  <c r="O38" i="8"/>
  <c r="O38" i="27" s="1"/>
  <c r="O90" i="27" s="1"/>
  <c r="O43" i="8"/>
  <c r="O43" i="27" s="1"/>
  <c r="O95" i="27" s="1"/>
  <c r="M33" i="9"/>
  <c r="AD5" i="9"/>
  <c r="AD53" i="9" s="1"/>
  <c r="AC53" i="9"/>
  <c r="M20" i="9"/>
  <c r="M21" i="9"/>
  <c r="O37" i="8"/>
  <c r="O37" i="27" s="1"/>
  <c r="O89" i="27" s="1"/>
  <c r="AI53" i="9"/>
  <c r="X8" i="8"/>
  <c r="W8" i="27" s="1"/>
  <c r="W60" i="27" s="1"/>
  <c r="AI22" i="8"/>
  <c r="AE22" i="27" s="1"/>
  <c r="AE74" i="27" s="1"/>
  <c r="AI33" i="8"/>
  <c r="AE33" i="27" s="1"/>
  <c r="AE85" i="27" s="1"/>
  <c r="L48" i="8"/>
  <c r="L48" i="27" s="1"/>
  <c r="L100" i="27" s="1"/>
  <c r="V21" i="12"/>
  <c r="T21" i="28" s="1"/>
  <c r="T64" i="28" s="1"/>
  <c r="V21" i="13"/>
  <c r="V29" i="12"/>
  <c r="T29" i="28" s="1"/>
  <c r="T72" i="28" s="1"/>
  <c r="V29" i="13"/>
  <c r="V31" i="12"/>
  <c r="T31" i="28" s="1"/>
  <c r="T74" i="28" s="1"/>
  <c r="V31" i="13"/>
  <c r="V36" i="12"/>
  <c r="T36" i="28" s="1"/>
  <c r="T79" i="28" s="1"/>
  <c r="V36" i="13"/>
  <c r="V32" i="12"/>
  <c r="T32" i="28" s="1"/>
  <c r="T75" i="28" s="1"/>
  <c r="V32" i="13"/>
  <c r="V14" i="12"/>
  <c r="T14" i="28" s="1"/>
  <c r="T57" i="28" s="1"/>
  <c r="V14" i="13"/>
  <c r="V17" i="12"/>
  <c r="T17" i="28" s="1"/>
  <c r="T60" i="28" s="1"/>
  <c r="V17" i="13"/>
  <c r="V8" i="12"/>
  <c r="T8" i="28" s="1"/>
  <c r="T51" i="28" s="1"/>
  <c r="V8" i="13"/>
  <c r="V7" i="12"/>
  <c r="T7" i="28" s="1"/>
  <c r="T50" i="28" s="1"/>
  <c r="V7" i="13"/>
  <c r="V10" i="12"/>
  <c r="T10" i="28" s="1"/>
  <c r="T53" i="28" s="1"/>
  <c r="V10" i="13"/>
  <c r="AA41" i="11"/>
  <c r="Z41" i="12"/>
  <c r="AA41" i="12" s="1"/>
  <c r="Z41" i="13"/>
  <c r="AA41" i="13" s="1"/>
  <c r="AA37" i="11"/>
  <c r="Z37" i="12"/>
  <c r="AA37" i="12" s="1"/>
  <c r="Z37" i="13"/>
  <c r="AA37" i="13" s="1"/>
  <c r="AA23" i="11"/>
  <c r="Z23" i="12"/>
  <c r="AA23" i="12" s="1"/>
  <c r="Z23" i="13"/>
  <c r="AA23" i="13" s="1"/>
  <c r="AA14" i="11"/>
  <c r="Z14" i="12"/>
  <c r="AA14" i="12" s="1"/>
  <c r="Z14" i="13"/>
  <c r="AA14" i="13" s="1"/>
  <c r="AA10" i="11"/>
  <c r="Z10" i="12"/>
  <c r="AA10" i="12" s="1"/>
  <c r="Z10" i="13"/>
  <c r="AA10" i="13" s="1"/>
  <c r="AA6" i="11"/>
  <c r="Z6" i="12"/>
  <c r="AA6" i="12" s="1"/>
  <c r="Z6" i="13"/>
  <c r="AA6" i="13" s="1"/>
  <c r="AA7" i="11"/>
  <c r="Z7" i="12"/>
  <c r="AA7" i="12" s="1"/>
  <c r="Z7" i="13"/>
  <c r="AA7" i="13" s="1"/>
  <c r="AA5" i="11"/>
  <c r="Z5" i="12"/>
  <c r="V5" i="28" s="1"/>
  <c r="V48" i="28" s="1"/>
  <c r="Z44" i="11"/>
  <c r="Z5" i="13"/>
  <c r="AA40" i="11"/>
  <c r="Z40" i="12"/>
  <c r="AA40" i="12" s="1"/>
  <c r="Z40" i="13"/>
  <c r="AA40" i="13" s="1"/>
  <c r="V6" i="9"/>
  <c r="V24" i="9"/>
  <c r="V9" i="9"/>
  <c r="V5" i="9"/>
  <c r="V53" i="7"/>
  <c r="V58" i="7" s="1"/>
  <c r="V29" i="8" s="1"/>
  <c r="U29" i="27" s="1"/>
  <c r="U81" i="27" s="1"/>
  <c r="V19" i="9"/>
  <c r="V48" i="9"/>
  <c r="V16" i="9"/>
  <c r="AB16" i="9" s="1"/>
  <c r="V42" i="9"/>
  <c r="AB42" i="9" s="1"/>
  <c r="V35" i="9"/>
  <c r="V43" i="9"/>
  <c r="V51" i="9"/>
  <c r="V27" i="9"/>
  <c r="L32" i="8"/>
  <c r="L32" i="27" s="1"/>
  <c r="L84" i="27" s="1"/>
  <c r="L34" i="8"/>
  <c r="L34" i="27" s="1"/>
  <c r="L86" i="27" s="1"/>
  <c r="U42" i="8"/>
  <c r="T42" i="27" s="1"/>
  <c r="T94" i="27" s="1"/>
  <c r="U18" i="8"/>
  <c r="T18" i="27" s="1"/>
  <c r="T70" i="27" s="1"/>
  <c r="AB43" i="7"/>
  <c r="AH45" i="8"/>
  <c r="AD45" i="27" s="1"/>
  <c r="AD97" i="27" s="1"/>
  <c r="Q31" i="8"/>
  <c r="Q31" i="27" s="1"/>
  <c r="Q83" i="27" s="1"/>
  <c r="Q35" i="8"/>
  <c r="Q35" i="27" s="1"/>
  <c r="Q87" i="27" s="1"/>
  <c r="O11" i="8"/>
  <c r="O11" i="27" s="1"/>
  <c r="O63" i="27" s="1"/>
  <c r="O47" i="8"/>
  <c r="O47" i="27" s="1"/>
  <c r="O99" i="27" s="1"/>
  <c r="O34" i="8"/>
  <c r="O34" i="27" s="1"/>
  <c r="O86" i="27" s="1"/>
  <c r="O24" i="8"/>
  <c r="O24" i="27" s="1"/>
  <c r="O76" i="27" s="1"/>
  <c r="O22" i="8"/>
  <c r="O22" i="27" s="1"/>
  <c r="O74" i="27" s="1"/>
  <c r="AC19" i="8"/>
  <c r="AA19" i="27" s="1"/>
  <c r="AA71" i="27" s="1"/>
  <c r="AC23" i="8"/>
  <c r="AA23" i="27" s="1"/>
  <c r="AA75" i="27" s="1"/>
  <c r="AC26" i="8"/>
  <c r="AA26" i="27" s="1"/>
  <c r="AA78" i="27" s="1"/>
  <c r="M47" i="9"/>
  <c r="AI13" i="8"/>
  <c r="AE13" i="27" s="1"/>
  <c r="AE65" i="27" s="1"/>
  <c r="AI17" i="8"/>
  <c r="AE17" i="27" s="1"/>
  <c r="AE69" i="27" s="1"/>
  <c r="X28" i="8"/>
  <c r="W28" i="27" s="1"/>
  <c r="W80" i="27" s="1"/>
  <c r="X36" i="8"/>
  <c r="W36" i="27" s="1"/>
  <c r="W88" i="27" s="1"/>
  <c r="X43" i="8"/>
  <c r="W43" i="27" s="1"/>
  <c r="W95" i="27" s="1"/>
  <c r="L51" i="8"/>
  <c r="L51" i="27" s="1"/>
  <c r="L103" i="27" s="1"/>
  <c r="T35" i="12"/>
  <c r="T35" i="13"/>
  <c r="T41" i="12"/>
  <c r="R41" i="28" s="1"/>
  <c r="R84" i="28" s="1"/>
  <c r="T41" i="13"/>
  <c r="T21" i="12"/>
  <c r="R21" i="28" s="1"/>
  <c r="R64" i="28" s="1"/>
  <c r="T21" i="13"/>
  <c r="T9" i="12"/>
  <c r="T9" i="13"/>
  <c r="R9" i="28" s="1"/>
  <c r="R52" i="28" s="1"/>
  <c r="T17" i="12"/>
  <c r="R17" i="28" s="1"/>
  <c r="R60" i="28" s="1"/>
  <c r="T17" i="13"/>
  <c r="T6" i="12"/>
  <c r="T6" i="13"/>
  <c r="T10" i="12"/>
  <c r="R10" i="28" s="1"/>
  <c r="R53" i="28" s="1"/>
  <c r="T10" i="13"/>
  <c r="T14" i="12"/>
  <c r="T14" i="13"/>
  <c r="T30" i="12"/>
  <c r="T30" i="13"/>
  <c r="T38" i="12"/>
  <c r="T38" i="13"/>
  <c r="Y34" i="9"/>
  <c r="Y21" i="9"/>
  <c r="Y31" i="8"/>
  <c r="X31" i="27" s="1"/>
  <c r="X83" i="27" s="1"/>
  <c r="Y31" i="9"/>
  <c r="Y27" i="9"/>
  <c r="Y22" i="9"/>
  <c r="Y44" i="9"/>
  <c r="Y7" i="9"/>
  <c r="Y24" i="9"/>
  <c r="Y10" i="8"/>
  <c r="X10" i="27" s="1"/>
  <c r="X62" i="27" s="1"/>
  <c r="Y10" i="9"/>
  <c r="Y20" i="9"/>
  <c r="Y15" i="9"/>
  <c r="M22" i="9"/>
  <c r="AH15" i="8"/>
  <c r="AD15" i="27" s="1"/>
  <c r="AD67" i="27" s="1"/>
  <c r="AH9" i="8"/>
  <c r="AD9" i="27" s="1"/>
  <c r="AD61" i="27" s="1"/>
  <c r="AH12" i="8"/>
  <c r="AD12" i="27" s="1"/>
  <c r="AD64" i="27" s="1"/>
  <c r="T9" i="29" s="1"/>
  <c r="T14" i="29" s="1"/>
  <c r="AH31" i="8"/>
  <c r="AD31" i="27" s="1"/>
  <c r="AD83" i="27" s="1"/>
  <c r="U36" i="8"/>
  <c r="T36" i="27" s="1"/>
  <c r="T88" i="27" s="1"/>
  <c r="AB27" i="7"/>
  <c r="AB11" i="9"/>
  <c r="AB51" i="7"/>
  <c r="U26" i="8"/>
  <c r="T26" i="27" s="1"/>
  <c r="T78" i="27" s="1"/>
  <c r="M35" i="9"/>
  <c r="AC6" i="8"/>
  <c r="AA6" i="27" s="1"/>
  <c r="AA58" i="27" s="1"/>
  <c r="AC50" i="8"/>
  <c r="AA50" i="27" s="1"/>
  <c r="AA102" i="27" s="1"/>
  <c r="M42" i="9"/>
  <c r="P11" i="8"/>
  <c r="P11" i="27" s="1"/>
  <c r="P63" i="27" s="1"/>
  <c r="P14" i="8"/>
  <c r="P14" i="27" s="1"/>
  <c r="P66" i="27" s="1"/>
  <c r="P10" i="8"/>
  <c r="P10" i="27" s="1"/>
  <c r="P62" i="27" s="1"/>
  <c r="M37" i="9"/>
  <c r="L8" i="8"/>
  <c r="L8" i="27" s="1"/>
  <c r="L60" i="27" s="1"/>
  <c r="F4" i="5"/>
  <c r="D10" i="5"/>
  <c r="T56" i="6" s="1"/>
  <c r="E4" i="5"/>
  <c r="M6" i="30" l="1"/>
  <c r="E9" i="30"/>
  <c r="E11" i="30"/>
  <c r="E7" i="30"/>
  <c r="E13" i="30" s="1"/>
  <c r="C9" i="30"/>
  <c r="C11" i="30"/>
  <c r="C7" i="30"/>
  <c r="C13" i="30" s="1"/>
  <c r="AD27" i="8"/>
  <c r="AA27" i="27"/>
  <c r="AA79" i="27" s="1"/>
  <c r="S6" i="11"/>
  <c r="R6" i="12"/>
  <c r="S6" i="12" s="1"/>
  <c r="R6" i="13"/>
  <c r="S6" i="13" s="1"/>
  <c r="R14" i="13"/>
  <c r="S14" i="13" s="1"/>
  <c r="S14" i="11"/>
  <c r="R14" i="12"/>
  <c r="S14" i="12" s="1"/>
  <c r="R31" i="12"/>
  <c r="S31" i="12" s="1"/>
  <c r="S31" i="11"/>
  <c r="R31" i="13"/>
  <c r="S31" i="13" s="1"/>
  <c r="V32" i="28"/>
  <c r="V75" i="28" s="1"/>
  <c r="N7" i="11"/>
  <c r="N10" i="11"/>
  <c r="N8" i="11"/>
  <c r="N25" i="11"/>
  <c r="N24" i="11"/>
  <c r="N29" i="11"/>
  <c r="N17" i="11"/>
  <c r="N32" i="11"/>
  <c r="N35" i="11"/>
  <c r="N34" i="11"/>
  <c r="N5" i="11"/>
  <c r="N13" i="11"/>
  <c r="N41" i="11"/>
  <c r="N40" i="11"/>
  <c r="N23" i="11"/>
  <c r="N33" i="11"/>
  <c r="N37" i="11"/>
  <c r="N20" i="11"/>
  <c r="N16" i="11"/>
  <c r="N9" i="11"/>
  <c r="N42" i="11"/>
  <c r="N38" i="11"/>
  <c r="N19" i="11"/>
  <c r="N22" i="11"/>
  <c r="N28" i="11"/>
  <c r="N27" i="11"/>
  <c r="N14" i="11"/>
  <c r="N21" i="11"/>
  <c r="N11" i="11"/>
  <c r="N6" i="11"/>
  <c r="N30" i="11"/>
  <c r="N26" i="11"/>
  <c r="N39" i="11"/>
  <c r="N12" i="11"/>
  <c r="N31" i="11"/>
  <c r="N15" i="11"/>
  <c r="N18" i="11"/>
  <c r="N36" i="11"/>
  <c r="Y7" i="8"/>
  <c r="X7" i="27" s="1"/>
  <c r="X59" i="27" s="1"/>
  <c r="Y34" i="8"/>
  <c r="X34" i="27" s="1"/>
  <c r="X86" i="27" s="1"/>
  <c r="L11" i="29"/>
  <c r="L7" i="29"/>
  <c r="L13" i="29" s="1"/>
  <c r="AB49" i="9"/>
  <c r="U9" i="29"/>
  <c r="U14" i="29" s="1"/>
  <c r="U11" i="29"/>
  <c r="U7" i="29"/>
  <c r="U13" i="29" s="1"/>
  <c r="L48" i="11"/>
  <c r="L49" i="10"/>
  <c r="B7" i="29"/>
  <c r="B13" i="29" s="1"/>
  <c r="B11" i="29"/>
  <c r="B9" i="29"/>
  <c r="B14" i="29" s="1"/>
  <c r="L9" i="29"/>
  <c r="L14" i="29" s="1"/>
  <c r="AD29" i="8"/>
  <c r="AA29" i="27"/>
  <c r="AA81" i="27" s="1"/>
  <c r="AD14" i="8"/>
  <c r="AA14" i="27"/>
  <c r="AA66" i="27" s="1"/>
  <c r="AD21" i="8"/>
  <c r="AA21" i="27"/>
  <c r="AA73" i="27" s="1"/>
  <c r="R30" i="28"/>
  <c r="R73" i="28" s="1"/>
  <c r="R35" i="28"/>
  <c r="R78" i="28" s="1"/>
  <c r="V6" i="28"/>
  <c r="V49" i="28" s="1"/>
  <c r="L11" i="30" s="1"/>
  <c r="V37" i="28"/>
  <c r="V80" i="28" s="1"/>
  <c r="Q40" i="28"/>
  <c r="Q83" i="28" s="1"/>
  <c r="R40" i="13"/>
  <c r="S40" i="13" s="1"/>
  <c r="S40" i="11"/>
  <c r="R40" i="12"/>
  <c r="S40" i="12" s="1"/>
  <c r="Q23" i="28"/>
  <c r="Q66" i="28" s="1"/>
  <c r="R23" i="13"/>
  <c r="S23" i="13" s="1"/>
  <c r="R23" i="12"/>
  <c r="S23" i="12" s="1"/>
  <c r="S23" i="11"/>
  <c r="Q39" i="28"/>
  <c r="Q82" i="28" s="1"/>
  <c r="R39" i="12"/>
  <c r="S39" i="12" s="1"/>
  <c r="R39" i="13"/>
  <c r="S39" i="13" s="1"/>
  <c r="S39" i="11"/>
  <c r="Q19" i="28"/>
  <c r="Q62" i="28" s="1"/>
  <c r="R19" i="12"/>
  <c r="S19" i="12" s="1"/>
  <c r="R19" i="13"/>
  <c r="S19" i="13" s="1"/>
  <c r="S19" i="11"/>
  <c r="Q42" i="28"/>
  <c r="Q85" i="28" s="1"/>
  <c r="S42" i="11"/>
  <c r="R42" i="13"/>
  <c r="S42" i="13" s="1"/>
  <c r="R42" i="12"/>
  <c r="S42" i="12" s="1"/>
  <c r="Q37" i="28"/>
  <c r="Q80" i="28" s="1"/>
  <c r="S37" i="11"/>
  <c r="R37" i="13"/>
  <c r="S37" i="13" s="1"/>
  <c r="R37" i="12"/>
  <c r="S37" i="12" s="1"/>
  <c r="Q30" i="28"/>
  <c r="Q73" i="28" s="1"/>
  <c r="R30" i="13"/>
  <c r="S30" i="13" s="1"/>
  <c r="S30" i="11"/>
  <c r="R30" i="12"/>
  <c r="S30" i="12" s="1"/>
  <c r="Q36" i="28"/>
  <c r="Q79" i="28" s="1"/>
  <c r="R36" i="13"/>
  <c r="S36" i="13" s="1"/>
  <c r="R36" i="12"/>
  <c r="S36" i="12" s="1"/>
  <c r="S36" i="11"/>
  <c r="Q9" i="28"/>
  <c r="Q52" i="28" s="1"/>
  <c r="R9" i="13"/>
  <c r="S9" i="13" s="1"/>
  <c r="S9" i="11"/>
  <c r="R9" i="12"/>
  <c r="S9" i="12" s="1"/>
  <c r="V36" i="28"/>
  <c r="V79" i="28" s="1"/>
  <c r="V17" i="28"/>
  <c r="V60" i="28" s="1"/>
  <c r="U10" i="11"/>
  <c r="U6" i="11"/>
  <c r="U22" i="11"/>
  <c r="U24" i="11"/>
  <c r="U20" i="11"/>
  <c r="U41" i="11"/>
  <c r="U39" i="11"/>
  <c r="U27" i="11"/>
  <c r="U37" i="11"/>
  <c r="U21" i="11"/>
  <c r="U9" i="11"/>
  <c r="U5" i="11"/>
  <c r="U18" i="11"/>
  <c r="U16" i="11"/>
  <c r="U19" i="11"/>
  <c r="U26" i="11"/>
  <c r="U12" i="11"/>
  <c r="U17" i="11"/>
  <c r="U13" i="11"/>
  <c r="U8" i="11"/>
  <c r="U36" i="11"/>
  <c r="U40" i="11"/>
  <c r="U32" i="11"/>
  <c r="U35" i="11"/>
  <c r="U15" i="11"/>
  <c r="U29" i="11"/>
  <c r="U33" i="11"/>
  <c r="U14" i="11"/>
  <c r="U11" i="11"/>
  <c r="U7" i="11"/>
  <c r="U38" i="11"/>
  <c r="U30" i="11"/>
  <c r="U28" i="11"/>
  <c r="U25" i="11"/>
  <c r="U23" i="11"/>
  <c r="U34" i="11"/>
  <c r="U42" i="11"/>
  <c r="U31" i="11"/>
  <c r="V20" i="28"/>
  <c r="V63" i="28" s="1"/>
  <c r="V33" i="28"/>
  <c r="V76" i="28" s="1"/>
  <c r="V22" i="28"/>
  <c r="V65" i="28" s="1"/>
  <c r="V12" i="28"/>
  <c r="V55" i="28" s="1"/>
  <c r="M7" i="29"/>
  <c r="M13" i="29" s="1"/>
  <c r="M9" i="29"/>
  <c r="M14" i="29" s="1"/>
  <c r="G9" i="29"/>
  <c r="G14" i="29" s="1"/>
  <c r="G11" i="29"/>
  <c r="G7" i="29"/>
  <c r="G13" i="29" s="1"/>
  <c r="AD49" i="8"/>
  <c r="AA49" i="27"/>
  <c r="AA101" i="27" s="1"/>
  <c r="R14" i="28"/>
  <c r="R57" i="28" s="1"/>
  <c r="S25" i="11"/>
  <c r="R25" i="12"/>
  <c r="S25" i="12" s="1"/>
  <c r="R25" i="13"/>
  <c r="S25" i="13" s="1"/>
  <c r="R8" i="12"/>
  <c r="S8" i="12" s="1"/>
  <c r="R8" i="13"/>
  <c r="S8" i="13" s="1"/>
  <c r="S8" i="11"/>
  <c r="S20" i="11"/>
  <c r="R20" i="12"/>
  <c r="S20" i="12" s="1"/>
  <c r="R20" i="13"/>
  <c r="S20" i="13" s="1"/>
  <c r="V26" i="28"/>
  <c r="V69" i="28" s="1"/>
  <c r="V21" i="28"/>
  <c r="V64" i="28" s="1"/>
  <c r="V35" i="28"/>
  <c r="V78" i="28" s="1"/>
  <c r="V8" i="28"/>
  <c r="V51" i="28" s="1"/>
  <c r="V19" i="28"/>
  <c r="V62" i="28" s="1"/>
  <c r="V25" i="28"/>
  <c r="V68" i="28" s="1"/>
  <c r="Y15" i="8"/>
  <c r="X15" i="27" s="1"/>
  <c r="X67" i="27" s="1"/>
  <c r="E9" i="29"/>
  <c r="E14" i="29" s="1"/>
  <c r="M11" i="29"/>
  <c r="T7" i="29"/>
  <c r="T13" i="29" s="1"/>
  <c r="T11" i="29"/>
  <c r="J9" i="29"/>
  <c r="J14" i="29" s="1"/>
  <c r="J11" i="29"/>
  <c r="J7" i="29"/>
  <c r="J13" i="29" s="1"/>
  <c r="AD43" i="8"/>
  <c r="AA43" i="27"/>
  <c r="AA95" i="27" s="1"/>
  <c r="AD42" i="8"/>
  <c r="AA42" i="27"/>
  <c r="AA94" i="27" s="1"/>
  <c r="AD22" i="8"/>
  <c r="AA22" i="27"/>
  <c r="AA74" i="27" s="1"/>
  <c r="AD12" i="8"/>
  <c r="AA12" i="27"/>
  <c r="AA64" i="27" s="1"/>
  <c r="Q9" i="29" s="1"/>
  <c r="Q14" i="29" s="1"/>
  <c r="V14" i="28"/>
  <c r="V57" i="28" s="1"/>
  <c r="Q32" i="28"/>
  <c r="Q75" i="28" s="1"/>
  <c r="R32" i="12"/>
  <c r="S32" i="12" s="1"/>
  <c r="S32" i="11"/>
  <c r="R32" i="13"/>
  <c r="S32" i="13" s="1"/>
  <c r="Q34" i="28"/>
  <c r="Q77" i="28" s="1"/>
  <c r="R34" i="12"/>
  <c r="S34" i="12" s="1"/>
  <c r="S34" i="11"/>
  <c r="R34" i="13"/>
  <c r="S34" i="13" s="1"/>
  <c r="Q16" i="28"/>
  <c r="Q59" i="28" s="1"/>
  <c r="R16" i="12"/>
  <c r="S16" i="12" s="1"/>
  <c r="S16" i="11"/>
  <c r="R16" i="13"/>
  <c r="S16" i="13" s="1"/>
  <c r="Q35" i="28"/>
  <c r="Q78" i="28" s="1"/>
  <c r="R35" i="13"/>
  <c r="S35" i="13" s="1"/>
  <c r="R35" i="12"/>
  <c r="S35" i="12" s="1"/>
  <c r="S35" i="11"/>
  <c r="Q12" i="28"/>
  <c r="Q55" i="28" s="1"/>
  <c r="R12" i="13"/>
  <c r="S12" i="13" s="1"/>
  <c r="R12" i="12"/>
  <c r="S12" i="12" s="1"/>
  <c r="S12" i="11"/>
  <c r="Q22" i="28"/>
  <c r="Q65" i="28" s="1"/>
  <c r="S22" i="11"/>
  <c r="R22" i="12"/>
  <c r="S22" i="12" s="1"/>
  <c r="R22" i="13"/>
  <c r="S22" i="13" s="1"/>
  <c r="Q15" i="28"/>
  <c r="Q58" i="28" s="1"/>
  <c r="R15" i="12"/>
  <c r="S15" i="12" s="1"/>
  <c r="S15" i="11"/>
  <c r="R15" i="13"/>
  <c r="S15" i="13" s="1"/>
  <c r="Q21" i="28"/>
  <c r="Q64" i="28" s="1"/>
  <c r="R21" i="12"/>
  <c r="S21" i="12" s="1"/>
  <c r="S21" i="11"/>
  <c r="R21" i="13"/>
  <c r="S21" i="13" s="1"/>
  <c r="Q10" i="28"/>
  <c r="Q53" i="28" s="1"/>
  <c r="R10" i="12"/>
  <c r="S10" i="12" s="1"/>
  <c r="S10" i="11"/>
  <c r="R10" i="13"/>
  <c r="S10" i="13" s="1"/>
  <c r="Q33" i="28"/>
  <c r="Q76" i="28" s="1"/>
  <c r="S33" i="11"/>
  <c r="R33" i="13"/>
  <c r="S33" i="13" s="1"/>
  <c r="R33" i="12"/>
  <c r="S33" i="12" s="1"/>
  <c r="R34" i="28"/>
  <c r="R77" i="28" s="1"/>
  <c r="V34" i="28"/>
  <c r="V77" i="28" s="1"/>
  <c r="V11" i="28"/>
  <c r="V54" i="28" s="1"/>
  <c r="V27" i="28"/>
  <c r="V70" i="28" s="1"/>
  <c r="V28" i="28"/>
  <c r="V71" i="28" s="1"/>
  <c r="V24" i="28"/>
  <c r="V67" i="28" s="1"/>
  <c r="V39" i="28"/>
  <c r="V82" i="28" s="1"/>
  <c r="T15" i="29"/>
  <c r="J15" i="29"/>
  <c r="O15" i="29"/>
  <c r="P15" i="29"/>
  <c r="P11" i="11"/>
  <c r="P7" i="11"/>
  <c r="P18" i="11"/>
  <c r="P15" i="11"/>
  <c r="P39" i="11"/>
  <c r="P41" i="11"/>
  <c r="P13" i="11"/>
  <c r="P31" i="11"/>
  <c r="P40" i="11"/>
  <c r="P33" i="11"/>
  <c r="P10" i="11"/>
  <c r="P6" i="11"/>
  <c r="P16" i="11"/>
  <c r="P17" i="11"/>
  <c r="P38" i="11"/>
  <c r="P27" i="11"/>
  <c r="P24" i="11"/>
  <c r="P32" i="11"/>
  <c r="P34" i="11"/>
  <c r="P19" i="11"/>
  <c r="P9" i="11"/>
  <c r="P5" i="11"/>
  <c r="P36" i="11"/>
  <c r="P37" i="11"/>
  <c r="P20" i="11"/>
  <c r="P26" i="11"/>
  <c r="P25" i="11"/>
  <c r="P30" i="11"/>
  <c r="P29" i="11"/>
  <c r="P8" i="11"/>
  <c r="P22" i="11"/>
  <c r="P28" i="11"/>
  <c r="P23" i="11"/>
  <c r="P21" i="11"/>
  <c r="P42" i="11"/>
  <c r="P14" i="11"/>
  <c r="P35" i="11"/>
  <c r="P12" i="11"/>
  <c r="V9" i="28"/>
  <c r="V52" i="28" s="1"/>
  <c r="V16" i="28"/>
  <c r="V59" i="28" s="1"/>
  <c r="V30" i="28"/>
  <c r="V73" i="28" s="1"/>
  <c r="E7" i="29"/>
  <c r="E13" i="29" s="1"/>
  <c r="E11" i="29"/>
  <c r="AD30" i="8"/>
  <c r="AA30" i="27"/>
  <c r="AA82" i="27" s="1"/>
  <c r="Q38" i="28"/>
  <c r="Q81" i="28" s="1"/>
  <c r="R38" i="13"/>
  <c r="S38" i="13" s="1"/>
  <c r="R38" i="12"/>
  <c r="S38" i="12" s="1"/>
  <c r="S38" i="11"/>
  <c r="Q7" i="28"/>
  <c r="Q50" i="28" s="1"/>
  <c r="R7" i="13"/>
  <c r="S7" i="13" s="1"/>
  <c r="R7" i="12"/>
  <c r="S7" i="12" s="1"/>
  <c r="S7" i="11"/>
  <c r="Q26" i="28"/>
  <c r="Q69" i="28" s="1"/>
  <c r="R26" i="12"/>
  <c r="S26" i="12" s="1"/>
  <c r="S26" i="11"/>
  <c r="R26" i="13"/>
  <c r="S26" i="13" s="1"/>
  <c r="J9" i="30"/>
  <c r="J7" i="30"/>
  <c r="J13" i="30" s="1"/>
  <c r="J11" i="30"/>
  <c r="AB22" i="9"/>
  <c r="AB9" i="9"/>
  <c r="F9" i="29"/>
  <c r="F14" i="29" s="1"/>
  <c r="F11" i="29"/>
  <c r="F7" i="29"/>
  <c r="F13" i="29" s="1"/>
  <c r="AD15" i="8"/>
  <c r="AA15" i="27"/>
  <c r="AA67" i="27" s="1"/>
  <c r="AD18" i="8"/>
  <c r="AA18" i="27"/>
  <c r="AA70" i="27" s="1"/>
  <c r="R38" i="28"/>
  <c r="R81" i="28" s="1"/>
  <c r="R6" i="28"/>
  <c r="R49" i="28" s="1"/>
  <c r="H9" i="30" s="1"/>
  <c r="V7" i="28"/>
  <c r="V50" i="28" s="1"/>
  <c r="L9" i="30" s="1"/>
  <c r="V23" i="28"/>
  <c r="V66" i="28" s="1"/>
  <c r="Q29" i="28"/>
  <c r="Q72" i="28" s="1"/>
  <c r="S29" i="11"/>
  <c r="R29" i="13"/>
  <c r="S29" i="13" s="1"/>
  <c r="R29" i="12"/>
  <c r="S29" i="12" s="1"/>
  <c r="Q24" i="28"/>
  <c r="Q67" i="28" s="1"/>
  <c r="S24" i="11"/>
  <c r="R24" i="13"/>
  <c r="S24" i="13" s="1"/>
  <c r="R24" i="12"/>
  <c r="S24" i="12" s="1"/>
  <c r="Q28" i="28"/>
  <c r="Q71" i="28" s="1"/>
  <c r="R28" i="12"/>
  <c r="S28" i="12" s="1"/>
  <c r="S28" i="11"/>
  <c r="R28" i="13"/>
  <c r="S28" i="13" s="1"/>
  <c r="Q18" i="28"/>
  <c r="Q61" i="28" s="1"/>
  <c r="R18" i="12"/>
  <c r="S18" i="12" s="1"/>
  <c r="S18" i="11"/>
  <c r="R18" i="13"/>
  <c r="S18" i="13" s="1"/>
  <c r="Q13" i="28"/>
  <c r="Q56" i="28" s="1"/>
  <c r="S13" i="11"/>
  <c r="R13" i="13"/>
  <c r="S13" i="13" s="1"/>
  <c r="R13" i="12"/>
  <c r="S13" i="12" s="1"/>
  <c r="Q17" i="28"/>
  <c r="Q60" i="28" s="1"/>
  <c r="R17" i="12"/>
  <c r="S17" i="12" s="1"/>
  <c r="S17" i="11"/>
  <c r="R17" i="13"/>
  <c r="S17" i="13" s="1"/>
  <c r="Q5" i="28"/>
  <c r="Q48" i="28" s="1"/>
  <c r="R5" i="12"/>
  <c r="S5" i="11"/>
  <c r="R5" i="13"/>
  <c r="R44" i="11"/>
  <c r="R41" i="12"/>
  <c r="S41" i="12" s="1"/>
  <c r="R41" i="13"/>
  <c r="S41" i="13" s="1"/>
  <c r="S41" i="11"/>
  <c r="S11" i="11"/>
  <c r="R11" i="13"/>
  <c r="S11" i="13" s="1"/>
  <c r="R11" i="12"/>
  <c r="S11" i="12" s="1"/>
  <c r="S27" i="11"/>
  <c r="R27" i="12"/>
  <c r="S27" i="12" s="1"/>
  <c r="R27" i="13"/>
  <c r="S27" i="13" s="1"/>
  <c r="R12" i="28"/>
  <c r="R55" i="28" s="1"/>
  <c r="R28" i="28"/>
  <c r="R71" i="28" s="1"/>
  <c r="V42" i="28"/>
  <c r="V85" i="28" s="1"/>
  <c r="V31" i="28"/>
  <c r="V74" i="28" s="1"/>
  <c r="R15" i="28"/>
  <c r="R58" i="28" s="1"/>
  <c r="V13" i="28"/>
  <c r="V56" i="28" s="1"/>
  <c r="V18" i="28"/>
  <c r="V61" i="28" s="1"/>
  <c r="V29" i="28"/>
  <c r="V72" i="28" s="1"/>
  <c r="V15" i="28"/>
  <c r="V58" i="28" s="1"/>
  <c r="V38" i="28"/>
  <c r="V81" i="28" s="1"/>
  <c r="AB26" i="9"/>
  <c r="AB28" i="9"/>
  <c r="M37" i="8"/>
  <c r="M37" i="27" s="1"/>
  <c r="M89" i="27" s="1"/>
  <c r="Y22" i="8"/>
  <c r="X22" i="27" s="1"/>
  <c r="X74" i="27" s="1"/>
  <c r="AB21" i="9"/>
  <c r="AB35" i="9"/>
  <c r="AB25" i="9"/>
  <c r="AD5" i="8"/>
  <c r="AB10" i="9"/>
  <c r="AB6" i="9"/>
  <c r="AB39" i="9"/>
  <c r="AB8" i="9"/>
  <c r="AB44" i="9"/>
  <c r="M47" i="8"/>
  <c r="M47" i="27" s="1"/>
  <c r="M99" i="27" s="1"/>
  <c r="M39" i="8"/>
  <c r="M39" i="27" s="1"/>
  <c r="M91" i="27" s="1"/>
  <c r="AB14" i="9"/>
  <c r="AB12" i="9"/>
  <c r="AB20" i="9"/>
  <c r="AB19" i="9"/>
  <c r="AB24" i="9"/>
  <c r="AD37" i="8"/>
  <c r="AB18" i="9"/>
  <c r="AB45" i="9"/>
  <c r="AD10" i="8"/>
  <c r="AD11" i="8"/>
  <c r="AD6" i="8"/>
  <c r="AD13" i="8"/>
  <c r="AD24" i="8"/>
  <c r="AD44" i="8"/>
  <c r="AD26" i="8"/>
  <c r="M21" i="8"/>
  <c r="M21" i="27" s="1"/>
  <c r="M73" i="27" s="1"/>
  <c r="AB13" i="9"/>
  <c r="AD47" i="8"/>
  <c r="AD32" i="8"/>
  <c r="AD28" i="8"/>
  <c r="M22" i="8"/>
  <c r="M22" i="27" s="1"/>
  <c r="M74" i="27" s="1"/>
  <c r="Y20" i="8"/>
  <c r="X20" i="27" s="1"/>
  <c r="X72" i="27" s="1"/>
  <c r="Y24" i="8"/>
  <c r="X24" i="27" s="1"/>
  <c r="X76" i="27" s="1"/>
  <c r="Y44" i="8"/>
  <c r="X44" i="27" s="1"/>
  <c r="X96" i="27" s="1"/>
  <c r="Y27" i="8"/>
  <c r="X27" i="27" s="1"/>
  <c r="X79" i="27" s="1"/>
  <c r="Y21" i="8"/>
  <c r="X21" i="27" s="1"/>
  <c r="X73" i="27" s="1"/>
  <c r="AD23" i="8"/>
  <c r="AB51" i="9"/>
  <c r="AB5" i="9"/>
  <c r="AD31" i="8"/>
  <c r="AB37" i="9"/>
  <c r="AB46" i="9"/>
  <c r="AB41" i="9"/>
  <c r="AB40" i="9"/>
  <c r="AD20" i="8"/>
  <c r="AD39" i="8"/>
  <c r="AD25" i="8"/>
  <c r="AD34" i="8"/>
  <c r="AD40" i="8"/>
  <c r="AD41" i="8"/>
  <c r="AD48" i="8"/>
  <c r="AD7" i="8"/>
  <c r="AD36" i="8"/>
  <c r="AD35" i="8"/>
  <c r="AD9" i="8"/>
  <c r="AD33" i="8"/>
  <c r="AB36" i="9"/>
  <c r="AD17" i="8"/>
  <c r="AD16" i="8"/>
  <c r="M42" i="8"/>
  <c r="M42" i="27" s="1"/>
  <c r="M94" i="27" s="1"/>
  <c r="M35" i="8"/>
  <c r="M35" i="27" s="1"/>
  <c r="M87" i="27" s="1"/>
  <c r="AD50" i="8"/>
  <c r="AD19" i="8"/>
  <c r="AB43" i="9"/>
  <c r="AB48" i="9"/>
  <c r="AD45" i="8"/>
  <c r="AD51" i="8"/>
  <c r="AD38" i="8"/>
  <c r="AD8" i="8"/>
  <c r="Q53" i="8"/>
  <c r="Y13" i="8"/>
  <c r="X13" i="27" s="1"/>
  <c r="X65" i="27" s="1"/>
  <c r="AB33" i="9"/>
  <c r="AB23" i="9"/>
  <c r="AB31" i="9"/>
  <c r="AB27" i="9"/>
  <c r="AB53" i="7"/>
  <c r="M20" i="8"/>
  <c r="M20" i="27" s="1"/>
  <c r="M72" i="27" s="1"/>
  <c r="M33" i="8"/>
  <c r="M33" i="27" s="1"/>
  <c r="M85" i="27" s="1"/>
  <c r="M5" i="8"/>
  <c r="M5" i="27" s="1"/>
  <c r="M57" i="27" s="1"/>
  <c r="AB34" i="9"/>
  <c r="AB47" i="9"/>
  <c r="AB29" i="9"/>
  <c r="AB15" i="9"/>
  <c r="U53" i="8"/>
  <c r="Y37" i="8"/>
  <c r="X37" i="27" s="1"/>
  <c r="X89" i="27" s="1"/>
  <c r="AB30" i="9"/>
  <c r="AB32" i="9"/>
  <c r="AB7" i="9"/>
  <c r="V27" i="8"/>
  <c r="U27" i="27" s="1"/>
  <c r="U79" i="27" s="1"/>
  <c r="V43" i="8"/>
  <c r="U43" i="27" s="1"/>
  <c r="U95" i="27" s="1"/>
  <c r="V42" i="8"/>
  <c r="U42" i="27" s="1"/>
  <c r="U94" i="27" s="1"/>
  <c r="N56" i="8"/>
  <c r="N56" i="9"/>
  <c r="N56" i="7"/>
  <c r="V51" i="8"/>
  <c r="U51" i="27" s="1"/>
  <c r="U103" i="27" s="1"/>
  <c r="V35" i="8"/>
  <c r="U35" i="27" s="1"/>
  <c r="U87" i="27" s="1"/>
  <c r="V16" i="8"/>
  <c r="U16" i="27" s="1"/>
  <c r="U68" i="27" s="1"/>
  <c r="V19" i="8"/>
  <c r="U19" i="27" s="1"/>
  <c r="U71" i="27" s="1"/>
  <c r="AA44" i="11"/>
  <c r="M53" i="9"/>
  <c r="R48" i="8"/>
  <c r="R48" i="27" s="1"/>
  <c r="R100" i="27" s="1"/>
  <c r="R41" i="8"/>
  <c r="R41" i="27" s="1"/>
  <c r="R93" i="27" s="1"/>
  <c r="R35" i="8"/>
  <c r="R35" i="27" s="1"/>
  <c r="R87" i="27" s="1"/>
  <c r="R44" i="8"/>
  <c r="R44" i="27" s="1"/>
  <c r="R96" i="27" s="1"/>
  <c r="R42" i="8"/>
  <c r="R42" i="27" s="1"/>
  <c r="R94" i="27" s="1"/>
  <c r="R34" i="8"/>
  <c r="R34" i="27" s="1"/>
  <c r="R86" i="27" s="1"/>
  <c r="R51" i="8"/>
  <c r="R51" i="27" s="1"/>
  <c r="R103" i="27" s="1"/>
  <c r="R39" i="8"/>
  <c r="R39" i="27" s="1"/>
  <c r="R91" i="27" s="1"/>
  <c r="R37" i="8"/>
  <c r="R37" i="27" s="1"/>
  <c r="R89" i="27" s="1"/>
  <c r="R31" i="8"/>
  <c r="R31" i="27" s="1"/>
  <c r="R83" i="27" s="1"/>
  <c r="R43" i="8"/>
  <c r="R43" i="27" s="1"/>
  <c r="R95" i="27" s="1"/>
  <c r="R47" i="8"/>
  <c r="R47" i="27" s="1"/>
  <c r="R99" i="27" s="1"/>
  <c r="R11" i="8"/>
  <c r="R11" i="27" s="1"/>
  <c r="R63" i="27" s="1"/>
  <c r="R50" i="8"/>
  <c r="R50" i="27" s="1"/>
  <c r="R102" i="27" s="1"/>
  <c r="R49" i="8"/>
  <c r="R49" i="27" s="1"/>
  <c r="R101" i="27" s="1"/>
  <c r="R38" i="8"/>
  <c r="R38" i="27" s="1"/>
  <c r="R90" i="27" s="1"/>
  <c r="R5" i="8"/>
  <c r="R5" i="27" s="1"/>
  <c r="R57" i="27" s="1"/>
  <c r="R23" i="8"/>
  <c r="R12" i="8"/>
  <c r="R12" i="27" s="1"/>
  <c r="R64" i="27" s="1"/>
  <c r="R20" i="8"/>
  <c r="R20" i="27" s="1"/>
  <c r="R72" i="27" s="1"/>
  <c r="R32" i="8"/>
  <c r="R32" i="27" s="1"/>
  <c r="R84" i="27" s="1"/>
  <c r="R36" i="8"/>
  <c r="R36" i="27" s="1"/>
  <c r="R88" i="27" s="1"/>
  <c r="R46" i="8"/>
  <c r="R46" i="27" s="1"/>
  <c r="R98" i="27" s="1"/>
  <c r="R8" i="8"/>
  <c r="R8" i="27" s="1"/>
  <c r="R60" i="27" s="1"/>
  <c r="R16" i="8"/>
  <c r="R16" i="27" s="1"/>
  <c r="R68" i="27" s="1"/>
  <c r="R45" i="8"/>
  <c r="R45" i="27" s="1"/>
  <c r="R97" i="27" s="1"/>
  <c r="R33" i="8"/>
  <c r="R33" i="27" s="1"/>
  <c r="R85" i="27" s="1"/>
  <c r="R40" i="8"/>
  <c r="R40" i="27" s="1"/>
  <c r="R92" i="27" s="1"/>
  <c r="R10" i="8"/>
  <c r="R10" i="27" s="1"/>
  <c r="R62" i="27" s="1"/>
  <c r="R18" i="8"/>
  <c r="R18" i="27" s="1"/>
  <c r="R70" i="27" s="1"/>
  <c r="R26" i="8"/>
  <c r="R6" i="8"/>
  <c r="R6" i="27" s="1"/>
  <c r="R58" i="27" s="1"/>
  <c r="R25" i="8"/>
  <c r="R25" i="27" s="1"/>
  <c r="R77" i="27" s="1"/>
  <c r="R29" i="8"/>
  <c r="R14" i="8"/>
  <c r="R14" i="27" s="1"/>
  <c r="R66" i="27" s="1"/>
  <c r="R22" i="8"/>
  <c r="R28" i="8"/>
  <c r="R13" i="8"/>
  <c r="R13" i="27" s="1"/>
  <c r="R65" i="27" s="1"/>
  <c r="R15" i="8"/>
  <c r="R15" i="27" s="1"/>
  <c r="R67" i="27" s="1"/>
  <c r="R9" i="8"/>
  <c r="R9" i="27" s="1"/>
  <c r="R61" i="27" s="1"/>
  <c r="R24" i="8"/>
  <c r="R30" i="8"/>
  <c r="R30" i="27" s="1"/>
  <c r="R82" i="27" s="1"/>
  <c r="R27" i="8"/>
  <c r="R21" i="8"/>
  <c r="R17" i="8"/>
  <c r="R17" i="27" s="1"/>
  <c r="R69" i="27" s="1"/>
  <c r="R19" i="8"/>
  <c r="R19" i="27" s="1"/>
  <c r="R71" i="27" s="1"/>
  <c r="R7" i="8"/>
  <c r="R7" i="27" s="1"/>
  <c r="R59" i="27" s="1"/>
  <c r="M18" i="8"/>
  <c r="M18" i="27" s="1"/>
  <c r="M70" i="27" s="1"/>
  <c r="Y53" i="9"/>
  <c r="Y33" i="8"/>
  <c r="X33" i="27" s="1"/>
  <c r="X85" i="27" s="1"/>
  <c r="Y51" i="8"/>
  <c r="X51" i="27" s="1"/>
  <c r="X103" i="27" s="1"/>
  <c r="Y46" i="8"/>
  <c r="X46" i="27" s="1"/>
  <c r="X98" i="27" s="1"/>
  <c r="M27" i="8"/>
  <c r="M27" i="27" s="1"/>
  <c r="M79" i="27" s="1"/>
  <c r="M48" i="8"/>
  <c r="M48" i="27" s="1"/>
  <c r="M100" i="27" s="1"/>
  <c r="M16" i="8"/>
  <c r="M16" i="27" s="1"/>
  <c r="M68" i="27" s="1"/>
  <c r="M25" i="8"/>
  <c r="M25" i="27" s="1"/>
  <c r="M77" i="27" s="1"/>
  <c r="E35" i="5"/>
  <c r="L46" i="13"/>
  <c r="L46" i="12"/>
  <c r="L46" i="10"/>
  <c r="L46" i="11"/>
  <c r="T44" i="13"/>
  <c r="M24" i="8"/>
  <c r="M24" i="27" s="1"/>
  <c r="M76" i="27" s="1"/>
  <c r="X53" i="8"/>
  <c r="M14" i="8"/>
  <c r="M14" i="27" s="1"/>
  <c r="M66" i="27" s="1"/>
  <c r="O44" i="13"/>
  <c r="AB45" i="13"/>
  <c r="AB45" i="10"/>
  <c r="AB45" i="12"/>
  <c r="X49" i="12" s="1"/>
  <c r="AB45" i="11"/>
  <c r="M28" i="8"/>
  <c r="M28" i="27" s="1"/>
  <c r="M80" i="27" s="1"/>
  <c r="AA5" i="13"/>
  <c r="AA44" i="13" s="1"/>
  <c r="Z44" i="13"/>
  <c r="S51" i="8"/>
  <c r="S39" i="8"/>
  <c r="S37" i="8"/>
  <c r="S48" i="8"/>
  <c r="S41" i="8"/>
  <c r="S42" i="8"/>
  <c r="S34" i="8"/>
  <c r="S35" i="8"/>
  <c r="S44" i="8"/>
  <c r="S50" i="8"/>
  <c r="S38" i="8"/>
  <c r="S5" i="8"/>
  <c r="S31" i="8"/>
  <c r="S43" i="8"/>
  <c r="S11" i="8"/>
  <c r="S28" i="8"/>
  <c r="S13" i="8"/>
  <c r="S15" i="8"/>
  <c r="S9" i="8"/>
  <c r="S24" i="8"/>
  <c r="S30" i="8"/>
  <c r="S27" i="8"/>
  <c r="S21" i="8"/>
  <c r="S17" i="8"/>
  <c r="S19" i="8"/>
  <c r="S7" i="8"/>
  <c r="S49" i="8"/>
  <c r="S23" i="8"/>
  <c r="S12" i="8"/>
  <c r="S20" i="8"/>
  <c r="S32" i="8"/>
  <c r="S36" i="8"/>
  <c r="S46" i="8"/>
  <c r="S8" i="8"/>
  <c r="S16" i="8"/>
  <c r="S45" i="8"/>
  <c r="S33" i="8"/>
  <c r="S40" i="8"/>
  <c r="S10" i="8"/>
  <c r="S18" i="8"/>
  <c r="S26" i="8"/>
  <c r="S6" i="8"/>
  <c r="S25" i="8"/>
  <c r="S29" i="8"/>
  <c r="S14" i="8"/>
  <c r="S22" i="8"/>
  <c r="S47" i="8"/>
  <c r="P53" i="8"/>
  <c r="M29" i="8"/>
  <c r="M29" i="27" s="1"/>
  <c r="M81" i="27" s="1"/>
  <c r="V25" i="8"/>
  <c r="U25" i="27" s="1"/>
  <c r="U77" i="27" s="1"/>
  <c r="V41" i="8"/>
  <c r="U41" i="27" s="1"/>
  <c r="U93" i="27" s="1"/>
  <c r="V34" i="8"/>
  <c r="U34" i="27" s="1"/>
  <c r="U86" i="27" s="1"/>
  <c r="V40" i="8"/>
  <c r="U40" i="27" s="1"/>
  <c r="U92" i="27" s="1"/>
  <c r="V36" i="8"/>
  <c r="U36" i="27" s="1"/>
  <c r="U88" i="27" s="1"/>
  <c r="V18" i="8"/>
  <c r="U18" i="27" s="1"/>
  <c r="U70" i="27" s="1"/>
  <c r="V44" i="12"/>
  <c r="M43" i="8"/>
  <c r="M43" i="27" s="1"/>
  <c r="M95" i="27" s="1"/>
  <c r="M46" i="8"/>
  <c r="M46" i="27" s="1"/>
  <c r="M98" i="27" s="1"/>
  <c r="M40" i="8"/>
  <c r="M40" i="27" s="1"/>
  <c r="M92" i="27" s="1"/>
  <c r="Y11" i="8"/>
  <c r="X11" i="27" s="1"/>
  <c r="X63" i="27" s="1"/>
  <c r="Y14" i="8"/>
  <c r="X14" i="27" s="1"/>
  <c r="X66" i="27" s="1"/>
  <c r="Y26" i="8"/>
  <c r="X26" i="27" s="1"/>
  <c r="X78" i="27" s="1"/>
  <c r="Y48" i="8"/>
  <c r="X48" i="27" s="1"/>
  <c r="X100" i="27" s="1"/>
  <c r="Y49" i="8"/>
  <c r="X49" i="27" s="1"/>
  <c r="X101" i="27" s="1"/>
  <c r="Y43" i="8"/>
  <c r="X43" i="27" s="1"/>
  <c r="X95" i="27" s="1"/>
  <c r="V23" i="8"/>
  <c r="U23" i="27" s="1"/>
  <c r="U75" i="27" s="1"/>
  <c r="V39" i="8"/>
  <c r="U39" i="27" s="1"/>
  <c r="U91" i="27" s="1"/>
  <c r="V31" i="8"/>
  <c r="U31" i="27" s="1"/>
  <c r="U83" i="27" s="1"/>
  <c r="V28" i="8"/>
  <c r="U28" i="27" s="1"/>
  <c r="U80" i="27" s="1"/>
  <c r="V26" i="8"/>
  <c r="U26" i="27" s="1"/>
  <c r="U78" i="27" s="1"/>
  <c r="V17" i="8"/>
  <c r="U17" i="27" s="1"/>
  <c r="U69" i="27" s="1"/>
  <c r="M10" i="8"/>
  <c r="M10" i="27" s="1"/>
  <c r="M62" i="27" s="1"/>
  <c r="Y9" i="8"/>
  <c r="X9" i="27" s="1"/>
  <c r="X61" i="27" s="1"/>
  <c r="Y8" i="8"/>
  <c r="X8" i="27" s="1"/>
  <c r="X60" i="27" s="1"/>
  <c r="Y28" i="8"/>
  <c r="X28" i="27" s="1"/>
  <c r="X80" i="27" s="1"/>
  <c r="Y41" i="8"/>
  <c r="X41" i="27" s="1"/>
  <c r="X93" i="27" s="1"/>
  <c r="Y35" i="8"/>
  <c r="X35" i="27" s="1"/>
  <c r="X87" i="27" s="1"/>
  <c r="Y23" i="8"/>
  <c r="X23" i="27" s="1"/>
  <c r="X75" i="27" s="1"/>
  <c r="V21" i="8"/>
  <c r="U21" i="27" s="1"/>
  <c r="U73" i="27" s="1"/>
  <c r="V37" i="8"/>
  <c r="U37" i="27" s="1"/>
  <c r="U89" i="27" s="1"/>
  <c r="V22" i="8"/>
  <c r="U22" i="27" s="1"/>
  <c r="U74" i="27" s="1"/>
  <c r="V20" i="8"/>
  <c r="U20" i="27" s="1"/>
  <c r="U72" i="27" s="1"/>
  <c r="V10" i="8"/>
  <c r="U10" i="27" s="1"/>
  <c r="U62" i="27" s="1"/>
  <c r="V12" i="8"/>
  <c r="U12" i="27" s="1"/>
  <c r="U64" i="27" s="1"/>
  <c r="M44" i="8"/>
  <c r="M44" i="27" s="1"/>
  <c r="M96" i="27" s="1"/>
  <c r="M15" i="8"/>
  <c r="M15" i="27" s="1"/>
  <c r="M67" i="27" s="1"/>
  <c r="M44" i="13"/>
  <c r="L53" i="8"/>
  <c r="V6" i="8"/>
  <c r="U6" i="27" s="1"/>
  <c r="U58" i="27" s="1"/>
  <c r="V53" i="9"/>
  <c r="M49" i="8"/>
  <c r="M49" i="27" s="1"/>
  <c r="M101" i="27" s="1"/>
  <c r="M19" i="8"/>
  <c r="M19" i="27" s="1"/>
  <c r="M71" i="27" s="1"/>
  <c r="Y5" i="8"/>
  <c r="X5" i="27" s="1"/>
  <c r="X57" i="27" s="1"/>
  <c r="Y32" i="8"/>
  <c r="X32" i="27" s="1"/>
  <c r="X84" i="27" s="1"/>
  <c r="Y36" i="8"/>
  <c r="X36" i="27" s="1"/>
  <c r="X88" i="27" s="1"/>
  <c r="Y50" i="8"/>
  <c r="X50" i="27" s="1"/>
  <c r="X102" i="27" s="1"/>
  <c r="AI53" i="8"/>
  <c r="M6" i="8"/>
  <c r="M6" i="27" s="1"/>
  <c r="M58" i="27" s="1"/>
  <c r="M36" i="8"/>
  <c r="M36" i="27" s="1"/>
  <c r="M88" i="27" s="1"/>
  <c r="T44" i="12"/>
  <c r="M38" i="8"/>
  <c r="M38" i="27" s="1"/>
  <c r="M90" i="27" s="1"/>
  <c r="L16" i="11"/>
  <c r="L11" i="11"/>
  <c r="L10" i="11"/>
  <c r="L9" i="11"/>
  <c r="L8" i="11"/>
  <c r="L7" i="11"/>
  <c r="L6" i="11"/>
  <c r="L5" i="11"/>
  <c r="L30" i="11"/>
  <c r="L40" i="11"/>
  <c r="L15" i="11"/>
  <c r="L39" i="11"/>
  <c r="L32" i="11"/>
  <c r="L38" i="11"/>
  <c r="L21" i="11"/>
  <c r="L31" i="11"/>
  <c r="L18" i="11"/>
  <c r="L42" i="11"/>
  <c r="L23" i="11"/>
  <c r="L37" i="11"/>
  <c r="L14" i="11"/>
  <c r="L36" i="11"/>
  <c r="L22" i="11"/>
  <c r="L35" i="11"/>
  <c r="L12" i="11"/>
  <c r="L41" i="11"/>
  <c r="L27" i="11"/>
  <c r="L20" i="11"/>
  <c r="L17" i="11"/>
  <c r="L26" i="11"/>
  <c r="L29" i="11"/>
  <c r="L24" i="11"/>
  <c r="L28" i="11"/>
  <c r="L25" i="11"/>
  <c r="L13" i="11"/>
  <c r="L33" i="11"/>
  <c r="L34" i="11"/>
  <c r="L19" i="11"/>
  <c r="O44" i="12"/>
  <c r="M11" i="8"/>
  <c r="M11" i="27" s="1"/>
  <c r="M63" i="27" s="1"/>
  <c r="M7" i="8"/>
  <c r="M7" i="27" s="1"/>
  <c r="M59" i="27" s="1"/>
  <c r="AH53" i="8"/>
  <c r="M50" i="8"/>
  <c r="M50" i="27" s="1"/>
  <c r="M102" i="27" s="1"/>
  <c r="AC53" i="8"/>
  <c r="M17" i="8"/>
  <c r="M17" i="27" s="1"/>
  <c r="M69" i="27" s="1"/>
  <c r="V9" i="8"/>
  <c r="U9" i="27" s="1"/>
  <c r="U61" i="27" s="1"/>
  <c r="N55" i="9"/>
  <c r="N55" i="8"/>
  <c r="N55" i="7"/>
  <c r="V48" i="8"/>
  <c r="U48" i="27" s="1"/>
  <c r="U100" i="27" s="1"/>
  <c r="T54" i="8"/>
  <c r="T54" i="7"/>
  <c r="T54" i="9"/>
  <c r="V5" i="8"/>
  <c r="U5" i="27" s="1"/>
  <c r="U57" i="27" s="1"/>
  <c r="V24" i="8"/>
  <c r="U24" i="27" s="1"/>
  <c r="U76" i="27" s="1"/>
  <c r="AA5" i="12"/>
  <c r="AA44" i="12" s="1"/>
  <c r="Z44" i="12"/>
  <c r="W53" i="8"/>
  <c r="M51" i="8"/>
  <c r="M51" i="27" s="1"/>
  <c r="M103" i="27" s="1"/>
  <c r="M34" i="8"/>
  <c r="M34" i="27" s="1"/>
  <c r="M86" i="27" s="1"/>
  <c r="Y25" i="8"/>
  <c r="X25" i="27" s="1"/>
  <c r="X77" i="27" s="1"/>
  <c r="Y12" i="8"/>
  <c r="X12" i="27" s="1"/>
  <c r="X64" i="27" s="1"/>
  <c r="Y45" i="8"/>
  <c r="X45" i="27" s="1"/>
  <c r="X97" i="27" s="1"/>
  <c r="M32" i="8"/>
  <c r="M32" i="27" s="1"/>
  <c r="M84" i="27" s="1"/>
  <c r="M8" i="8"/>
  <c r="M8" i="27" s="1"/>
  <c r="M60" i="27" s="1"/>
  <c r="V49" i="8"/>
  <c r="U49" i="27" s="1"/>
  <c r="U101" i="27" s="1"/>
  <c r="V33" i="8"/>
  <c r="U33" i="27" s="1"/>
  <c r="U85" i="27" s="1"/>
  <c r="V13" i="8"/>
  <c r="U13" i="27" s="1"/>
  <c r="U65" i="27" s="1"/>
  <c r="K9" i="29" s="1"/>
  <c r="K14" i="29" s="1"/>
  <c r="V14" i="8"/>
  <c r="U14" i="27" s="1"/>
  <c r="U66" i="27" s="1"/>
  <c r="V15" i="8"/>
  <c r="U15" i="27" s="1"/>
  <c r="U67" i="27" s="1"/>
  <c r="V44" i="8"/>
  <c r="U44" i="27" s="1"/>
  <c r="U96" i="27" s="1"/>
  <c r="V44" i="13"/>
  <c r="M45" i="8"/>
  <c r="M45" i="27" s="1"/>
  <c r="M97" i="27" s="1"/>
  <c r="M26" i="8"/>
  <c r="M26" i="27" s="1"/>
  <c r="M78" i="27" s="1"/>
  <c r="Y19" i="8"/>
  <c r="X19" i="27" s="1"/>
  <c r="X71" i="27" s="1"/>
  <c r="Y6" i="8"/>
  <c r="X6" i="27" s="1"/>
  <c r="X58" i="27" s="1"/>
  <c r="Y30" i="8"/>
  <c r="X30" i="27" s="1"/>
  <c r="X82" i="27" s="1"/>
  <c r="Y47" i="8"/>
  <c r="X47" i="27" s="1"/>
  <c r="X99" i="27" s="1"/>
  <c r="Y29" i="8"/>
  <c r="X29" i="27" s="1"/>
  <c r="X81" i="27" s="1"/>
  <c r="Y39" i="8"/>
  <c r="X39" i="27" s="1"/>
  <c r="X91" i="27" s="1"/>
  <c r="M30" i="8"/>
  <c r="M30" i="27" s="1"/>
  <c r="M82" i="27" s="1"/>
  <c r="V47" i="8"/>
  <c r="U47" i="27" s="1"/>
  <c r="U99" i="27" s="1"/>
  <c r="V30" i="8"/>
  <c r="U30" i="27" s="1"/>
  <c r="U82" i="27" s="1"/>
  <c r="V8" i="8"/>
  <c r="U8" i="27" s="1"/>
  <c r="U60" i="27" s="1"/>
  <c r="V11" i="8"/>
  <c r="U11" i="27" s="1"/>
  <c r="U63" i="27" s="1"/>
  <c r="V38" i="8"/>
  <c r="U38" i="27" s="1"/>
  <c r="U90" i="27" s="1"/>
  <c r="M9" i="8"/>
  <c r="M9" i="27" s="1"/>
  <c r="M61" i="27" s="1"/>
  <c r="M13" i="8"/>
  <c r="M13" i="27" s="1"/>
  <c r="M65" i="27" s="1"/>
  <c r="F35" i="5"/>
  <c r="L47" i="12"/>
  <c r="L47" i="13"/>
  <c r="L47" i="11"/>
  <c r="L47" i="10"/>
  <c r="Y17" i="8"/>
  <c r="X17" i="27" s="1"/>
  <c r="X69" i="27" s="1"/>
  <c r="Y18" i="8"/>
  <c r="X18" i="27" s="1"/>
  <c r="X70" i="27" s="1"/>
  <c r="Y16" i="8"/>
  <c r="X16" i="27" s="1"/>
  <c r="X68" i="27" s="1"/>
  <c r="Y38" i="8"/>
  <c r="X38" i="27" s="1"/>
  <c r="X90" i="27" s="1"/>
  <c r="Y42" i="8"/>
  <c r="X42" i="27" s="1"/>
  <c r="X94" i="27" s="1"/>
  <c r="M23" i="8"/>
  <c r="M23" i="27" s="1"/>
  <c r="M75" i="27" s="1"/>
  <c r="V32" i="8"/>
  <c r="U32" i="27" s="1"/>
  <c r="U84" i="27" s="1"/>
  <c r="V45" i="8"/>
  <c r="U45" i="27" s="1"/>
  <c r="U97" i="27" s="1"/>
  <c r="V50" i="8"/>
  <c r="U50" i="27" s="1"/>
  <c r="U102" i="27" s="1"/>
  <c r="V46" i="8"/>
  <c r="U46" i="27" s="1"/>
  <c r="U98" i="27" s="1"/>
  <c r="V7" i="8"/>
  <c r="U7" i="27" s="1"/>
  <c r="U59" i="27" s="1"/>
  <c r="M12" i="8"/>
  <c r="M12" i="27" s="1"/>
  <c r="M64" i="27" s="1"/>
  <c r="M44" i="12"/>
  <c r="M31" i="8"/>
  <c r="M31" i="27" s="1"/>
  <c r="M83" i="27" s="1"/>
  <c r="O53" i="8"/>
  <c r="F10" i="5"/>
  <c r="N58" i="6"/>
  <c r="E10" i="5"/>
  <c r="N57" i="6"/>
  <c r="D47" i="5"/>
  <c r="D29" i="5"/>
  <c r="M15" i="29" l="1"/>
  <c r="E15" i="29"/>
  <c r="B15" i="29"/>
  <c r="G15" i="29"/>
  <c r="L15" i="29"/>
  <c r="Q15" i="29"/>
  <c r="U15" i="29"/>
  <c r="H15" i="30"/>
  <c r="H14" i="30"/>
  <c r="K11" i="29"/>
  <c r="K7" i="29"/>
  <c r="K13" i="29" s="1"/>
  <c r="H9" i="29"/>
  <c r="H11" i="29"/>
  <c r="H7" i="29"/>
  <c r="H13" i="29" s="1"/>
  <c r="S5" i="13"/>
  <c r="S44" i="13" s="1"/>
  <c r="R44" i="13"/>
  <c r="P14" i="12"/>
  <c r="P14" i="13"/>
  <c r="P14" i="28" s="1"/>
  <c r="P57" i="28" s="1"/>
  <c r="P28" i="28"/>
  <c r="P71" i="28" s="1"/>
  <c r="P28" i="12"/>
  <c r="P28" i="13"/>
  <c r="P30" i="12"/>
  <c r="P30" i="28" s="1"/>
  <c r="P73" i="28" s="1"/>
  <c r="P30" i="13"/>
  <c r="P37" i="12"/>
  <c r="P37" i="28" s="1"/>
  <c r="P80" i="28" s="1"/>
  <c r="P37" i="13"/>
  <c r="P19" i="13"/>
  <c r="P19" i="12"/>
  <c r="P19" i="28" s="1"/>
  <c r="P62" i="28" s="1"/>
  <c r="P27" i="28"/>
  <c r="P70" i="28" s="1"/>
  <c r="P27" i="13"/>
  <c r="P27" i="12"/>
  <c r="P6" i="13"/>
  <c r="P6" i="28" s="1"/>
  <c r="P49" i="28" s="1"/>
  <c r="P6" i="12"/>
  <c r="P31" i="12"/>
  <c r="P31" i="28" s="1"/>
  <c r="P74" i="28" s="1"/>
  <c r="P31" i="13"/>
  <c r="P15" i="12"/>
  <c r="P15" i="13"/>
  <c r="P15" i="28" s="1"/>
  <c r="P58" i="28" s="1"/>
  <c r="H7" i="30"/>
  <c r="H13" i="30" s="1"/>
  <c r="Q20" i="28"/>
  <c r="Q63" i="28" s="1"/>
  <c r="Q8" i="28"/>
  <c r="Q51" i="28" s="1"/>
  <c r="Q25" i="28"/>
  <c r="Q68" i="28" s="1"/>
  <c r="S31" i="28"/>
  <c r="S74" i="28" s="1"/>
  <c r="W31" i="11"/>
  <c r="U31" i="12"/>
  <c r="W31" i="12" s="1"/>
  <c r="U31" i="13"/>
  <c r="W31" i="13" s="1"/>
  <c r="S25" i="28"/>
  <c r="S68" i="28" s="1"/>
  <c r="W25" i="11"/>
  <c r="U25" i="12"/>
  <c r="W25" i="12" s="1"/>
  <c r="U25" i="13"/>
  <c r="W25" i="13" s="1"/>
  <c r="S7" i="28"/>
  <c r="S50" i="28" s="1"/>
  <c r="U7" i="12"/>
  <c r="W7" i="12" s="1"/>
  <c r="W7" i="11"/>
  <c r="U7" i="13"/>
  <c r="W7" i="13" s="1"/>
  <c r="S29" i="28"/>
  <c r="S72" i="28" s="1"/>
  <c r="U29" i="12"/>
  <c r="W29" i="12" s="1"/>
  <c r="U29" i="13"/>
  <c r="W29" i="13" s="1"/>
  <c r="W29" i="11"/>
  <c r="S40" i="28"/>
  <c r="S83" i="28" s="1"/>
  <c r="U40" i="12"/>
  <c r="W40" i="12" s="1"/>
  <c r="U40" i="13"/>
  <c r="W40" i="13" s="1"/>
  <c r="W40" i="11"/>
  <c r="S17" i="28"/>
  <c r="S60" i="28" s="1"/>
  <c r="U17" i="13"/>
  <c r="W17" i="13" s="1"/>
  <c r="W17" i="11"/>
  <c r="U17" i="12"/>
  <c r="W17" i="12" s="1"/>
  <c r="S16" i="28"/>
  <c r="S59" i="28" s="1"/>
  <c r="U16" i="13"/>
  <c r="W16" i="13" s="1"/>
  <c r="U16" i="12"/>
  <c r="W16" i="12" s="1"/>
  <c r="W16" i="11"/>
  <c r="S21" i="28"/>
  <c r="S64" i="28" s="1"/>
  <c r="W21" i="11"/>
  <c r="U21" i="12"/>
  <c r="W21" i="12" s="1"/>
  <c r="U21" i="13"/>
  <c r="W21" i="13" s="1"/>
  <c r="S41" i="28"/>
  <c r="S84" i="28" s="1"/>
  <c r="W41" i="11"/>
  <c r="U41" i="12"/>
  <c r="W41" i="12" s="1"/>
  <c r="U41" i="13"/>
  <c r="W41" i="13" s="1"/>
  <c r="S6" i="28"/>
  <c r="S49" i="28" s="1"/>
  <c r="W6" i="11"/>
  <c r="U6" i="13"/>
  <c r="W6" i="13" s="1"/>
  <c r="U6" i="12"/>
  <c r="W6" i="12" s="1"/>
  <c r="N36" i="28"/>
  <c r="N79" i="28" s="1"/>
  <c r="N36" i="13"/>
  <c r="N36" i="12"/>
  <c r="N12" i="13"/>
  <c r="N12" i="28" s="1"/>
  <c r="N55" i="28" s="1"/>
  <c r="N12" i="12"/>
  <c r="N6" i="13"/>
  <c r="N6" i="12"/>
  <c r="N6" i="28" s="1"/>
  <c r="N49" i="28" s="1"/>
  <c r="N27" i="13"/>
  <c r="N27" i="12"/>
  <c r="N27" i="28" s="1"/>
  <c r="N70" i="28" s="1"/>
  <c r="N38" i="28"/>
  <c r="N81" i="28" s="1"/>
  <c r="N38" i="13"/>
  <c r="N38" i="12"/>
  <c r="N20" i="12"/>
  <c r="N20" i="28" s="1"/>
  <c r="N63" i="28" s="1"/>
  <c r="N20" i="13"/>
  <c r="N40" i="12"/>
  <c r="N40" i="28" s="1"/>
  <c r="N83" i="28" s="1"/>
  <c r="N40" i="13"/>
  <c r="N34" i="12"/>
  <c r="N34" i="13"/>
  <c r="N34" i="28" s="1"/>
  <c r="N77" i="28" s="1"/>
  <c r="N29" i="28"/>
  <c r="N72" i="28" s="1"/>
  <c r="N29" i="13"/>
  <c r="N29" i="12"/>
  <c r="N10" i="13"/>
  <c r="N10" i="28" s="1"/>
  <c r="N53" i="28" s="1"/>
  <c r="N10" i="12"/>
  <c r="C15" i="30"/>
  <c r="C14" i="30"/>
  <c r="C9" i="29"/>
  <c r="C7" i="29"/>
  <c r="C13" i="29" s="1"/>
  <c r="C11" i="29"/>
  <c r="S44" i="11"/>
  <c r="L15" i="30"/>
  <c r="L14" i="30"/>
  <c r="P42" i="28"/>
  <c r="P85" i="28" s="1"/>
  <c r="P42" i="13"/>
  <c r="P42" i="12"/>
  <c r="P22" i="13"/>
  <c r="P22" i="28" s="1"/>
  <c r="P65" i="28" s="1"/>
  <c r="P22" i="12"/>
  <c r="P25" i="12"/>
  <c r="P25" i="28" s="1"/>
  <c r="P68" i="28" s="1"/>
  <c r="P25" i="13"/>
  <c r="P36" i="12"/>
  <c r="P36" i="28" s="1"/>
  <c r="P79" i="28" s="1"/>
  <c r="P36" i="13"/>
  <c r="P34" i="28"/>
  <c r="P77" i="28" s="1"/>
  <c r="P34" i="13"/>
  <c r="P34" i="12"/>
  <c r="P38" i="12"/>
  <c r="P38" i="28" s="1"/>
  <c r="P81" i="28" s="1"/>
  <c r="P38" i="13"/>
  <c r="P10" i="12"/>
  <c r="P10" i="28" s="1"/>
  <c r="P53" i="28" s="1"/>
  <c r="P10" i="13"/>
  <c r="P13" i="12"/>
  <c r="P13" i="28" s="1"/>
  <c r="P56" i="28" s="1"/>
  <c r="P13" i="13"/>
  <c r="P18" i="28"/>
  <c r="P61" i="28" s="1"/>
  <c r="P18" i="12"/>
  <c r="P18" i="13"/>
  <c r="F15" i="29"/>
  <c r="H11" i="30"/>
  <c r="W42" i="11"/>
  <c r="U42" i="12"/>
  <c r="W42" i="12" s="1"/>
  <c r="U42" i="13"/>
  <c r="W42" i="13" s="1"/>
  <c r="W28" i="11"/>
  <c r="U28" i="12"/>
  <c r="W28" i="12" s="1"/>
  <c r="U28" i="13"/>
  <c r="W28" i="13" s="1"/>
  <c r="W11" i="11"/>
  <c r="U11" i="12"/>
  <c r="W11" i="12" s="1"/>
  <c r="U11" i="13"/>
  <c r="W11" i="13" s="1"/>
  <c r="U15" i="13"/>
  <c r="W15" i="13" s="1"/>
  <c r="W15" i="11"/>
  <c r="U15" i="12"/>
  <c r="W15" i="12" s="1"/>
  <c r="U36" i="13"/>
  <c r="W36" i="13" s="1"/>
  <c r="W36" i="11"/>
  <c r="U36" i="12"/>
  <c r="W36" i="12" s="1"/>
  <c r="W12" i="11"/>
  <c r="U12" i="12"/>
  <c r="W12" i="12" s="1"/>
  <c r="U12" i="13"/>
  <c r="W12" i="13" s="1"/>
  <c r="W18" i="11"/>
  <c r="U18" i="12"/>
  <c r="W18" i="12" s="1"/>
  <c r="U18" i="13"/>
  <c r="W18" i="13" s="1"/>
  <c r="U37" i="12"/>
  <c r="W37" i="12" s="1"/>
  <c r="U37" i="13"/>
  <c r="W37" i="13" s="1"/>
  <c r="W37" i="11"/>
  <c r="U20" i="12"/>
  <c r="W20" i="12" s="1"/>
  <c r="U20" i="13"/>
  <c r="W20" i="13" s="1"/>
  <c r="W20" i="11"/>
  <c r="U10" i="12"/>
  <c r="W10" i="12" s="1"/>
  <c r="U10" i="13"/>
  <c r="W10" i="13" s="1"/>
  <c r="W10" i="11"/>
  <c r="N18" i="12"/>
  <c r="N18" i="28" s="1"/>
  <c r="N61" i="28" s="1"/>
  <c r="N18" i="13"/>
  <c r="N39" i="28"/>
  <c r="N82" i="28" s="1"/>
  <c r="N39" i="12"/>
  <c r="N39" i="13"/>
  <c r="N11" i="12"/>
  <c r="N11" i="28" s="1"/>
  <c r="N54" i="28" s="1"/>
  <c r="N11" i="13"/>
  <c r="N28" i="13"/>
  <c r="N28" i="12"/>
  <c r="N28" i="28" s="1"/>
  <c r="N71" i="28" s="1"/>
  <c r="N42" i="13"/>
  <c r="N42" i="12"/>
  <c r="N42" i="28" s="1"/>
  <c r="N85" i="28" s="1"/>
  <c r="N37" i="28"/>
  <c r="N80" i="28" s="1"/>
  <c r="N37" i="12"/>
  <c r="N37" i="13"/>
  <c r="N41" i="12"/>
  <c r="N41" i="28" s="1"/>
  <c r="N84" i="28" s="1"/>
  <c r="N41" i="13"/>
  <c r="N35" i="12"/>
  <c r="N35" i="28" s="1"/>
  <c r="N78" i="28" s="1"/>
  <c r="N35" i="13"/>
  <c r="N24" i="12"/>
  <c r="N24" i="28" s="1"/>
  <c r="N67" i="28" s="1"/>
  <c r="N24" i="13"/>
  <c r="N7" i="28"/>
  <c r="N50" i="28" s="1"/>
  <c r="N7" i="12"/>
  <c r="N7" i="13"/>
  <c r="N9" i="29"/>
  <c r="N11" i="29"/>
  <c r="N7" i="29"/>
  <c r="N13" i="29" s="1"/>
  <c r="Q27" i="28"/>
  <c r="Q70" i="28" s="1"/>
  <c r="Q11" i="28"/>
  <c r="Q54" i="28" s="1"/>
  <c r="G7" i="30" s="1"/>
  <c r="G13" i="30" s="1"/>
  <c r="Q41" i="28"/>
  <c r="Q84" i="28" s="1"/>
  <c r="S5" i="12"/>
  <c r="S44" i="12" s="1"/>
  <c r="R44" i="12"/>
  <c r="P12" i="28"/>
  <c r="P55" i="28" s="1"/>
  <c r="P12" i="12"/>
  <c r="P12" i="13"/>
  <c r="P21" i="12"/>
  <c r="P21" i="28" s="1"/>
  <c r="P64" i="28" s="1"/>
  <c r="P21" i="13"/>
  <c r="P8" i="13"/>
  <c r="P8" i="12"/>
  <c r="P8" i="28" s="1"/>
  <c r="P51" i="28" s="1"/>
  <c r="P26" i="13"/>
  <c r="P26" i="12"/>
  <c r="P26" i="28" s="1"/>
  <c r="P69" i="28" s="1"/>
  <c r="P5" i="28"/>
  <c r="P48" i="28" s="1"/>
  <c r="P5" i="13"/>
  <c r="P5" i="12"/>
  <c r="P44" i="11"/>
  <c r="P32" i="28"/>
  <c r="P75" i="28" s="1"/>
  <c r="P32" i="13"/>
  <c r="P32" i="12"/>
  <c r="P17" i="13"/>
  <c r="P17" i="28" s="1"/>
  <c r="P60" i="28" s="1"/>
  <c r="P17" i="12"/>
  <c r="P33" i="12"/>
  <c r="P33" i="28" s="1"/>
  <c r="P76" i="28" s="1"/>
  <c r="P33" i="13"/>
  <c r="P41" i="12"/>
  <c r="P41" i="28" s="1"/>
  <c r="P84" i="28" s="1"/>
  <c r="P41" i="13"/>
  <c r="P7" i="28"/>
  <c r="P50" i="28" s="1"/>
  <c r="P7" i="12"/>
  <c r="P7" i="13"/>
  <c r="U34" i="12"/>
  <c r="W34" i="12" s="1"/>
  <c r="U34" i="13"/>
  <c r="W34" i="13" s="1"/>
  <c r="W34" i="11"/>
  <c r="U30" i="12"/>
  <c r="W30" i="12" s="1"/>
  <c r="U30" i="13"/>
  <c r="W30" i="13" s="1"/>
  <c r="W30" i="11"/>
  <c r="U14" i="12"/>
  <c r="W14" i="12" s="1"/>
  <c r="W14" i="11"/>
  <c r="U14" i="13"/>
  <c r="W14" i="13" s="1"/>
  <c r="U35" i="12"/>
  <c r="W35" i="12" s="1"/>
  <c r="W35" i="11"/>
  <c r="U35" i="13"/>
  <c r="W35" i="13" s="1"/>
  <c r="U8" i="12"/>
  <c r="W8" i="12" s="1"/>
  <c r="W8" i="11"/>
  <c r="U8" i="13"/>
  <c r="W8" i="13" s="1"/>
  <c r="S26" i="28"/>
  <c r="S69" i="28" s="1"/>
  <c r="W26" i="11"/>
  <c r="U26" i="12"/>
  <c r="W26" i="12" s="1"/>
  <c r="U26" i="13"/>
  <c r="W26" i="13" s="1"/>
  <c r="W5" i="11"/>
  <c r="W44" i="11" s="1"/>
  <c r="U5" i="12"/>
  <c r="U44" i="11"/>
  <c r="U5" i="13"/>
  <c r="S27" i="28"/>
  <c r="S70" i="28" s="1"/>
  <c r="U27" i="13"/>
  <c r="W27" i="13" s="1"/>
  <c r="W27" i="11"/>
  <c r="U27" i="12"/>
  <c r="W27" i="12" s="1"/>
  <c r="S24" i="28"/>
  <c r="S67" i="28" s="1"/>
  <c r="U24" i="13"/>
  <c r="W24" i="13" s="1"/>
  <c r="W24" i="11"/>
  <c r="U24" i="12"/>
  <c r="W24" i="12" s="1"/>
  <c r="N15" i="28"/>
  <c r="N58" i="28" s="1"/>
  <c r="N15" i="13"/>
  <c r="N15" i="12"/>
  <c r="N26" i="13"/>
  <c r="N26" i="28" s="1"/>
  <c r="N69" i="28" s="1"/>
  <c r="N26" i="12"/>
  <c r="N21" i="13"/>
  <c r="N21" i="12"/>
  <c r="N21" i="28" s="1"/>
  <c r="N64" i="28" s="1"/>
  <c r="N22" i="13"/>
  <c r="N22" i="12"/>
  <c r="N22" i="28" s="1"/>
  <c r="N65" i="28" s="1"/>
  <c r="N9" i="28"/>
  <c r="N52" i="28" s="1"/>
  <c r="N9" i="13"/>
  <c r="N9" i="12"/>
  <c r="N33" i="12"/>
  <c r="N33" i="28" s="1"/>
  <c r="N76" i="28" s="1"/>
  <c r="N33" i="13"/>
  <c r="N13" i="12"/>
  <c r="N13" i="28" s="1"/>
  <c r="N56" i="28" s="1"/>
  <c r="N13" i="13"/>
  <c r="N32" i="13"/>
  <c r="N32" i="12"/>
  <c r="N32" i="28" s="1"/>
  <c r="N75" i="28" s="1"/>
  <c r="N25" i="28"/>
  <c r="N68" i="28" s="1"/>
  <c r="N25" i="13"/>
  <c r="N25" i="12"/>
  <c r="Q31" i="28"/>
  <c r="Q74" i="28" s="1"/>
  <c r="Q14" i="28"/>
  <c r="Q57" i="28" s="1"/>
  <c r="Q6" i="28"/>
  <c r="Q49" i="28" s="1"/>
  <c r="L7" i="30"/>
  <c r="L13" i="30" s="1"/>
  <c r="G9" i="30"/>
  <c r="G11" i="30"/>
  <c r="J15" i="30"/>
  <c r="J14" i="30"/>
  <c r="P35" i="13"/>
  <c r="P35" i="12"/>
  <c r="P35" i="28" s="1"/>
  <c r="P78" i="28" s="1"/>
  <c r="P23" i="28"/>
  <c r="P66" i="28" s="1"/>
  <c r="P23" i="13"/>
  <c r="P23" i="12"/>
  <c r="P29" i="12"/>
  <c r="P29" i="28" s="1"/>
  <c r="P72" i="28" s="1"/>
  <c r="P29" i="13"/>
  <c r="P20" i="12"/>
  <c r="P20" i="28" s="1"/>
  <c r="P63" i="28" s="1"/>
  <c r="P20" i="13"/>
  <c r="P9" i="12"/>
  <c r="P9" i="28" s="1"/>
  <c r="P52" i="28" s="1"/>
  <c r="P9" i="13"/>
  <c r="P24" i="28"/>
  <c r="P67" i="28" s="1"/>
  <c r="P24" i="12"/>
  <c r="P24" i="13"/>
  <c r="P16" i="13"/>
  <c r="P16" i="28" s="1"/>
  <c r="P59" i="28" s="1"/>
  <c r="P16" i="12"/>
  <c r="P40" i="12"/>
  <c r="P40" i="28" s="1"/>
  <c r="P83" i="28" s="1"/>
  <c r="P40" i="13"/>
  <c r="P39" i="12"/>
  <c r="P39" i="28" s="1"/>
  <c r="P82" i="28" s="1"/>
  <c r="P39" i="13"/>
  <c r="P11" i="28"/>
  <c r="P54" i="28" s="1"/>
  <c r="P11" i="12"/>
  <c r="P11" i="13"/>
  <c r="K15" i="29"/>
  <c r="S23" i="28"/>
  <c r="S66" i="28" s="1"/>
  <c r="U23" i="13"/>
  <c r="W23" i="13" s="1"/>
  <c r="W23" i="11"/>
  <c r="U23" i="12"/>
  <c r="W23" i="12" s="1"/>
  <c r="S38" i="28"/>
  <c r="S81" i="28" s="1"/>
  <c r="U38" i="13"/>
  <c r="W38" i="13" s="1"/>
  <c r="W38" i="11"/>
  <c r="U38" i="12"/>
  <c r="W38" i="12" s="1"/>
  <c r="S33" i="28"/>
  <c r="S76" i="28" s="1"/>
  <c r="W33" i="11"/>
  <c r="U33" i="13"/>
  <c r="W33" i="13" s="1"/>
  <c r="U33" i="12"/>
  <c r="W33" i="12" s="1"/>
  <c r="S32" i="28"/>
  <c r="S75" i="28" s="1"/>
  <c r="W32" i="11"/>
  <c r="U32" i="12"/>
  <c r="W32" i="12" s="1"/>
  <c r="U32" i="13"/>
  <c r="W32" i="13" s="1"/>
  <c r="S13" i="28"/>
  <c r="S56" i="28" s="1"/>
  <c r="U13" i="12"/>
  <c r="W13" i="12" s="1"/>
  <c r="U13" i="13"/>
  <c r="W13" i="13" s="1"/>
  <c r="W13" i="11"/>
  <c r="S19" i="28"/>
  <c r="S62" i="28" s="1"/>
  <c r="U19" i="12"/>
  <c r="W19" i="12" s="1"/>
  <c r="U19" i="13"/>
  <c r="W19" i="13" s="1"/>
  <c r="W19" i="11"/>
  <c r="S9" i="28"/>
  <c r="S52" i="28" s="1"/>
  <c r="W9" i="11"/>
  <c r="U9" i="13"/>
  <c r="W9" i="13" s="1"/>
  <c r="U9" i="12"/>
  <c r="W9" i="12" s="1"/>
  <c r="S39" i="28"/>
  <c r="S82" i="28" s="1"/>
  <c r="W39" i="11"/>
  <c r="U39" i="13"/>
  <c r="W39" i="13" s="1"/>
  <c r="U39" i="12"/>
  <c r="W39" i="12" s="1"/>
  <c r="S22" i="28"/>
  <c r="S65" i="28" s="1"/>
  <c r="W22" i="11"/>
  <c r="U22" i="13"/>
  <c r="W22" i="13" s="1"/>
  <c r="U22" i="12"/>
  <c r="W22" i="12" s="1"/>
  <c r="Q11" i="29"/>
  <c r="Q7" i="29"/>
  <c r="Q13" i="29" s="1"/>
  <c r="N31" i="13"/>
  <c r="N31" i="12"/>
  <c r="N31" i="28" s="1"/>
  <c r="N74" i="28" s="1"/>
  <c r="N30" i="12"/>
  <c r="N30" i="28" s="1"/>
  <c r="N73" i="28" s="1"/>
  <c r="N30" i="13"/>
  <c r="N14" i="28"/>
  <c r="N57" i="28" s="1"/>
  <c r="N14" i="12"/>
  <c r="N14" i="13"/>
  <c r="N19" i="12"/>
  <c r="N19" i="28" s="1"/>
  <c r="N62" i="28" s="1"/>
  <c r="N19" i="13"/>
  <c r="N16" i="12"/>
  <c r="N16" i="28" s="1"/>
  <c r="N59" i="28" s="1"/>
  <c r="N16" i="13"/>
  <c r="N23" i="12"/>
  <c r="N23" i="28" s="1"/>
  <c r="N66" i="28" s="1"/>
  <c r="N23" i="13"/>
  <c r="N5" i="28"/>
  <c r="N48" i="28" s="1"/>
  <c r="N44" i="11"/>
  <c r="N5" i="12"/>
  <c r="N5" i="13"/>
  <c r="N17" i="28"/>
  <c r="N60" i="28" s="1"/>
  <c r="N17" i="12"/>
  <c r="N17" i="13"/>
  <c r="N8" i="12"/>
  <c r="N8" i="28" s="1"/>
  <c r="N51" i="28" s="1"/>
  <c r="N8" i="13"/>
  <c r="E15" i="30"/>
  <c r="E14" i="30"/>
  <c r="AD53" i="8"/>
  <c r="AB35" i="8"/>
  <c r="AB43" i="8"/>
  <c r="AB51" i="8"/>
  <c r="AB27" i="8"/>
  <c r="AB31" i="8"/>
  <c r="AB53" i="9"/>
  <c r="AB47" i="8"/>
  <c r="AB29" i="8"/>
  <c r="AB14" i="8"/>
  <c r="AB24" i="8"/>
  <c r="AB20" i="8"/>
  <c r="AB34" i="8"/>
  <c r="AB13" i="8"/>
  <c r="AB22" i="8"/>
  <c r="AB44" i="8"/>
  <c r="AB33" i="8"/>
  <c r="AB36" i="8"/>
  <c r="AB9" i="8"/>
  <c r="AB37" i="8"/>
  <c r="AB45" i="8"/>
  <c r="AB16" i="8"/>
  <c r="AB38" i="8"/>
  <c r="AB25" i="8"/>
  <c r="AB28" i="8"/>
  <c r="AB7" i="8"/>
  <c r="AB32" i="8"/>
  <c r="AB11" i="8"/>
  <c r="AB46" i="8"/>
  <c r="AB8" i="8"/>
  <c r="AB50" i="8"/>
  <c r="AB39" i="8"/>
  <c r="AB48" i="8"/>
  <c r="AB15" i="8"/>
  <c r="AB49" i="8"/>
  <c r="AB10" i="8"/>
  <c r="AB21" i="8"/>
  <c r="AB26" i="8"/>
  <c r="AB40" i="8"/>
  <c r="M53" i="8"/>
  <c r="AB12" i="8"/>
  <c r="AB30" i="8"/>
  <c r="AB6" i="8"/>
  <c r="AB18" i="8"/>
  <c r="AB42" i="8"/>
  <c r="L13" i="12"/>
  <c r="Q13" i="12" s="1"/>
  <c r="L13" i="13"/>
  <c r="Q13" i="11"/>
  <c r="AB13" i="11" s="1"/>
  <c r="L29" i="12"/>
  <c r="Q29" i="12" s="1"/>
  <c r="L29" i="13"/>
  <c r="Q29" i="13" s="1"/>
  <c r="Q29" i="11"/>
  <c r="AB29" i="11" s="1"/>
  <c r="L27" i="12"/>
  <c r="Q27" i="12" s="1"/>
  <c r="L27" i="13"/>
  <c r="Q27" i="13" s="1"/>
  <c r="Q27" i="11"/>
  <c r="AB27" i="11" s="1"/>
  <c r="L22" i="12"/>
  <c r="Q22" i="12" s="1"/>
  <c r="L22" i="13"/>
  <c r="Q22" i="13" s="1"/>
  <c r="Q22" i="11"/>
  <c r="AB22" i="11" s="1"/>
  <c r="L23" i="12"/>
  <c r="Q23" i="12" s="1"/>
  <c r="L23" i="13"/>
  <c r="Q23" i="13" s="1"/>
  <c r="Q23" i="11"/>
  <c r="AB23" i="11" s="1"/>
  <c r="L21" i="12"/>
  <c r="Q21" i="12" s="1"/>
  <c r="L21" i="13"/>
  <c r="Q21" i="13" s="1"/>
  <c r="Q21" i="11"/>
  <c r="AB21" i="11" s="1"/>
  <c r="L15" i="12"/>
  <c r="Q15" i="12" s="1"/>
  <c r="L15" i="13"/>
  <c r="Q15" i="13" s="1"/>
  <c r="Q15" i="11"/>
  <c r="AB15" i="11" s="1"/>
  <c r="L6" i="12"/>
  <c r="Q6" i="12" s="1"/>
  <c r="L6" i="13"/>
  <c r="Q6" i="13" s="1"/>
  <c r="Q6" i="11"/>
  <c r="AB6" i="11" s="1"/>
  <c r="L10" i="12"/>
  <c r="Q10" i="12" s="1"/>
  <c r="L10" i="13"/>
  <c r="Q10" i="13" s="1"/>
  <c r="Q10" i="11"/>
  <c r="AB10" i="11" s="1"/>
  <c r="Y53" i="8"/>
  <c r="AB23" i="8"/>
  <c r="AB41" i="8"/>
  <c r="S53" i="8"/>
  <c r="T58" i="6"/>
  <c r="T56" i="9"/>
  <c r="T56" i="8"/>
  <c r="T56" i="7"/>
  <c r="F47" i="5"/>
  <c r="L19" i="12"/>
  <c r="L19" i="13"/>
  <c r="Q19" i="13" s="1"/>
  <c r="Q19" i="11"/>
  <c r="AB19" i="11" s="1"/>
  <c r="L25" i="12"/>
  <c r="Q25" i="12" s="1"/>
  <c r="L25" i="13"/>
  <c r="Q25" i="13" s="1"/>
  <c r="Q25" i="11"/>
  <c r="AB25" i="11" s="1"/>
  <c r="L26" i="12"/>
  <c r="Q26" i="12" s="1"/>
  <c r="L26" i="13"/>
  <c r="Q26" i="13" s="1"/>
  <c r="Q26" i="11"/>
  <c r="L41" i="12"/>
  <c r="Q41" i="12" s="1"/>
  <c r="L41" i="13"/>
  <c r="Q41" i="13" s="1"/>
  <c r="Q41" i="11"/>
  <c r="AB41" i="11" s="1"/>
  <c r="L36" i="12"/>
  <c r="Q36" i="12" s="1"/>
  <c r="L36" i="13"/>
  <c r="Q36" i="13" s="1"/>
  <c r="Q36" i="11"/>
  <c r="AB36" i="11" s="1"/>
  <c r="L42" i="12"/>
  <c r="Q42" i="12" s="1"/>
  <c r="L42" i="13"/>
  <c r="Q42" i="13" s="1"/>
  <c r="Q42" i="11"/>
  <c r="AB42" i="11" s="1"/>
  <c r="L38" i="12"/>
  <c r="Q38" i="12" s="1"/>
  <c r="L38" i="13"/>
  <c r="Q38" i="13" s="1"/>
  <c r="Q38" i="11"/>
  <c r="AB38" i="11" s="1"/>
  <c r="L40" i="12"/>
  <c r="Q40" i="12" s="1"/>
  <c r="L40" i="13"/>
  <c r="Q40" i="13" s="1"/>
  <c r="Q40" i="11"/>
  <c r="AB40" i="11" s="1"/>
  <c r="L7" i="12"/>
  <c r="Q7" i="12" s="1"/>
  <c r="L7" i="13"/>
  <c r="Q7" i="13" s="1"/>
  <c r="Q7" i="11"/>
  <c r="AB7" i="11" s="1"/>
  <c r="L11" i="12"/>
  <c r="Q11" i="12" s="1"/>
  <c r="L11" i="13"/>
  <c r="Q11" i="13" s="1"/>
  <c r="Q11" i="11"/>
  <c r="AB11" i="11" s="1"/>
  <c r="Q46" i="13"/>
  <c r="Q46" i="12"/>
  <c r="Q46" i="10"/>
  <c r="Q46" i="11"/>
  <c r="F29" i="5"/>
  <c r="T57" i="6"/>
  <c r="T55" i="9"/>
  <c r="T55" i="8"/>
  <c r="T55" i="7"/>
  <c r="L34" i="12"/>
  <c r="Q34" i="12" s="1"/>
  <c r="L34" i="13"/>
  <c r="Q34" i="13" s="1"/>
  <c r="Q34" i="11"/>
  <c r="AB34" i="11" s="1"/>
  <c r="L28" i="12"/>
  <c r="Q28" i="12" s="1"/>
  <c r="L28" i="13"/>
  <c r="Q28" i="13" s="1"/>
  <c r="Q28" i="11"/>
  <c r="AB28" i="11" s="1"/>
  <c r="L17" i="12"/>
  <c r="Q17" i="12" s="1"/>
  <c r="L17" i="13"/>
  <c r="Q17" i="13" s="1"/>
  <c r="Q17" i="11"/>
  <c r="AB17" i="11" s="1"/>
  <c r="L12" i="12"/>
  <c r="Q12" i="12" s="1"/>
  <c r="L12" i="13"/>
  <c r="Q12" i="13" s="1"/>
  <c r="Q12" i="11"/>
  <c r="AB12" i="11" s="1"/>
  <c r="L14" i="12"/>
  <c r="Q14" i="12" s="1"/>
  <c r="L14" i="13"/>
  <c r="Q14" i="13" s="1"/>
  <c r="Q14" i="11"/>
  <c r="AB14" i="11" s="1"/>
  <c r="L18" i="12"/>
  <c r="Q18" i="12" s="1"/>
  <c r="L18" i="13"/>
  <c r="Q18" i="13" s="1"/>
  <c r="Q18" i="11"/>
  <c r="AB18" i="11" s="1"/>
  <c r="L32" i="12"/>
  <c r="Q32" i="12" s="1"/>
  <c r="L32" i="13"/>
  <c r="Q32" i="13" s="1"/>
  <c r="Q32" i="11"/>
  <c r="AB32" i="11" s="1"/>
  <c r="L30" i="12"/>
  <c r="Q30" i="12" s="1"/>
  <c r="L30" i="13"/>
  <c r="Q30" i="13" s="1"/>
  <c r="Q30" i="11"/>
  <c r="AB30" i="11" s="1"/>
  <c r="L8" i="12"/>
  <c r="L8" i="13"/>
  <c r="Q8" i="13" s="1"/>
  <c r="Q8" i="11"/>
  <c r="AB8" i="11" s="1"/>
  <c r="L16" i="12"/>
  <c r="Q16" i="12" s="1"/>
  <c r="L16" i="13"/>
  <c r="Q16" i="11"/>
  <c r="AB16" i="11" s="1"/>
  <c r="R53" i="8"/>
  <c r="S58" i="8" s="1"/>
  <c r="AM56" i="6"/>
  <c r="AM54" i="9"/>
  <c r="AM54" i="7"/>
  <c r="AM54" i="8" s="1"/>
  <c r="F46" i="5"/>
  <c r="Q47" i="12"/>
  <c r="Q47" i="13"/>
  <c r="Q47" i="11"/>
  <c r="Q47" i="10"/>
  <c r="AB5" i="8"/>
  <c r="V53" i="8"/>
  <c r="L33" i="12"/>
  <c r="Q33" i="12" s="1"/>
  <c r="L33" i="13"/>
  <c r="Q33" i="13" s="1"/>
  <c r="Q33" i="11"/>
  <c r="AB33" i="11" s="1"/>
  <c r="L24" i="12"/>
  <c r="Q24" i="12" s="1"/>
  <c r="L24" i="13"/>
  <c r="Q24" i="13" s="1"/>
  <c r="Q24" i="11"/>
  <c r="AB24" i="11" s="1"/>
  <c r="L20" i="12"/>
  <c r="Q20" i="12" s="1"/>
  <c r="L20" i="13"/>
  <c r="Q20" i="13" s="1"/>
  <c r="Q20" i="11"/>
  <c r="AB20" i="11" s="1"/>
  <c r="L35" i="12"/>
  <c r="Q35" i="12" s="1"/>
  <c r="L35" i="13"/>
  <c r="Q35" i="13" s="1"/>
  <c r="Q35" i="11"/>
  <c r="AB35" i="11" s="1"/>
  <c r="L37" i="12"/>
  <c r="Q37" i="12" s="1"/>
  <c r="L37" i="13"/>
  <c r="Q37" i="13" s="1"/>
  <c r="Q37" i="11"/>
  <c r="AB37" i="11" s="1"/>
  <c r="L31" i="12"/>
  <c r="L31" i="13"/>
  <c r="Q31" i="13" s="1"/>
  <c r="Q31" i="11"/>
  <c r="AB31" i="11" s="1"/>
  <c r="L39" i="12"/>
  <c r="Q39" i="12" s="1"/>
  <c r="L39" i="13"/>
  <c r="Q39" i="13" s="1"/>
  <c r="Q39" i="11"/>
  <c r="AB39" i="11" s="1"/>
  <c r="L5" i="12"/>
  <c r="L5" i="28" s="1"/>
  <c r="L48" i="28" s="1"/>
  <c r="L5" i="13"/>
  <c r="L44" i="11"/>
  <c r="Q5" i="11"/>
  <c r="L9" i="12"/>
  <c r="Q9" i="12" s="1"/>
  <c r="L9" i="13"/>
  <c r="Q9" i="13" s="1"/>
  <c r="Q9" i="11"/>
  <c r="AB9" i="11" s="1"/>
  <c r="AB17" i="8"/>
  <c r="AB19" i="8"/>
  <c r="E42" i="5"/>
  <c r="E21" i="5"/>
  <c r="Q13" i="13" l="1"/>
  <c r="N44" i="12"/>
  <c r="L6" i="28"/>
  <c r="L49" i="28" s="1"/>
  <c r="B11" i="30" s="1"/>
  <c r="L22" i="28"/>
  <c r="L65" i="28" s="1"/>
  <c r="P44" i="12"/>
  <c r="L35" i="28"/>
  <c r="L78" i="28" s="1"/>
  <c r="C14" i="29"/>
  <c r="C15" i="29"/>
  <c r="L32" i="28"/>
  <c r="L75" i="28" s="1"/>
  <c r="L17" i="28"/>
  <c r="L60" i="28" s="1"/>
  <c r="L40" i="28"/>
  <c r="L83" i="28" s="1"/>
  <c r="L41" i="28"/>
  <c r="L84" i="28" s="1"/>
  <c r="Q31" i="12"/>
  <c r="Q16" i="13"/>
  <c r="Q8" i="12"/>
  <c r="AB26" i="11"/>
  <c r="Q19" i="12"/>
  <c r="L15" i="28"/>
  <c r="L58" i="28" s="1"/>
  <c r="L27" i="28"/>
  <c r="L70" i="28" s="1"/>
  <c r="U44" i="12"/>
  <c r="W5" i="12"/>
  <c r="W44" i="12" s="1"/>
  <c r="P44" i="13"/>
  <c r="L39" i="28"/>
  <c r="L82" i="28" s="1"/>
  <c r="L20" i="28"/>
  <c r="L63" i="28" s="1"/>
  <c r="S10" i="28"/>
  <c r="S53" i="28" s="1"/>
  <c r="S20" i="28"/>
  <c r="S63" i="28" s="1"/>
  <c r="S37" i="28"/>
  <c r="S80" i="28" s="1"/>
  <c r="S18" i="28"/>
  <c r="S61" i="28" s="1"/>
  <c r="S12" i="28"/>
  <c r="S55" i="28" s="1"/>
  <c r="S36" i="28"/>
  <c r="S79" i="28" s="1"/>
  <c r="S15" i="28"/>
  <c r="S58" i="28" s="1"/>
  <c r="S11" i="28"/>
  <c r="S54" i="28" s="1"/>
  <c r="S28" i="28"/>
  <c r="S71" i="28" s="1"/>
  <c r="S42" i="28"/>
  <c r="S85" i="28" s="1"/>
  <c r="L16" i="28"/>
  <c r="L59" i="28" s="1"/>
  <c r="L18" i="28"/>
  <c r="L61" i="28" s="1"/>
  <c r="L28" i="28"/>
  <c r="L71" i="28" s="1"/>
  <c r="L38" i="28"/>
  <c r="L81" i="28" s="1"/>
  <c r="L26" i="28"/>
  <c r="L69" i="28" s="1"/>
  <c r="D9" i="30"/>
  <c r="D11" i="30"/>
  <c r="D7" i="30"/>
  <c r="D13" i="30" s="1"/>
  <c r="G15" i="30"/>
  <c r="G14" i="30"/>
  <c r="L21" i="28"/>
  <c r="L64" i="28" s="1"/>
  <c r="L29" i="28"/>
  <c r="L72" i="28" s="1"/>
  <c r="F9" i="30"/>
  <c r="F11" i="30"/>
  <c r="F7" i="30"/>
  <c r="F13" i="30" s="1"/>
  <c r="N14" i="29"/>
  <c r="N15" i="29"/>
  <c r="L31" i="28"/>
  <c r="L74" i="28" s="1"/>
  <c r="L24" i="28"/>
  <c r="L67" i="28" s="1"/>
  <c r="L8" i="28"/>
  <c r="L51" i="28" s="1"/>
  <c r="L14" i="28"/>
  <c r="L57" i="28" s="1"/>
  <c r="L34" i="28"/>
  <c r="L77" i="28" s="1"/>
  <c r="H14" i="29"/>
  <c r="H15" i="29"/>
  <c r="L11" i="28"/>
  <c r="L54" i="28" s="1"/>
  <c r="L42" i="28"/>
  <c r="L85" i="28" s="1"/>
  <c r="L25" i="28"/>
  <c r="L68" i="28" s="1"/>
  <c r="N44" i="13"/>
  <c r="L10" i="28"/>
  <c r="L53" i="28" s="1"/>
  <c r="L23" i="28"/>
  <c r="L66" i="28" s="1"/>
  <c r="L13" i="28"/>
  <c r="L56" i="28" s="1"/>
  <c r="W5" i="13"/>
  <c r="W44" i="13" s="1"/>
  <c r="U44" i="13"/>
  <c r="S5" i="28"/>
  <c r="S48" i="28" s="1"/>
  <c r="S8" i="28"/>
  <c r="S51" i="28" s="1"/>
  <c r="S35" i="28"/>
  <c r="S78" i="28" s="1"/>
  <c r="S14" i="28"/>
  <c r="S57" i="28" s="1"/>
  <c r="S30" i="28"/>
  <c r="S73" i="28" s="1"/>
  <c r="S34" i="28"/>
  <c r="S77" i="28" s="1"/>
  <c r="L9" i="28"/>
  <c r="L52" i="28" s="1"/>
  <c r="L37" i="28"/>
  <c r="L80" i="28" s="1"/>
  <c r="L33" i="28"/>
  <c r="L76" i="28" s="1"/>
  <c r="L30" i="28"/>
  <c r="L73" i="28" s="1"/>
  <c r="L12" i="28"/>
  <c r="L55" i="28" s="1"/>
  <c r="L7" i="28"/>
  <c r="L50" i="28" s="1"/>
  <c r="B9" i="30" s="1"/>
  <c r="L36" i="28"/>
  <c r="L79" i="28" s="1"/>
  <c r="L19" i="28"/>
  <c r="L62" i="28" s="1"/>
  <c r="E43" i="5"/>
  <c r="X46" i="12"/>
  <c r="X46" i="11"/>
  <c r="X49" i="11" s="1"/>
  <c r="X31" i="12" s="1"/>
  <c r="Y31" i="12" s="1"/>
  <c r="AB31" i="12" s="1"/>
  <c r="X46" i="10"/>
  <c r="X46" i="13"/>
  <c r="Q5" i="12"/>
  <c r="L44" i="12"/>
  <c r="X31" i="13"/>
  <c r="AB5" i="11"/>
  <c r="Q44" i="11"/>
  <c r="X39" i="13"/>
  <c r="X20" i="13"/>
  <c r="X8" i="13"/>
  <c r="X14" i="13"/>
  <c r="X34" i="13"/>
  <c r="AM58" i="6"/>
  <c r="AM56" i="8"/>
  <c r="AM56" i="9"/>
  <c r="AM56" i="7"/>
  <c r="X11" i="13"/>
  <c r="X42" i="13"/>
  <c r="X25" i="13"/>
  <c r="X10" i="13"/>
  <c r="X23" i="13"/>
  <c r="X13" i="13"/>
  <c r="AE55" i="8"/>
  <c r="AO54" i="8" s="1"/>
  <c r="AE55" i="9"/>
  <c r="AE55" i="7"/>
  <c r="X9" i="12"/>
  <c r="Y9" i="12" s="1"/>
  <c r="AB9" i="12" s="1"/>
  <c r="X9" i="13"/>
  <c r="X35" i="13"/>
  <c r="X16" i="12"/>
  <c r="Y16" i="12" s="1"/>
  <c r="AB16" i="12" s="1"/>
  <c r="X16" i="13"/>
  <c r="X18" i="13"/>
  <c r="X28" i="12"/>
  <c r="Y28" i="12" s="1"/>
  <c r="AB28" i="12" s="1"/>
  <c r="X28" i="13"/>
  <c r="X38" i="13"/>
  <c r="X26" i="12"/>
  <c r="Y26" i="12" s="1"/>
  <c r="AB26" i="12" s="1"/>
  <c r="X26" i="13"/>
  <c r="X21" i="13"/>
  <c r="X29" i="12"/>
  <c r="Y29" i="12" s="1"/>
  <c r="X29" i="13"/>
  <c r="Q5" i="13"/>
  <c r="L44" i="13"/>
  <c r="X37" i="12"/>
  <c r="Y37" i="12" s="1"/>
  <c r="AB37" i="12" s="1"/>
  <c r="X37" i="13"/>
  <c r="X33" i="13"/>
  <c r="AB53" i="8"/>
  <c r="X32" i="13"/>
  <c r="X17" i="13"/>
  <c r="X40" i="13"/>
  <c r="X41" i="13"/>
  <c r="X15" i="13"/>
  <c r="X27" i="13"/>
  <c r="X24" i="13"/>
  <c r="AB47" i="13"/>
  <c r="AB47" i="12"/>
  <c r="AB47" i="11"/>
  <c r="AB47" i="10"/>
  <c r="S44" i="9"/>
  <c r="S44" i="27" s="1"/>
  <c r="S96" i="27" s="1"/>
  <c r="S42" i="9"/>
  <c r="S42" i="27" s="1"/>
  <c r="S94" i="27" s="1"/>
  <c r="S41" i="9"/>
  <c r="S41" i="27" s="1"/>
  <c r="S93" i="27" s="1"/>
  <c r="S35" i="9"/>
  <c r="S35" i="27" s="1"/>
  <c r="S87" i="27" s="1"/>
  <c r="S34" i="9"/>
  <c r="S34" i="27" s="1"/>
  <c r="S86" i="27" s="1"/>
  <c r="S39" i="9"/>
  <c r="S39" i="27" s="1"/>
  <c r="S91" i="27" s="1"/>
  <c r="S48" i="9"/>
  <c r="S48" i="27" s="1"/>
  <c r="S100" i="27" s="1"/>
  <c r="S37" i="9"/>
  <c r="S37" i="27" s="1"/>
  <c r="S89" i="27" s="1"/>
  <c r="S51" i="9"/>
  <c r="S51" i="27" s="1"/>
  <c r="S103" i="27" s="1"/>
  <c r="S36" i="9"/>
  <c r="S36" i="27" s="1"/>
  <c r="S88" i="27" s="1"/>
  <c r="S13" i="9"/>
  <c r="S13" i="27" s="1"/>
  <c r="S65" i="27" s="1"/>
  <c r="S9" i="9"/>
  <c r="S9" i="27" s="1"/>
  <c r="S61" i="27" s="1"/>
  <c r="S8" i="9"/>
  <c r="S8" i="27" s="1"/>
  <c r="S60" i="27" s="1"/>
  <c r="S16" i="9"/>
  <c r="S16" i="27" s="1"/>
  <c r="S68" i="27" s="1"/>
  <c r="S45" i="9"/>
  <c r="S45" i="27" s="1"/>
  <c r="S97" i="27" s="1"/>
  <c r="S30" i="9"/>
  <c r="S30" i="27" s="1"/>
  <c r="S82" i="27" s="1"/>
  <c r="S33" i="9"/>
  <c r="S33" i="27" s="1"/>
  <c r="S85" i="27" s="1"/>
  <c r="S21" i="9"/>
  <c r="S21" i="27" s="1"/>
  <c r="S73" i="27" s="1"/>
  <c r="S17" i="9"/>
  <c r="S17" i="27" s="1"/>
  <c r="S69" i="27" s="1"/>
  <c r="S10" i="9"/>
  <c r="S10" i="27" s="1"/>
  <c r="S62" i="27" s="1"/>
  <c r="S18" i="9"/>
  <c r="S18" i="27" s="1"/>
  <c r="S70" i="27" s="1"/>
  <c r="S6" i="9"/>
  <c r="S6" i="27" s="1"/>
  <c r="S58" i="27" s="1"/>
  <c r="S19" i="9"/>
  <c r="S19" i="27" s="1"/>
  <c r="S71" i="27" s="1"/>
  <c r="S25" i="9"/>
  <c r="S25" i="27" s="1"/>
  <c r="S77" i="27" s="1"/>
  <c r="S29" i="9"/>
  <c r="S29" i="27" s="1"/>
  <c r="S81" i="27" s="1"/>
  <c r="S14" i="9"/>
  <c r="S14" i="27" s="1"/>
  <c r="S66" i="27" s="1"/>
  <c r="S22" i="9"/>
  <c r="S22" i="27" s="1"/>
  <c r="S74" i="27" s="1"/>
  <c r="S49" i="9"/>
  <c r="S49" i="27" s="1"/>
  <c r="S101" i="27" s="1"/>
  <c r="S20" i="9"/>
  <c r="S20" i="27" s="1"/>
  <c r="S72" i="27" s="1"/>
  <c r="S32" i="9"/>
  <c r="S32" i="27" s="1"/>
  <c r="S84" i="27" s="1"/>
  <c r="S46" i="9"/>
  <c r="S46" i="27" s="1"/>
  <c r="S98" i="27" s="1"/>
  <c r="S15" i="9"/>
  <c r="S15" i="27" s="1"/>
  <c r="S67" i="27" s="1"/>
  <c r="S24" i="9"/>
  <c r="S24" i="27" s="1"/>
  <c r="S76" i="27" s="1"/>
  <c r="S27" i="9"/>
  <c r="S27" i="27" s="1"/>
  <c r="S79" i="27" s="1"/>
  <c r="S40" i="9"/>
  <c r="S40" i="27" s="1"/>
  <c r="S92" i="27" s="1"/>
  <c r="S26" i="9"/>
  <c r="S26" i="27" s="1"/>
  <c r="S78" i="27" s="1"/>
  <c r="S7" i="9"/>
  <c r="S7" i="27" s="1"/>
  <c r="S59" i="27" s="1"/>
  <c r="S31" i="9"/>
  <c r="S31" i="27" s="1"/>
  <c r="S83" i="27" s="1"/>
  <c r="S43" i="9"/>
  <c r="S43" i="27" s="1"/>
  <c r="S95" i="27" s="1"/>
  <c r="S47" i="9"/>
  <c r="S47" i="27" s="1"/>
  <c r="S99" i="27" s="1"/>
  <c r="S38" i="9"/>
  <c r="S38" i="27" s="1"/>
  <c r="S90" i="27" s="1"/>
  <c r="S11" i="9"/>
  <c r="S11" i="27" s="1"/>
  <c r="S63" i="27" s="1"/>
  <c r="S5" i="9"/>
  <c r="S5" i="27" s="1"/>
  <c r="S57" i="27" s="1"/>
  <c r="S50" i="9"/>
  <c r="S50" i="27" s="1"/>
  <c r="S102" i="27" s="1"/>
  <c r="S23" i="9"/>
  <c r="S23" i="27" s="1"/>
  <c r="S75" i="27" s="1"/>
  <c r="S12" i="9"/>
  <c r="S12" i="27" s="1"/>
  <c r="S64" i="27" s="1"/>
  <c r="S28" i="9"/>
  <c r="S28" i="27" s="1"/>
  <c r="S80" i="27" s="1"/>
  <c r="X30" i="12"/>
  <c r="Y30" i="12" s="1"/>
  <c r="AB30" i="12" s="1"/>
  <c r="X30" i="13"/>
  <c r="U30" i="28" s="1"/>
  <c r="U73" i="28" s="1"/>
  <c r="X12" i="12"/>
  <c r="Y12" i="12" s="1"/>
  <c r="AB12" i="12" s="1"/>
  <c r="X12" i="13"/>
  <c r="X7" i="12"/>
  <c r="Y7" i="12" s="1"/>
  <c r="AB7" i="12" s="1"/>
  <c r="X7" i="13"/>
  <c r="X36" i="12"/>
  <c r="Y36" i="12" s="1"/>
  <c r="AB36" i="12" s="1"/>
  <c r="X36" i="13"/>
  <c r="U36" i="28" s="1"/>
  <c r="U79" i="28" s="1"/>
  <c r="X19" i="12"/>
  <c r="Y19" i="12" s="1"/>
  <c r="AB19" i="12" s="1"/>
  <c r="X19" i="13"/>
  <c r="X6" i="12"/>
  <c r="Y6" i="12" s="1"/>
  <c r="AB6" i="12" s="1"/>
  <c r="X6" i="13"/>
  <c r="U6" i="28" s="1"/>
  <c r="U49" i="28" s="1"/>
  <c r="X22" i="13"/>
  <c r="AB29" i="12"/>
  <c r="E23" i="5"/>
  <c r="AE57" i="6"/>
  <c r="I9" i="29" l="1"/>
  <c r="U24" i="28"/>
  <c r="U67" i="28" s="1"/>
  <c r="X17" i="12"/>
  <c r="Y17" i="12" s="1"/>
  <c r="AB17" i="12" s="1"/>
  <c r="X22" i="12"/>
  <c r="Y22" i="12" s="1"/>
  <c r="AB22" i="12" s="1"/>
  <c r="U19" i="28"/>
  <c r="U62" i="28" s="1"/>
  <c r="U12" i="28"/>
  <c r="U55" i="28" s="1"/>
  <c r="I7" i="29"/>
  <c r="I13" i="29" s="1"/>
  <c r="I11" i="29"/>
  <c r="X24" i="12"/>
  <c r="Y24" i="12" s="1"/>
  <c r="AB24" i="12" s="1"/>
  <c r="X40" i="12"/>
  <c r="Y40" i="12" s="1"/>
  <c r="AB40" i="12" s="1"/>
  <c r="X33" i="12"/>
  <c r="Y33" i="12" s="1"/>
  <c r="AB33" i="12" s="1"/>
  <c r="X21" i="12"/>
  <c r="Y21" i="12" s="1"/>
  <c r="AB21" i="12" s="1"/>
  <c r="X38" i="12"/>
  <c r="Y38" i="12" s="1"/>
  <c r="AB38" i="12" s="1"/>
  <c r="X18" i="12"/>
  <c r="Y18" i="12" s="1"/>
  <c r="AB18" i="12" s="1"/>
  <c r="X35" i="12"/>
  <c r="Y35" i="12" s="1"/>
  <c r="AB35" i="12" s="1"/>
  <c r="U7" i="28"/>
  <c r="U50" i="28" s="1"/>
  <c r="X15" i="12"/>
  <c r="Y15" i="12" s="1"/>
  <c r="AB15" i="12" s="1"/>
  <c r="X41" i="12"/>
  <c r="Y41" i="12" s="1"/>
  <c r="AB41" i="12" s="1"/>
  <c r="X32" i="12"/>
  <c r="Y32" i="12" s="1"/>
  <c r="AB32" i="12" s="1"/>
  <c r="U37" i="28"/>
  <c r="U80" i="28" s="1"/>
  <c r="U29" i="28"/>
  <c r="U72" i="28" s="1"/>
  <c r="U26" i="28"/>
  <c r="U69" i="28" s="1"/>
  <c r="U28" i="28"/>
  <c r="U71" i="28" s="1"/>
  <c r="U16" i="28"/>
  <c r="U59" i="28" s="1"/>
  <c r="U9" i="28"/>
  <c r="U52" i="28" s="1"/>
  <c r="X23" i="12"/>
  <c r="Y23" i="12" s="1"/>
  <c r="AB23" i="12" s="1"/>
  <c r="X25" i="12"/>
  <c r="Y25" i="12" s="1"/>
  <c r="AB25" i="12" s="1"/>
  <c r="X11" i="12"/>
  <c r="Y11" i="12" s="1"/>
  <c r="AB11" i="12" s="1"/>
  <c r="U31" i="28"/>
  <c r="U74" i="28" s="1"/>
  <c r="U27" i="28"/>
  <c r="U70" i="28" s="1"/>
  <c r="U10" i="28"/>
  <c r="U53" i="28" s="1"/>
  <c r="I9" i="30"/>
  <c r="I11" i="30"/>
  <c r="I7" i="30"/>
  <c r="I13" i="30" s="1"/>
  <c r="D15" i="30"/>
  <c r="D14" i="30"/>
  <c r="B7" i="30"/>
  <c r="B13" i="30" s="1"/>
  <c r="U22" i="28"/>
  <c r="U65" i="28" s="1"/>
  <c r="X27" i="12"/>
  <c r="Y27" i="12" s="1"/>
  <c r="AB27" i="12" s="1"/>
  <c r="U21" i="28"/>
  <c r="U64" i="28" s="1"/>
  <c r="U18" i="28"/>
  <c r="U61" i="28" s="1"/>
  <c r="X13" i="12"/>
  <c r="Y13" i="12" s="1"/>
  <c r="AB13" i="12" s="1"/>
  <c r="X10" i="12"/>
  <c r="Y10" i="12" s="1"/>
  <c r="AB10" i="12" s="1"/>
  <c r="X42" i="12"/>
  <c r="Y42" i="12" s="1"/>
  <c r="AB42" i="12" s="1"/>
  <c r="B15" i="30"/>
  <c r="B14" i="30"/>
  <c r="F15" i="30"/>
  <c r="F14" i="30"/>
  <c r="Y6" i="13"/>
  <c r="AB6" i="13" s="1"/>
  <c r="AA210" i="16" s="1"/>
  <c r="AG210" i="16" s="1"/>
  <c r="Y12" i="13"/>
  <c r="AB12" i="13" s="1"/>
  <c r="S11" i="32" s="1"/>
  <c r="Y22" i="13"/>
  <c r="AB22" i="13" s="1"/>
  <c r="S13" i="32" s="1"/>
  <c r="Y36" i="13"/>
  <c r="AB36" i="13" s="1"/>
  <c r="S27" i="32" s="1"/>
  <c r="Y41" i="13"/>
  <c r="AB41" i="13" s="1"/>
  <c r="S32" i="32" s="1"/>
  <c r="Y19" i="13"/>
  <c r="AB19" i="13" s="1"/>
  <c r="Y30" i="13"/>
  <c r="AB30" i="13" s="1"/>
  <c r="S23" i="32" s="1"/>
  <c r="Y27" i="13"/>
  <c r="AB27" i="13" s="1"/>
  <c r="S19" i="32" s="1"/>
  <c r="Y21" i="13"/>
  <c r="AB21" i="13" s="1"/>
  <c r="S12" i="32" s="1"/>
  <c r="Y24" i="13"/>
  <c r="AB24" i="13" s="1"/>
  <c r="AA255" i="17" s="1"/>
  <c r="Y37" i="13"/>
  <c r="AB37" i="13" s="1"/>
  <c r="S28" i="32" s="1"/>
  <c r="Y29" i="13"/>
  <c r="AB29" i="13" s="1"/>
  <c r="S22" i="32" s="1"/>
  <c r="Y28" i="13"/>
  <c r="AB28" i="13" s="1"/>
  <c r="Y16" i="13"/>
  <c r="AB16" i="13" s="1"/>
  <c r="S8" i="32" s="1"/>
  <c r="Y9" i="13"/>
  <c r="AB9" i="13" s="1"/>
  <c r="S6" i="32" s="1"/>
  <c r="Y20" i="13"/>
  <c r="AB20" i="13" s="1"/>
  <c r="Y31" i="13"/>
  <c r="AB31" i="13" s="1"/>
  <c r="S24" i="32" s="1"/>
  <c r="Y17" i="13"/>
  <c r="AB17" i="13" s="1"/>
  <c r="S10" i="32" s="1"/>
  <c r="Y38" i="13"/>
  <c r="AB38" i="13" s="1"/>
  <c r="S29" i="32" s="1"/>
  <c r="Y13" i="13"/>
  <c r="AB13" i="13" s="1"/>
  <c r="AA132" i="17" s="1"/>
  <c r="Y10" i="13"/>
  <c r="AB10" i="13" s="1"/>
  <c r="S7" i="32" s="1"/>
  <c r="Y42" i="13"/>
  <c r="AB42" i="13" s="1"/>
  <c r="S33" i="32" s="1"/>
  <c r="Y34" i="13"/>
  <c r="AB34" i="13" s="1"/>
  <c r="Y39" i="13"/>
  <c r="AB39" i="13" s="1"/>
  <c r="S31" i="32" s="1"/>
  <c r="Y33" i="13"/>
  <c r="AB33" i="13" s="1"/>
  <c r="Y18" i="13"/>
  <c r="AB18" i="13" s="1"/>
  <c r="Y35" i="13"/>
  <c r="AB35" i="13" s="1"/>
  <c r="Y14" i="13"/>
  <c r="AB14" i="13" s="1"/>
  <c r="Y15" i="13"/>
  <c r="AB15" i="13" s="1"/>
  <c r="AA157" i="17" s="1"/>
  <c r="Y7" i="13"/>
  <c r="AB7" i="13" s="1"/>
  <c r="Y40" i="13"/>
  <c r="AB40" i="13" s="1"/>
  <c r="S30" i="32" s="1"/>
  <c r="Y32" i="13"/>
  <c r="AB32" i="13" s="1"/>
  <c r="Y26" i="13"/>
  <c r="AB26" i="13" s="1"/>
  <c r="S18" i="32" s="1"/>
  <c r="Y23" i="13"/>
  <c r="AB23" i="13" s="1"/>
  <c r="S14" i="32" s="1"/>
  <c r="Y25" i="13"/>
  <c r="AB25" i="13" s="1"/>
  <c r="S17" i="32" s="1"/>
  <c r="Y11" i="13"/>
  <c r="AB11" i="13" s="1"/>
  <c r="S9" i="32" s="1"/>
  <c r="Y8" i="13"/>
  <c r="AB8" i="13" s="1"/>
  <c r="S5" i="32" s="1"/>
  <c r="AA246" i="16"/>
  <c r="AG246" i="16" s="1"/>
  <c r="AA242" i="16"/>
  <c r="AG242" i="16" s="1"/>
  <c r="AA206" i="16"/>
  <c r="AG206" i="16" s="1"/>
  <c r="AA202" i="16"/>
  <c r="AG202" i="16" s="1"/>
  <c r="AA78" i="17"/>
  <c r="AA47" i="17"/>
  <c r="AA39" i="17"/>
  <c r="AA247" i="16"/>
  <c r="AG247" i="16" s="1"/>
  <c r="AA211" i="16"/>
  <c r="AG211" i="16" s="1"/>
  <c r="AA207" i="16"/>
  <c r="AG207" i="16" s="1"/>
  <c r="AA203" i="16"/>
  <c r="AG203" i="16" s="1"/>
  <c r="AA77" i="17"/>
  <c r="AA46" i="17"/>
  <c r="AA38" i="17"/>
  <c r="AA240" i="16"/>
  <c r="AG240" i="16" s="1"/>
  <c r="AA208" i="16"/>
  <c r="AG208" i="16" s="1"/>
  <c r="AA204" i="16"/>
  <c r="AG204" i="16" s="1"/>
  <c r="AA80" i="17"/>
  <c r="AA76" i="17"/>
  <c r="AA49" i="17"/>
  <c r="AA245" i="16"/>
  <c r="AG245" i="16" s="1"/>
  <c r="AA241" i="16"/>
  <c r="AG241" i="16" s="1"/>
  <c r="AA209" i="16"/>
  <c r="AG209" i="16" s="1"/>
  <c r="AA201" i="16"/>
  <c r="AG201" i="16" s="1"/>
  <c r="AA79" i="17"/>
  <c r="AA75" i="17"/>
  <c r="AA40" i="17"/>
  <c r="AA542" i="16"/>
  <c r="AA538" i="16"/>
  <c r="AA541" i="16"/>
  <c r="AA537" i="16"/>
  <c r="AA540" i="16"/>
  <c r="AA539" i="16"/>
  <c r="AA535" i="16"/>
  <c r="AA37" i="17"/>
  <c r="AA34" i="17"/>
  <c r="AA33" i="17"/>
  <c r="AA32" i="17"/>
  <c r="AA29" i="17"/>
  <c r="AA28" i="17"/>
  <c r="AA26" i="17"/>
  <c r="AA194" i="16"/>
  <c r="AG194" i="16" s="1"/>
  <c r="AA162" i="16"/>
  <c r="AA154" i="16"/>
  <c r="AA125" i="16"/>
  <c r="AA197" i="16"/>
  <c r="AG197" i="16" s="1"/>
  <c r="AA193" i="16"/>
  <c r="AG193" i="16" s="1"/>
  <c r="AA161" i="16"/>
  <c r="AA153" i="16"/>
  <c r="AA120" i="16"/>
  <c r="AA196" i="16"/>
  <c r="AG196" i="16" s="1"/>
  <c r="AA195" i="16"/>
  <c r="AG195" i="16" s="1"/>
  <c r="AA159" i="16"/>
  <c r="AA69" i="16"/>
  <c r="AA61" i="16"/>
  <c r="AA53" i="16"/>
  <c r="AA13" i="16"/>
  <c r="AA199" i="16"/>
  <c r="AG199" i="16" s="1"/>
  <c r="AA160" i="16"/>
  <c r="AA116" i="16"/>
  <c r="AA62" i="16"/>
  <c r="AA58" i="16"/>
  <c r="AA50" i="16"/>
  <c r="AA6" i="16"/>
  <c r="AA191" i="16"/>
  <c r="AG191" i="16" s="1"/>
  <c r="AA164" i="16"/>
  <c r="AA119" i="16"/>
  <c r="AA68" i="16"/>
  <c r="AA64" i="16"/>
  <c r="AA52" i="16"/>
  <c r="AA12" i="16"/>
  <c r="AA4" i="16"/>
  <c r="AA163" i="16"/>
  <c r="AA126" i="16"/>
  <c r="AA118" i="16"/>
  <c r="AA59" i="16"/>
  <c r="AA55" i="16"/>
  <c r="AA51" i="16"/>
  <c r="AA7" i="16"/>
  <c r="AA3" i="16"/>
  <c r="AA158" i="17"/>
  <c r="AA155" i="17"/>
  <c r="AA154" i="17"/>
  <c r="AA152" i="17"/>
  <c r="AA150" i="17"/>
  <c r="AA148" i="17"/>
  <c r="AA147" i="17"/>
  <c r="AA346" i="16"/>
  <c r="AG346" i="16" s="1"/>
  <c r="AA353" i="16"/>
  <c r="AG353" i="16" s="1"/>
  <c r="AA349" i="16"/>
  <c r="AG349" i="16" s="1"/>
  <c r="AA348" i="16"/>
  <c r="AG348" i="16" s="1"/>
  <c r="AA344" i="16"/>
  <c r="AA351" i="16"/>
  <c r="AG351" i="16" s="1"/>
  <c r="AA121" i="17"/>
  <c r="AA117" i="17"/>
  <c r="AA113" i="17"/>
  <c r="AA309" i="16"/>
  <c r="AG309" i="16" s="1"/>
  <c r="AA315" i="16"/>
  <c r="AG315" i="16" s="1"/>
  <c r="AA259" i="17"/>
  <c r="AA251" i="17"/>
  <c r="AA247" i="17"/>
  <c r="AA243" i="17"/>
  <c r="AA235" i="17"/>
  <c r="AA231" i="17"/>
  <c r="AA227" i="17"/>
  <c r="AA219" i="17"/>
  <c r="AA215" i="17"/>
  <c r="AA211" i="17"/>
  <c r="AA203" i="17"/>
  <c r="AA199" i="17"/>
  <c r="AA195" i="17"/>
  <c r="AA187" i="17"/>
  <c r="AA183" i="17"/>
  <c r="AA179" i="17"/>
  <c r="AA171" i="17"/>
  <c r="AA167" i="17"/>
  <c r="AA163" i="17"/>
  <c r="AA442" i="16"/>
  <c r="AG442" i="16" s="1"/>
  <c r="AA426" i="16"/>
  <c r="AG426" i="16" s="1"/>
  <c r="AA410" i="16"/>
  <c r="AG410" i="16" s="1"/>
  <c r="AA378" i="16"/>
  <c r="AG378" i="16" s="1"/>
  <c r="AA362" i="16"/>
  <c r="AG362" i="16" s="1"/>
  <c r="AA449" i="16"/>
  <c r="AG449" i="16" s="1"/>
  <c r="AA417" i="16"/>
  <c r="AG417" i="16" s="1"/>
  <c r="AA401" i="16"/>
  <c r="AG401" i="16" s="1"/>
  <c r="AA385" i="16"/>
  <c r="AG385" i="16" s="1"/>
  <c r="AA456" i="16"/>
  <c r="AG456" i="16" s="1"/>
  <c r="AA440" i="16"/>
  <c r="AG440" i="16" s="1"/>
  <c r="AA424" i="16"/>
  <c r="AG424" i="16" s="1"/>
  <c r="AA392" i="16"/>
  <c r="AG392" i="16" s="1"/>
  <c r="AA376" i="16"/>
  <c r="AG376" i="16" s="1"/>
  <c r="AA360" i="16"/>
  <c r="AG360" i="16" s="1"/>
  <c r="AA447" i="16"/>
  <c r="AG447" i="16" s="1"/>
  <c r="AA383" i="16"/>
  <c r="AG383" i="16" s="1"/>
  <c r="AA423" i="16"/>
  <c r="AG423" i="16" s="1"/>
  <c r="AA403" i="16"/>
  <c r="AG403" i="16" s="1"/>
  <c r="AA129" i="17"/>
  <c r="AA331" i="16"/>
  <c r="AG331" i="16" s="1"/>
  <c r="AA293" i="16"/>
  <c r="AA283" i="16"/>
  <c r="Q44" i="12"/>
  <c r="AG57" i="6"/>
  <c r="AG55" i="9"/>
  <c r="AG55" i="7"/>
  <c r="AG55" i="8"/>
  <c r="Q44" i="13"/>
  <c r="X34" i="12"/>
  <c r="Y34" i="12" s="1"/>
  <c r="AB34" i="12" s="1"/>
  <c r="X14" i="12"/>
  <c r="Y14" i="12" s="1"/>
  <c r="AB14" i="12" s="1"/>
  <c r="X8" i="12"/>
  <c r="Y8" i="12" s="1"/>
  <c r="AB8" i="12" s="1"/>
  <c r="X20" i="12"/>
  <c r="Y20" i="12" s="1"/>
  <c r="AB20" i="12" s="1"/>
  <c r="X39" i="12"/>
  <c r="Y39" i="12" s="1"/>
  <c r="AB39" i="12" s="1"/>
  <c r="E46" i="5"/>
  <c r="Y46" i="13"/>
  <c r="Y46" i="10"/>
  <c r="Y46" i="12"/>
  <c r="Y46" i="11"/>
  <c r="S53" i="9"/>
  <c r="X5" i="12"/>
  <c r="AB44" i="11"/>
  <c r="X5" i="13"/>
  <c r="E29" i="5"/>
  <c r="E47" i="5"/>
  <c r="AA274" i="16" l="1"/>
  <c r="AA296" i="16"/>
  <c r="AA290" i="16"/>
  <c r="AG290" i="16" s="1"/>
  <c r="AA326" i="16"/>
  <c r="AG326" i="16" s="1"/>
  <c r="AA280" i="16"/>
  <c r="AA321" i="16"/>
  <c r="AG321" i="16" s="1"/>
  <c r="AA133" i="17"/>
  <c r="AA279" i="16"/>
  <c r="AA277" i="16"/>
  <c r="AA306" i="16"/>
  <c r="AA125" i="17"/>
  <c r="AA359" i="16"/>
  <c r="AG359" i="16" s="1"/>
  <c r="AA411" i="16"/>
  <c r="AG411" i="16" s="1"/>
  <c r="AA408" i="16"/>
  <c r="AG408" i="16" s="1"/>
  <c r="AA369" i="16"/>
  <c r="AG369" i="16" s="1"/>
  <c r="AA433" i="16"/>
  <c r="AG433" i="16" s="1"/>
  <c r="AA394" i="16"/>
  <c r="AG394" i="16" s="1"/>
  <c r="AA159" i="17"/>
  <c r="AA175" i="17"/>
  <c r="AA191" i="17"/>
  <c r="AA207" i="17"/>
  <c r="AA223" i="17"/>
  <c r="AA239" i="17"/>
  <c r="AA314" i="16"/>
  <c r="AG314" i="16" s="1"/>
  <c r="AA355" i="16"/>
  <c r="AG355" i="16" s="1"/>
  <c r="AA352" i="16"/>
  <c r="AG352" i="16" s="1"/>
  <c r="AA354" i="16"/>
  <c r="AG354" i="16" s="1"/>
  <c r="AA151" i="17"/>
  <c r="AA156" i="17"/>
  <c r="AA11" i="16"/>
  <c r="AA67" i="16"/>
  <c r="AA123" i="16"/>
  <c r="AA56" i="16"/>
  <c r="AA156" i="16"/>
  <c r="AA10" i="16"/>
  <c r="AG10" i="16" s="1"/>
  <c r="AA66" i="16"/>
  <c r="AG66" i="16" s="1"/>
  <c r="AA9" i="16"/>
  <c r="AA65" i="16"/>
  <c r="AA188" i="16"/>
  <c r="AG188" i="16" s="1"/>
  <c r="AA157" i="16"/>
  <c r="AA121" i="16"/>
  <c r="AA190" i="16"/>
  <c r="AG190" i="16" s="1"/>
  <c r="AA30" i="17"/>
  <c r="AA36" i="17"/>
  <c r="AA536" i="16"/>
  <c r="AA545" i="16"/>
  <c r="AA48" i="17"/>
  <c r="AA205" i="16"/>
  <c r="AG205" i="16" s="1"/>
  <c r="AA41" i="17"/>
  <c r="AA200" i="16"/>
  <c r="AG200" i="16" s="1"/>
  <c r="AA244" i="16"/>
  <c r="AG244" i="16" s="1"/>
  <c r="AA81" i="17"/>
  <c r="AA243" i="16"/>
  <c r="AG243" i="16" s="1"/>
  <c r="AA74" i="17"/>
  <c r="AA146" i="17"/>
  <c r="AA275" i="16"/>
  <c r="AA295" i="16"/>
  <c r="AA299" i="16"/>
  <c r="AG299" i="16" s="1"/>
  <c r="AA284" i="16"/>
  <c r="AG284" i="16" s="1"/>
  <c r="AA300" i="16"/>
  <c r="L300" i="21" s="1"/>
  <c r="O300" i="21" s="1"/>
  <c r="AA281" i="16"/>
  <c r="AA297" i="16"/>
  <c r="AG297" i="16" s="1"/>
  <c r="AA278" i="16"/>
  <c r="L278" i="21" s="1"/>
  <c r="O278" i="21" s="1"/>
  <c r="AA294" i="16"/>
  <c r="AA110" i="17"/>
  <c r="AA320" i="16"/>
  <c r="AG320" i="16" s="1"/>
  <c r="AA325" i="16"/>
  <c r="AG325" i="16" s="1"/>
  <c r="AA330" i="16"/>
  <c r="AG330" i="16" s="1"/>
  <c r="AA126" i="17"/>
  <c r="AA130" i="17"/>
  <c r="AA134" i="17"/>
  <c r="AA287" i="16"/>
  <c r="AA301" i="16"/>
  <c r="AA123" i="17"/>
  <c r="S26" i="32"/>
  <c r="S21" i="32"/>
  <c r="S16" i="32"/>
  <c r="AA532" i="16"/>
  <c r="AG532" i="16" s="1"/>
  <c r="AA291" i="16"/>
  <c r="L291" i="21" s="1"/>
  <c r="O291" i="21" s="1"/>
  <c r="AA272" i="16"/>
  <c r="AG272" i="16" s="1"/>
  <c r="AA288" i="16"/>
  <c r="AA304" i="16"/>
  <c r="AG304" i="16" s="1"/>
  <c r="AA285" i="16"/>
  <c r="AG285" i="16" s="1"/>
  <c r="AA282" i="16"/>
  <c r="AG282" i="16" s="1"/>
  <c r="AA298" i="16"/>
  <c r="AA323" i="16"/>
  <c r="AG323" i="16" s="1"/>
  <c r="AA324" i="16"/>
  <c r="AG324" i="16" s="1"/>
  <c r="AA329" i="16"/>
  <c r="AG329" i="16" s="1"/>
  <c r="AA127" i="17"/>
  <c r="AA131" i="17"/>
  <c r="AA307" i="16"/>
  <c r="AG307" i="16" s="1"/>
  <c r="AA303" i="16"/>
  <c r="AA276" i="16"/>
  <c r="AA292" i="16"/>
  <c r="L292" i="21" s="1"/>
  <c r="O292" i="21" s="1"/>
  <c r="AA273" i="16"/>
  <c r="AG273" i="16" s="1"/>
  <c r="AA289" i="16"/>
  <c r="L289" i="21" s="1"/>
  <c r="O289" i="21" s="1"/>
  <c r="AA305" i="16"/>
  <c r="AA286" i="16"/>
  <c r="AG286" i="16" s="1"/>
  <c r="AA302" i="16"/>
  <c r="L302" i="21" s="1"/>
  <c r="O302" i="21" s="1"/>
  <c r="AA327" i="16"/>
  <c r="AG327" i="16" s="1"/>
  <c r="AA328" i="16"/>
  <c r="AG328" i="16" s="1"/>
  <c r="AA322" i="16"/>
  <c r="AG322" i="16" s="1"/>
  <c r="AA124" i="17"/>
  <c r="AA128" i="17"/>
  <c r="S20" i="32"/>
  <c r="S25" i="32"/>
  <c r="S15" i="32"/>
  <c r="AA238" i="16"/>
  <c r="AG238" i="16" s="1"/>
  <c r="G11" i="32"/>
  <c r="G6" i="32"/>
  <c r="AA419" i="16"/>
  <c r="AG419" i="16" s="1"/>
  <c r="AA375" i="16"/>
  <c r="AG375" i="16" s="1"/>
  <c r="AA439" i="16"/>
  <c r="AG439" i="16" s="1"/>
  <c r="AA399" i="16"/>
  <c r="AG399" i="16" s="1"/>
  <c r="AA363" i="16"/>
  <c r="AG363" i="16" s="1"/>
  <c r="AA427" i="16"/>
  <c r="AG427" i="16" s="1"/>
  <c r="AA364" i="16"/>
  <c r="AG364" i="16" s="1"/>
  <c r="AA380" i="16"/>
  <c r="AG380" i="16" s="1"/>
  <c r="AA396" i="16"/>
  <c r="AG396" i="16" s="1"/>
  <c r="AA412" i="16"/>
  <c r="AG412" i="16" s="1"/>
  <c r="AA428" i="16"/>
  <c r="AG428" i="16" s="1"/>
  <c r="AA444" i="16"/>
  <c r="AG444" i="16" s="1"/>
  <c r="AA357" i="16"/>
  <c r="AG357" i="16" s="1"/>
  <c r="AA373" i="16"/>
  <c r="AG373" i="16" s="1"/>
  <c r="AA389" i="16"/>
  <c r="AG389" i="16" s="1"/>
  <c r="AA405" i="16"/>
  <c r="AG405" i="16" s="1"/>
  <c r="AA421" i="16"/>
  <c r="AG421" i="16" s="1"/>
  <c r="AA437" i="16"/>
  <c r="AG437" i="16" s="1"/>
  <c r="AA453" i="16"/>
  <c r="AG453" i="16" s="1"/>
  <c r="AA366" i="16"/>
  <c r="AG366" i="16" s="1"/>
  <c r="AA382" i="16"/>
  <c r="AG382" i="16" s="1"/>
  <c r="AA398" i="16"/>
  <c r="AG398" i="16" s="1"/>
  <c r="AA414" i="16"/>
  <c r="AG414" i="16" s="1"/>
  <c r="AA430" i="16"/>
  <c r="AG430" i="16" s="1"/>
  <c r="AA446" i="16"/>
  <c r="AG446" i="16" s="1"/>
  <c r="AA160" i="17"/>
  <c r="AA164" i="17"/>
  <c r="AA168" i="17"/>
  <c r="AA172" i="17"/>
  <c r="AA176" i="17"/>
  <c r="AA180" i="17"/>
  <c r="AA184" i="17"/>
  <c r="AA188" i="17"/>
  <c r="AA192" i="17"/>
  <c r="AA196" i="17"/>
  <c r="AA200" i="17"/>
  <c r="AA204" i="17"/>
  <c r="AA208" i="17"/>
  <c r="AA212" i="17"/>
  <c r="AA216" i="17"/>
  <c r="AA220" i="17"/>
  <c r="AA224" i="17"/>
  <c r="AA228" i="17"/>
  <c r="AA232" i="17"/>
  <c r="AA236" i="17"/>
  <c r="AA240" i="17"/>
  <c r="AA244" i="17"/>
  <c r="AA248" i="17"/>
  <c r="AA252" i="17"/>
  <c r="AA256" i="17"/>
  <c r="AA260" i="17"/>
  <c r="AA308" i="16"/>
  <c r="AG308" i="16" s="1"/>
  <c r="AA313" i="16"/>
  <c r="AG313" i="16" s="1"/>
  <c r="AA318" i="16"/>
  <c r="AG318" i="16" s="1"/>
  <c r="AA114" i="17"/>
  <c r="AA118" i="17"/>
  <c r="AA122" i="17"/>
  <c r="AA371" i="16"/>
  <c r="AG371" i="16" s="1"/>
  <c r="AA435" i="16"/>
  <c r="AG435" i="16" s="1"/>
  <c r="AA391" i="16"/>
  <c r="AG391" i="16" s="1"/>
  <c r="AA455" i="16"/>
  <c r="AG455" i="16" s="1"/>
  <c r="AA415" i="16"/>
  <c r="AG415" i="16" s="1"/>
  <c r="AA379" i="16"/>
  <c r="AG379" i="16" s="1"/>
  <c r="AA443" i="16"/>
  <c r="AG443" i="16" s="1"/>
  <c r="AA368" i="16"/>
  <c r="AG368" i="16" s="1"/>
  <c r="AA384" i="16"/>
  <c r="AG384" i="16" s="1"/>
  <c r="AA400" i="16"/>
  <c r="AG400" i="16" s="1"/>
  <c r="AA416" i="16"/>
  <c r="AG416" i="16" s="1"/>
  <c r="AA432" i="16"/>
  <c r="AG432" i="16" s="1"/>
  <c r="AA448" i="16"/>
  <c r="AG448" i="16" s="1"/>
  <c r="AA361" i="16"/>
  <c r="AG361" i="16" s="1"/>
  <c r="AA377" i="16"/>
  <c r="AG377" i="16" s="1"/>
  <c r="AA393" i="16"/>
  <c r="AG393" i="16" s="1"/>
  <c r="AA409" i="16"/>
  <c r="AG409" i="16" s="1"/>
  <c r="AA425" i="16"/>
  <c r="AG425" i="16" s="1"/>
  <c r="AA441" i="16"/>
  <c r="AG441" i="16" s="1"/>
  <c r="AA457" i="16"/>
  <c r="AG457" i="16" s="1"/>
  <c r="AA370" i="16"/>
  <c r="AG370" i="16" s="1"/>
  <c r="AA386" i="16"/>
  <c r="AG386" i="16" s="1"/>
  <c r="AA402" i="16"/>
  <c r="AG402" i="16" s="1"/>
  <c r="AA418" i="16"/>
  <c r="AG418" i="16" s="1"/>
  <c r="AA434" i="16"/>
  <c r="AG434" i="16" s="1"/>
  <c r="AA450" i="16"/>
  <c r="AG450" i="16" s="1"/>
  <c r="AA161" i="17"/>
  <c r="AA165" i="17"/>
  <c r="AA169" i="17"/>
  <c r="AA173" i="17"/>
  <c r="AA177" i="17"/>
  <c r="AA181" i="17"/>
  <c r="AA185" i="17"/>
  <c r="AA189" i="17"/>
  <c r="AA193" i="17"/>
  <c r="AA197" i="17"/>
  <c r="AA201" i="17"/>
  <c r="AA205" i="17"/>
  <c r="AA209" i="17"/>
  <c r="AA213" i="17"/>
  <c r="AA217" i="17"/>
  <c r="AA221" i="17"/>
  <c r="AA225" i="17"/>
  <c r="AA229" i="17"/>
  <c r="AA233" i="17"/>
  <c r="AA237" i="17"/>
  <c r="AA241" i="17"/>
  <c r="AA245" i="17"/>
  <c r="AA249" i="17"/>
  <c r="AA253" i="17"/>
  <c r="AA257" i="17"/>
  <c r="AA311" i="16"/>
  <c r="AG311" i="16" s="1"/>
  <c r="AA312" i="16"/>
  <c r="AG312" i="16" s="1"/>
  <c r="AA317" i="16"/>
  <c r="AG317" i="16" s="1"/>
  <c r="AA111" i="17"/>
  <c r="AA115" i="17"/>
  <c r="AA119" i="17"/>
  <c r="AA387" i="16"/>
  <c r="AG387" i="16" s="1"/>
  <c r="AA451" i="16"/>
  <c r="AG451" i="16" s="1"/>
  <c r="AA407" i="16"/>
  <c r="AG407" i="16" s="1"/>
  <c r="AA367" i="16"/>
  <c r="AG367" i="16" s="1"/>
  <c r="AA431" i="16"/>
  <c r="AG431" i="16" s="1"/>
  <c r="AA395" i="16"/>
  <c r="AG395" i="16" s="1"/>
  <c r="AA356" i="16"/>
  <c r="AG356" i="16" s="1"/>
  <c r="AA372" i="16"/>
  <c r="AG372" i="16" s="1"/>
  <c r="AA388" i="16"/>
  <c r="AG388" i="16" s="1"/>
  <c r="AA404" i="16"/>
  <c r="AG404" i="16" s="1"/>
  <c r="AA420" i="16"/>
  <c r="AG420" i="16" s="1"/>
  <c r="AA436" i="16"/>
  <c r="AG436" i="16" s="1"/>
  <c r="AA452" i="16"/>
  <c r="AG452" i="16" s="1"/>
  <c r="AA365" i="16"/>
  <c r="AG365" i="16" s="1"/>
  <c r="AA381" i="16"/>
  <c r="AG381" i="16" s="1"/>
  <c r="AA397" i="16"/>
  <c r="AG397" i="16" s="1"/>
  <c r="AA413" i="16"/>
  <c r="AG413" i="16" s="1"/>
  <c r="AA429" i="16"/>
  <c r="AG429" i="16" s="1"/>
  <c r="AA445" i="16"/>
  <c r="AG445" i="16" s="1"/>
  <c r="AA358" i="16"/>
  <c r="AG358" i="16" s="1"/>
  <c r="AA374" i="16"/>
  <c r="AG374" i="16" s="1"/>
  <c r="AA390" i="16"/>
  <c r="AG390" i="16" s="1"/>
  <c r="AA406" i="16"/>
  <c r="AG406" i="16" s="1"/>
  <c r="AA422" i="16"/>
  <c r="AG422" i="16" s="1"/>
  <c r="AA438" i="16"/>
  <c r="AG438" i="16" s="1"/>
  <c r="AA454" i="16"/>
  <c r="AG454" i="16" s="1"/>
  <c r="AA162" i="17"/>
  <c r="AA166" i="17"/>
  <c r="AA170" i="17"/>
  <c r="AA174" i="17"/>
  <c r="AA178" i="17"/>
  <c r="AA182" i="17"/>
  <c r="AA186" i="17"/>
  <c r="AA190" i="17"/>
  <c r="AA194" i="17"/>
  <c r="AA198" i="17"/>
  <c r="AA202" i="17"/>
  <c r="AA206" i="17"/>
  <c r="AA210" i="17"/>
  <c r="AA214" i="17"/>
  <c r="AA218" i="17"/>
  <c r="AA222" i="17"/>
  <c r="AA226" i="17"/>
  <c r="AA230" i="17"/>
  <c r="AA234" i="17"/>
  <c r="AA238" i="17"/>
  <c r="AA242" i="17"/>
  <c r="AA246" i="17"/>
  <c r="AA250" i="17"/>
  <c r="AA254" i="17"/>
  <c r="AA258" i="17"/>
  <c r="AA319" i="16"/>
  <c r="AG319" i="16" s="1"/>
  <c r="AA316" i="16"/>
  <c r="AG316" i="16" s="1"/>
  <c r="AA310" i="16"/>
  <c r="AG310" i="16" s="1"/>
  <c r="AA112" i="17"/>
  <c r="AA116" i="17"/>
  <c r="AA120" i="17"/>
  <c r="U5" i="28"/>
  <c r="U48" i="28" s="1"/>
  <c r="K11" i="30" s="1"/>
  <c r="M11" i="30" s="1"/>
  <c r="AA339" i="16"/>
  <c r="AG339" i="16" s="1"/>
  <c r="AA336" i="16"/>
  <c r="AG336" i="16" s="1"/>
  <c r="AA341" i="16"/>
  <c r="AG341" i="16" s="1"/>
  <c r="AA135" i="17"/>
  <c r="AA139" i="17"/>
  <c r="AA143" i="17"/>
  <c r="AA467" i="16"/>
  <c r="AA471" i="16"/>
  <c r="AG471" i="16" s="1"/>
  <c r="AA463" i="16"/>
  <c r="AG463" i="16" s="1"/>
  <c r="AA459" i="16"/>
  <c r="AA472" i="16"/>
  <c r="L472" i="21" s="1"/>
  <c r="O472" i="21" s="1"/>
  <c r="AA488" i="16"/>
  <c r="AG488" i="16" s="1"/>
  <c r="AA504" i="16"/>
  <c r="L504" i="21" s="1"/>
  <c r="O504" i="21" s="1"/>
  <c r="AA520" i="16"/>
  <c r="L520" i="21" s="1"/>
  <c r="O520" i="21" s="1"/>
  <c r="AA469" i="16"/>
  <c r="AA485" i="16"/>
  <c r="AG485" i="16" s="1"/>
  <c r="AA501" i="16"/>
  <c r="AG501" i="16" s="1"/>
  <c r="AA517" i="16"/>
  <c r="L517" i="21" s="1"/>
  <c r="O517" i="21" s="1"/>
  <c r="AA466" i="16"/>
  <c r="AA482" i="16"/>
  <c r="AG482" i="16" s="1"/>
  <c r="AA498" i="16"/>
  <c r="L498" i="21" s="1"/>
  <c r="O498" i="21" s="1"/>
  <c r="AA514" i="16"/>
  <c r="AA347" i="16"/>
  <c r="AG347" i="16" s="1"/>
  <c r="AA345" i="16"/>
  <c r="AG345" i="16" s="1"/>
  <c r="AA350" i="16"/>
  <c r="AG350" i="16" s="1"/>
  <c r="AA149" i="17"/>
  <c r="AA153" i="17"/>
  <c r="AA63" i="16"/>
  <c r="AG63" i="16" s="1"/>
  <c r="AA155" i="16"/>
  <c r="AG155" i="16" s="1"/>
  <c r="AA8" i="16"/>
  <c r="L8" i="21" s="1"/>
  <c r="O8" i="21" s="1"/>
  <c r="AA60" i="16"/>
  <c r="AA127" i="16"/>
  <c r="AG127" i="16" s="1"/>
  <c r="AA2" i="16"/>
  <c r="AA54" i="16"/>
  <c r="L54" i="21" s="1"/>
  <c r="O54" i="21" s="1"/>
  <c r="AA70" i="16"/>
  <c r="AA5" i="16"/>
  <c r="AG5" i="16" s="1"/>
  <c r="AA57" i="16"/>
  <c r="AG57" i="16" s="1"/>
  <c r="AA122" i="16"/>
  <c r="AA192" i="16"/>
  <c r="AG192" i="16" s="1"/>
  <c r="AA124" i="16"/>
  <c r="AG124" i="16" s="1"/>
  <c r="AA189" i="16"/>
  <c r="AG189" i="16" s="1"/>
  <c r="AA117" i="16"/>
  <c r="L117" i="21" s="1"/>
  <c r="O117" i="21" s="1"/>
  <c r="AA158" i="16"/>
  <c r="AA198" i="16"/>
  <c r="AG198" i="16" s="1"/>
  <c r="AA27" i="17"/>
  <c r="AA31" i="17"/>
  <c r="AA35" i="17"/>
  <c r="AA543" i="16"/>
  <c r="L543" i="21" s="1"/>
  <c r="O543" i="21" s="1"/>
  <c r="AA544" i="16"/>
  <c r="L544" i="21" s="1"/>
  <c r="O544" i="21" s="1"/>
  <c r="AA534" i="16"/>
  <c r="AA44" i="17"/>
  <c r="AA83" i="17"/>
  <c r="AA237" i="16"/>
  <c r="AG237" i="16" s="1"/>
  <c r="AA45" i="17"/>
  <c r="AA84" i="17"/>
  <c r="AA236" i="16"/>
  <c r="AG236" i="16" s="1"/>
  <c r="AA42" i="17"/>
  <c r="AA85" i="17"/>
  <c r="AA239" i="16"/>
  <c r="AG239" i="16" s="1"/>
  <c r="AA43" i="17"/>
  <c r="AA82" i="17"/>
  <c r="AA525" i="16"/>
  <c r="AG525" i="16" s="1"/>
  <c r="U14" i="28"/>
  <c r="U57" i="28" s="1"/>
  <c r="U35" i="28"/>
  <c r="U78" i="28" s="1"/>
  <c r="U39" i="28"/>
  <c r="U82" i="28" s="1"/>
  <c r="U13" i="28"/>
  <c r="U56" i="28" s="1"/>
  <c r="U11" i="28"/>
  <c r="U54" i="28" s="1"/>
  <c r="U32" i="28"/>
  <c r="U75" i="28" s="1"/>
  <c r="U40" i="28"/>
  <c r="U83" i="28" s="1"/>
  <c r="AA343" i="16"/>
  <c r="AG343" i="16" s="1"/>
  <c r="AA340" i="16"/>
  <c r="AG340" i="16" s="1"/>
  <c r="AA334" i="16"/>
  <c r="AG334" i="16" s="1"/>
  <c r="AA136" i="17"/>
  <c r="AA140" i="17"/>
  <c r="AA144" i="17"/>
  <c r="AA483" i="16"/>
  <c r="AG483" i="16" s="1"/>
  <c r="AA487" i="16"/>
  <c r="AG487" i="16" s="1"/>
  <c r="AA479" i="16"/>
  <c r="AG479" i="16" s="1"/>
  <c r="AA475" i="16"/>
  <c r="AG475" i="16" s="1"/>
  <c r="AA460" i="16"/>
  <c r="AG460" i="16" s="1"/>
  <c r="AA476" i="16"/>
  <c r="AG476" i="16" s="1"/>
  <c r="AA492" i="16"/>
  <c r="AG492" i="16" s="1"/>
  <c r="AA508" i="16"/>
  <c r="AA473" i="16"/>
  <c r="AG473" i="16" s="1"/>
  <c r="AA489" i="16"/>
  <c r="L489" i="21" s="1"/>
  <c r="O489" i="21" s="1"/>
  <c r="AA505" i="16"/>
  <c r="AG505" i="16" s="1"/>
  <c r="AA521" i="16"/>
  <c r="AA470" i="16"/>
  <c r="AG470" i="16" s="1"/>
  <c r="AA486" i="16"/>
  <c r="AG486" i="16" s="1"/>
  <c r="AA502" i="16"/>
  <c r="L502" i="21" s="1"/>
  <c r="O502" i="21" s="1"/>
  <c r="AA518" i="16"/>
  <c r="AA264" i="17"/>
  <c r="U34" i="28"/>
  <c r="U77" i="28" s="1"/>
  <c r="U25" i="28"/>
  <c r="U68" i="28" s="1"/>
  <c r="AA335" i="16"/>
  <c r="AG335" i="16" s="1"/>
  <c r="AA333" i="16"/>
  <c r="AG333" i="16" s="1"/>
  <c r="AA338" i="16"/>
  <c r="AG338" i="16" s="1"/>
  <c r="AA137" i="17"/>
  <c r="AA141" i="17"/>
  <c r="AA145" i="17"/>
  <c r="AA499" i="16"/>
  <c r="L499" i="21" s="1"/>
  <c r="O499" i="21" s="1"/>
  <c r="AA503" i="16"/>
  <c r="AG503" i="16" s="1"/>
  <c r="AA495" i="16"/>
  <c r="AA491" i="16"/>
  <c r="L491" i="21" s="1"/>
  <c r="O491" i="21" s="1"/>
  <c r="AA464" i="16"/>
  <c r="AA480" i="16"/>
  <c r="AG480" i="16" s="1"/>
  <c r="AA496" i="16"/>
  <c r="AA512" i="16"/>
  <c r="AG512" i="16" s="1"/>
  <c r="AA461" i="16"/>
  <c r="AG461" i="16" s="1"/>
  <c r="AA477" i="16"/>
  <c r="AG477" i="16" s="1"/>
  <c r="AA493" i="16"/>
  <c r="AA509" i="16"/>
  <c r="AG509" i="16" s="1"/>
  <c r="AA458" i="16"/>
  <c r="AG458" i="16" s="1"/>
  <c r="AA474" i="16"/>
  <c r="L474" i="21" s="1"/>
  <c r="O474" i="21" s="1"/>
  <c r="AA490" i="16"/>
  <c r="L490" i="21" s="1"/>
  <c r="O490" i="21" s="1"/>
  <c r="AA506" i="16"/>
  <c r="AG506" i="16" s="1"/>
  <c r="AA268" i="17"/>
  <c r="U38" i="28"/>
  <c r="U81" i="28" s="1"/>
  <c r="U42" i="28"/>
  <c r="U85" i="28" s="1"/>
  <c r="U23" i="28"/>
  <c r="U66" i="28" s="1"/>
  <c r="U41" i="28"/>
  <c r="U84" i="28" s="1"/>
  <c r="U33" i="28"/>
  <c r="U76" i="28" s="1"/>
  <c r="I14" i="29"/>
  <c r="I15" i="29"/>
  <c r="AA332" i="16"/>
  <c r="AG332" i="16" s="1"/>
  <c r="AA337" i="16"/>
  <c r="AG337" i="16" s="1"/>
  <c r="AA342" i="16"/>
  <c r="AG342" i="16" s="1"/>
  <c r="AA138" i="17"/>
  <c r="AA142" i="17"/>
  <c r="AA515" i="16"/>
  <c r="AG515" i="16" s="1"/>
  <c r="AA519" i="16"/>
  <c r="AA511" i="16"/>
  <c r="L511" i="21" s="1"/>
  <c r="O511" i="21" s="1"/>
  <c r="AA507" i="16"/>
  <c r="AG507" i="16" s="1"/>
  <c r="AA468" i="16"/>
  <c r="L468" i="21" s="1"/>
  <c r="O468" i="21" s="1"/>
  <c r="AA484" i="16"/>
  <c r="AA500" i="16"/>
  <c r="L500" i="21" s="1"/>
  <c r="O500" i="21" s="1"/>
  <c r="AA516" i="16"/>
  <c r="AG516" i="16" s="1"/>
  <c r="AA465" i="16"/>
  <c r="AA481" i="16"/>
  <c r="AA497" i="16"/>
  <c r="AG497" i="16" s="1"/>
  <c r="AA513" i="16"/>
  <c r="AG513" i="16" s="1"/>
  <c r="AA462" i="16"/>
  <c r="AG462" i="16" s="1"/>
  <c r="AA478" i="16"/>
  <c r="L478" i="21" s="1"/>
  <c r="O478" i="21" s="1"/>
  <c r="AA494" i="16"/>
  <c r="AG494" i="16" s="1"/>
  <c r="AA510" i="16"/>
  <c r="AG510" i="16" s="1"/>
  <c r="AA523" i="16"/>
  <c r="AG523" i="16" s="1"/>
  <c r="I15" i="30"/>
  <c r="I14" i="30"/>
  <c r="U20" i="28"/>
  <c r="U63" i="28" s="1"/>
  <c r="U8" i="28"/>
  <c r="U51" i="28" s="1"/>
  <c r="U15" i="28"/>
  <c r="U58" i="28" s="1"/>
  <c r="U17" i="28"/>
  <c r="U60" i="28" s="1"/>
  <c r="AA526" i="16"/>
  <c r="AG526" i="16" s="1"/>
  <c r="AA266" i="17"/>
  <c r="AA533" i="16"/>
  <c r="AG533" i="16" s="1"/>
  <c r="AA524" i="16"/>
  <c r="AG524" i="16" s="1"/>
  <c r="AA531" i="16"/>
  <c r="AG531" i="16" s="1"/>
  <c r="AA262" i="17"/>
  <c r="AA270" i="17"/>
  <c r="AA527" i="16"/>
  <c r="AG527" i="16" s="1"/>
  <c r="AA530" i="16"/>
  <c r="AG530" i="16" s="1"/>
  <c r="AA261" i="17"/>
  <c r="AA265" i="17"/>
  <c r="AA269" i="17"/>
  <c r="AA528" i="16"/>
  <c r="AG528" i="16" s="1"/>
  <c r="AA272" i="17"/>
  <c r="AA522" i="16"/>
  <c r="AG522" i="16" s="1"/>
  <c r="AA529" i="16"/>
  <c r="AG529" i="16" s="1"/>
  <c r="AA263" i="17"/>
  <c r="AA267" i="17"/>
  <c r="AA271" i="17"/>
  <c r="L307" i="21"/>
  <c r="O307" i="21" s="1"/>
  <c r="AG276" i="16"/>
  <c r="L276" i="21"/>
  <c r="O276" i="21" s="1"/>
  <c r="L273" i="21"/>
  <c r="O273" i="21" s="1"/>
  <c r="AG500" i="16"/>
  <c r="L458" i="21"/>
  <c r="AG490" i="16"/>
  <c r="AG7" i="16"/>
  <c r="L7" i="21"/>
  <c r="O7" i="21" s="1"/>
  <c r="AG126" i="16"/>
  <c r="L126" i="21"/>
  <c r="O126" i="21" s="1"/>
  <c r="AG12" i="16"/>
  <c r="L12" i="21"/>
  <c r="O12" i="21" s="1"/>
  <c r="AG2" i="16"/>
  <c r="L2" i="21"/>
  <c r="AG70" i="16"/>
  <c r="L70" i="21"/>
  <c r="O70" i="21" s="1"/>
  <c r="AG53" i="16"/>
  <c r="L53" i="21"/>
  <c r="O53" i="21" s="1"/>
  <c r="AG154" i="16"/>
  <c r="L154" i="21"/>
  <c r="O154" i="21" s="1"/>
  <c r="AG535" i="16"/>
  <c r="L535" i="21"/>
  <c r="O535" i="21" s="1"/>
  <c r="AG545" i="16"/>
  <c r="L545" i="21"/>
  <c r="O545" i="21" s="1"/>
  <c r="AG283" i="16"/>
  <c r="L283" i="21"/>
  <c r="O283" i="21" s="1"/>
  <c r="AG296" i="16"/>
  <c r="L296" i="21"/>
  <c r="O296" i="21" s="1"/>
  <c r="AG274" i="16"/>
  <c r="L274" i="21"/>
  <c r="O274" i="21" s="1"/>
  <c r="AG472" i="16"/>
  <c r="AG504" i="16"/>
  <c r="L461" i="21"/>
  <c r="O461" i="21" s="1"/>
  <c r="AG493" i="16"/>
  <c r="L493" i="21"/>
  <c r="O493" i="21" s="1"/>
  <c r="AG478" i="16"/>
  <c r="L510" i="21"/>
  <c r="O510" i="21" s="1"/>
  <c r="AG11" i="16"/>
  <c r="L11" i="21"/>
  <c r="O11" i="21" s="1"/>
  <c r="L155" i="21"/>
  <c r="O155" i="21" s="1"/>
  <c r="AG52" i="16"/>
  <c r="L52" i="21"/>
  <c r="O52" i="21" s="1"/>
  <c r="AG164" i="16"/>
  <c r="L246" i="21"/>
  <c r="O246" i="21" s="1"/>
  <c r="L242" i="21"/>
  <c r="O242" i="21" s="1"/>
  <c r="L238" i="21"/>
  <c r="L247" i="21"/>
  <c r="O247" i="21" s="1"/>
  <c r="L243" i="21"/>
  <c r="O243" i="21" s="1"/>
  <c r="L239" i="21"/>
  <c r="O239" i="21" s="1"/>
  <c r="L211" i="21"/>
  <c r="O211" i="21" s="1"/>
  <c r="L207" i="21"/>
  <c r="O207" i="21" s="1"/>
  <c r="L203" i="21"/>
  <c r="O203" i="21" s="1"/>
  <c r="L199" i="21"/>
  <c r="O199" i="21" s="1"/>
  <c r="L195" i="21"/>
  <c r="O195" i="21" s="1"/>
  <c r="L191" i="21"/>
  <c r="O191" i="21" s="1"/>
  <c r="L244" i="21"/>
  <c r="O244" i="21" s="1"/>
  <c r="L240" i="21"/>
  <c r="O240" i="21" s="1"/>
  <c r="L236" i="21"/>
  <c r="L245" i="21"/>
  <c r="O245" i="21" s="1"/>
  <c r="L237" i="21"/>
  <c r="O237" i="21" s="1"/>
  <c r="L204" i="21"/>
  <c r="O204" i="21" s="1"/>
  <c r="L196" i="21"/>
  <c r="O196" i="21" s="1"/>
  <c r="L188" i="21"/>
  <c r="L241" i="21"/>
  <c r="O241" i="21" s="1"/>
  <c r="L210" i="21"/>
  <c r="O210" i="21" s="1"/>
  <c r="L208" i="21"/>
  <c r="O208" i="21" s="1"/>
  <c r="L201" i="21"/>
  <c r="O201" i="21" s="1"/>
  <c r="L194" i="21"/>
  <c r="O194" i="21" s="1"/>
  <c r="L192" i="21"/>
  <c r="O192" i="21" s="1"/>
  <c r="L209" i="21"/>
  <c r="O209" i="21" s="1"/>
  <c r="L205" i="21"/>
  <c r="L200" i="21"/>
  <c r="O200" i="21" s="1"/>
  <c r="L190" i="21"/>
  <c r="O190" i="21" s="1"/>
  <c r="L202" i="21"/>
  <c r="O202" i="21" s="1"/>
  <c r="L198" i="21"/>
  <c r="L197" i="21"/>
  <c r="O197" i="21" s="1"/>
  <c r="L206" i="21"/>
  <c r="O206" i="21" s="1"/>
  <c r="L193" i="21"/>
  <c r="O193" i="21" s="1"/>
  <c r="L189" i="21"/>
  <c r="L164" i="21"/>
  <c r="O164" i="21" s="1"/>
  <c r="AG58" i="16"/>
  <c r="L58" i="21"/>
  <c r="O58" i="21" s="1"/>
  <c r="AG153" i="16"/>
  <c r="L153" i="21"/>
  <c r="O153" i="21" s="1"/>
  <c r="AG158" i="16"/>
  <c r="L158" i="21"/>
  <c r="O158" i="21" s="1"/>
  <c r="AG544" i="16"/>
  <c r="AG295" i="16"/>
  <c r="L295" i="21"/>
  <c r="O295" i="21" s="1"/>
  <c r="L284" i="21"/>
  <c r="O284" i="21" s="1"/>
  <c r="AG281" i="16"/>
  <c r="L281" i="21"/>
  <c r="O281" i="21" s="1"/>
  <c r="AG278" i="16"/>
  <c r="AG499" i="16"/>
  <c r="L487" i="21"/>
  <c r="O487" i="21" s="1"/>
  <c r="L479" i="21"/>
  <c r="O479" i="21" s="1"/>
  <c r="L475" i="21"/>
  <c r="O475" i="21" s="1"/>
  <c r="L476" i="21"/>
  <c r="O476" i="21" s="1"/>
  <c r="AG508" i="16"/>
  <c r="L508" i="21"/>
  <c r="O508" i="21" s="1"/>
  <c r="AG481" i="16"/>
  <c r="L481" i="21"/>
  <c r="O481" i="21" s="1"/>
  <c r="AG466" i="16"/>
  <c r="L466" i="21"/>
  <c r="O466" i="21" s="1"/>
  <c r="AG498" i="16"/>
  <c r="AG344" i="16"/>
  <c r="L355" i="21"/>
  <c r="O355" i="21" s="1"/>
  <c r="L353" i="21"/>
  <c r="O353" i="21" s="1"/>
  <c r="L351" i="21"/>
  <c r="O351" i="21" s="1"/>
  <c r="L349" i="21"/>
  <c r="O349" i="21" s="1"/>
  <c r="L347" i="21"/>
  <c r="O347" i="21" s="1"/>
  <c r="L345" i="21"/>
  <c r="L343" i="21"/>
  <c r="L341" i="21"/>
  <c r="O341" i="21" s="1"/>
  <c r="L339" i="21"/>
  <c r="L337" i="21"/>
  <c r="L335" i="21"/>
  <c r="L354" i="21"/>
  <c r="O354" i="21" s="1"/>
  <c r="L346" i="21"/>
  <c r="O346" i="21" s="1"/>
  <c r="L338" i="21"/>
  <c r="L333" i="21"/>
  <c r="L331" i="21"/>
  <c r="O331" i="21" s="1"/>
  <c r="L329" i="21"/>
  <c r="L327" i="21"/>
  <c r="L325" i="21"/>
  <c r="O325" i="21" s="1"/>
  <c r="L323" i="21"/>
  <c r="L321" i="21"/>
  <c r="O321" i="21" s="1"/>
  <c r="L319" i="21"/>
  <c r="L317" i="21"/>
  <c r="O317" i="21" s="1"/>
  <c r="L315" i="21"/>
  <c r="O315" i="21" s="1"/>
  <c r="L313" i="21"/>
  <c r="L311" i="21"/>
  <c r="L309" i="21"/>
  <c r="O309" i="21" s="1"/>
  <c r="L344" i="21"/>
  <c r="O344" i="21" s="1"/>
  <c r="L340" i="21"/>
  <c r="O340" i="21" s="1"/>
  <c r="L328" i="21"/>
  <c r="O328" i="21" s="1"/>
  <c r="L320" i="21"/>
  <c r="O320" i="21" s="1"/>
  <c r="L312" i="21"/>
  <c r="L352" i="21"/>
  <c r="O352" i="21" s="1"/>
  <c r="L342" i="21"/>
  <c r="O342" i="21" s="1"/>
  <c r="L326" i="21"/>
  <c r="L322" i="21"/>
  <c r="L308" i="21"/>
  <c r="L350" i="21"/>
  <c r="L336" i="21"/>
  <c r="L332" i="21"/>
  <c r="L318" i="21"/>
  <c r="L314" i="21"/>
  <c r="L348" i="21"/>
  <c r="O348" i="21" s="1"/>
  <c r="L334" i="21"/>
  <c r="L324" i="21"/>
  <c r="L316" i="21"/>
  <c r="O316" i="21" s="1"/>
  <c r="L330" i="21"/>
  <c r="L310" i="21"/>
  <c r="AG51" i="16"/>
  <c r="L51" i="21"/>
  <c r="O51" i="21" s="1"/>
  <c r="AG67" i="16"/>
  <c r="L67" i="21"/>
  <c r="O67" i="21" s="1"/>
  <c r="AG163" i="16"/>
  <c r="L163" i="21"/>
  <c r="O163" i="21" s="1"/>
  <c r="AG4" i="16"/>
  <c r="L4" i="21"/>
  <c r="O4" i="21" s="1"/>
  <c r="AG56" i="16"/>
  <c r="L56" i="21"/>
  <c r="O56" i="21" s="1"/>
  <c r="AG119" i="16"/>
  <c r="L119" i="21"/>
  <c r="O119" i="21" s="1"/>
  <c r="AG62" i="16"/>
  <c r="L62" i="21"/>
  <c r="O62" i="21" s="1"/>
  <c r="AG160" i="16"/>
  <c r="L160" i="21"/>
  <c r="O160" i="21" s="1"/>
  <c r="AG9" i="16"/>
  <c r="L9" i="21"/>
  <c r="O9" i="21" s="1"/>
  <c r="AG61" i="16"/>
  <c r="L61" i="21"/>
  <c r="O61" i="21" s="1"/>
  <c r="AG159" i="16"/>
  <c r="L159" i="21"/>
  <c r="O159" i="21" s="1"/>
  <c r="AG121" i="16"/>
  <c r="L121" i="21"/>
  <c r="O121" i="21" s="1"/>
  <c r="AG162" i="16"/>
  <c r="L162" i="21"/>
  <c r="O162" i="21" s="1"/>
  <c r="AG539" i="16"/>
  <c r="L539" i="21"/>
  <c r="O539" i="21" s="1"/>
  <c r="AG537" i="16"/>
  <c r="L537" i="21"/>
  <c r="O537" i="21" s="1"/>
  <c r="AG538" i="16"/>
  <c r="L538" i="21"/>
  <c r="O538" i="21" s="1"/>
  <c r="AG292" i="16"/>
  <c r="AG305" i="16"/>
  <c r="L305" i="21"/>
  <c r="O305" i="21" s="1"/>
  <c r="AG302" i="16"/>
  <c r="AG467" i="16"/>
  <c r="L467" i="21"/>
  <c r="O467" i="21" s="1"/>
  <c r="AG519" i="16"/>
  <c r="L519" i="21"/>
  <c r="O519" i="21" s="1"/>
  <c r="AG484" i="16"/>
  <c r="L484" i="21"/>
  <c r="O484" i="21" s="1"/>
  <c r="AG489" i="16"/>
  <c r="AG521" i="16"/>
  <c r="L532" i="21"/>
  <c r="L528" i="21"/>
  <c r="O528" i="21" s="1"/>
  <c r="L524" i="21"/>
  <c r="L533" i="21"/>
  <c r="O533" i="21" s="1"/>
  <c r="L529" i="21"/>
  <c r="L525" i="21"/>
  <c r="L530" i="21"/>
  <c r="L526" i="21"/>
  <c r="L522" i="21"/>
  <c r="L531" i="21"/>
  <c r="O531" i="21" s="1"/>
  <c r="L523" i="21"/>
  <c r="L521" i="21"/>
  <c r="O521" i="21" s="1"/>
  <c r="L527" i="21"/>
  <c r="L506" i="21"/>
  <c r="O506" i="21" s="1"/>
  <c r="AG59" i="16"/>
  <c r="L59" i="21"/>
  <c r="O59" i="21" s="1"/>
  <c r="AG64" i="16"/>
  <c r="L64" i="21"/>
  <c r="O64" i="21" s="1"/>
  <c r="AG156" i="16"/>
  <c r="L156" i="21"/>
  <c r="O156" i="21" s="1"/>
  <c r="AG69" i="16"/>
  <c r="L69" i="21"/>
  <c r="O69" i="21" s="1"/>
  <c r="AG540" i="16"/>
  <c r="L540" i="21"/>
  <c r="O540" i="21" s="1"/>
  <c r="AG280" i="16"/>
  <c r="L280" i="21"/>
  <c r="O280" i="21" s="1"/>
  <c r="AG277" i="16"/>
  <c r="L277" i="21"/>
  <c r="O277" i="21" s="1"/>
  <c r="AG293" i="16"/>
  <c r="L293" i="21"/>
  <c r="O293" i="21" s="1"/>
  <c r="L290" i="21"/>
  <c r="O290" i="21" s="1"/>
  <c r="AG306" i="16"/>
  <c r="L306" i="21"/>
  <c r="O306" i="21" s="1"/>
  <c r="L463" i="21"/>
  <c r="O463" i="21" s="1"/>
  <c r="L509" i="21"/>
  <c r="O509" i="21" s="1"/>
  <c r="L494" i="21"/>
  <c r="O494" i="21" s="1"/>
  <c r="AG68" i="16"/>
  <c r="L68" i="21"/>
  <c r="O68" i="21" s="1"/>
  <c r="AG6" i="16"/>
  <c r="L6" i="21"/>
  <c r="O6" i="21" s="1"/>
  <c r="AG116" i="16"/>
  <c r="L116" i="21"/>
  <c r="O116" i="21" s="1"/>
  <c r="L57" i="21"/>
  <c r="O57" i="21" s="1"/>
  <c r="AG117" i="16"/>
  <c r="AG291" i="16"/>
  <c r="L436" i="21"/>
  <c r="O436" i="21" s="1"/>
  <c r="L404" i="21"/>
  <c r="O404" i="21" s="1"/>
  <c r="L372" i="21"/>
  <c r="O372" i="21" s="1"/>
  <c r="L441" i="21"/>
  <c r="O441" i="21" s="1"/>
  <c r="L409" i="21"/>
  <c r="O409" i="21" s="1"/>
  <c r="L371" i="21"/>
  <c r="O371" i="21" s="1"/>
  <c r="AG288" i="16"/>
  <c r="L288" i="21"/>
  <c r="O288" i="21" s="1"/>
  <c r="L285" i="21"/>
  <c r="O285" i="21" s="1"/>
  <c r="AG301" i="16"/>
  <c r="L301" i="21"/>
  <c r="O301" i="21" s="1"/>
  <c r="AG298" i="16"/>
  <c r="L298" i="21"/>
  <c r="O298" i="21" s="1"/>
  <c r="L515" i="21"/>
  <c r="O515" i="21" s="1"/>
  <c r="AG495" i="16"/>
  <c r="L495" i="21"/>
  <c r="O495" i="21" s="1"/>
  <c r="AG491" i="16"/>
  <c r="AG464" i="16"/>
  <c r="L464" i="21"/>
  <c r="O464" i="21" s="1"/>
  <c r="AG496" i="16"/>
  <c r="L496" i="21"/>
  <c r="O496" i="21" s="1"/>
  <c r="AG469" i="16"/>
  <c r="L469" i="21"/>
  <c r="O469" i="21" s="1"/>
  <c r="AG502" i="16"/>
  <c r="AG518" i="16"/>
  <c r="L518" i="21"/>
  <c r="O518" i="21" s="1"/>
  <c r="AG3" i="16"/>
  <c r="L3" i="21"/>
  <c r="O3" i="21" s="1"/>
  <c r="AG55" i="16"/>
  <c r="L55" i="21"/>
  <c r="O55" i="21" s="1"/>
  <c r="AG118" i="16"/>
  <c r="L118" i="21"/>
  <c r="O118" i="21" s="1"/>
  <c r="AG60" i="16"/>
  <c r="L60" i="21"/>
  <c r="O60" i="21" s="1"/>
  <c r="AG50" i="16"/>
  <c r="L50" i="21"/>
  <c r="O50" i="21" s="1"/>
  <c r="AG13" i="16"/>
  <c r="L13" i="21"/>
  <c r="O13" i="21" s="1"/>
  <c r="AG65" i="16"/>
  <c r="L65" i="21"/>
  <c r="O65" i="21" s="1"/>
  <c r="AG120" i="16"/>
  <c r="L120" i="21"/>
  <c r="O120" i="21" s="1"/>
  <c r="AG161" i="16"/>
  <c r="L161" i="21"/>
  <c r="O161" i="21" s="1"/>
  <c r="AG125" i="16"/>
  <c r="L125" i="21"/>
  <c r="O125" i="21" s="1"/>
  <c r="AG536" i="16"/>
  <c r="L536" i="21"/>
  <c r="O536" i="21" s="1"/>
  <c r="AG541" i="16"/>
  <c r="L541" i="21"/>
  <c r="O541" i="21" s="1"/>
  <c r="AG542" i="16"/>
  <c r="L542" i="21"/>
  <c r="O542" i="21" s="1"/>
  <c r="Y5" i="12"/>
  <c r="X44" i="12"/>
  <c r="AM57" i="6"/>
  <c r="AM55" i="9"/>
  <c r="AM55" i="8"/>
  <c r="AM55" i="7"/>
  <c r="Y5" i="13"/>
  <c r="X44" i="13"/>
  <c r="AB46" i="13"/>
  <c r="AB46" i="12"/>
  <c r="AB46" i="10"/>
  <c r="AB46" i="11"/>
  <c r="L465" i="21" l="1"/>
  <c r="O465" i="21" s="1"/>
  <c r="AG465" i="16"/>
  <c r="L534" i="21"/>
  <c r="T12" i="21" s="1"/>
  <c r="AG534" i="16"/>
  <c r="L122" i="21"/>
  <c r="O122" i="21" s="1"/>
  <c r="AG122" i="16"/>
  <c r="AG303" i="16"/>
  <c r="L303" i="21"/>
  <c r="O303" i="21" s="1"/>
  <c r="AG294" i="16"/>
  <c r="L294" i="21"/>
  <c r="O294" i="21" s="1"/>
  <c r="AG275" i="16"/>
  <c r="AC9" i="21" s="1"/>
  <c r="L275" i="21"/>
  <c r="O275" i="21" s="1"/>
  <c r="AG157" i="16"/>
  <c r="L157" i="21"/>
  <c r="O157" i="21" s="1"/>
  <c r="L123" i="21"/>
  <c r="O123" i="21" s="1"/>
  <c r="AG123" i="16"/>
  <c r="L279" i="21"/>
  <c r="O279" i="21" s="1"/>
  <c r="AG279" i="16"/>
  <c r="L385" i="21"/>
  <c r="O385" i="21" s="1"/>
  <c r="L447" i="21"/>
  <c r="O447" i="21" s="1"/>
  <c r="L444" i="21"/>
  <c r="O444" i="21" s="1"/>
  <c r="L492" i="21"/>
  <c r="O492" i="21" s="1"/>
  <c r="L66" i="21"/>
  <c r="O66" i="21" s="1"/>
  <c r="AG517" i="16"/>
  <c r="L365" i="21"/>
  <c r="O365" i="21" s="1"/>
  <c r="L393" i="21"/>
  <c r="O393" i="21" s="1"/>
  <c r="L425" i="21"/>
  <c r="O425" i="21" s="1"/>
  <c r="L356" i="21"/>
  <c r="T10" i="21" s="1"/>
  <c r="L388" i="21"/>
  <c r="O388" i="21" s="1"/>
  <c r="L420" i="21"/>
  <c r="O420" i="21" s="1"/>
  <c r="AG54" i="16"/>
  <c r="AG474" i="16"/>
  <c r="O525" i="21"/>
  <c r="AG300" i="16"/>
  <c r="AG468" i="16"/>
  <c r="AG514" i="16"/>
  <c r="L514" i="21"/>
  <c r="O514" i="21" s="1"/>
  <c r="AG459" i="16"/>
  <c r="L459" i="21"/>
  <c r="O459" i="21" s="1"/>
  <c r="L457" i="21"/>
  <c r="O457" i="21" s="1"/>
  <c r="L442" i="21"/>
  <c r="O442" i="21" s="1"/>
  <c r="L434" i="21"/>
  <c r="O434" i="21" s="1"/>
  <c r="L426" i="21"/>
  <c r="O426" i="21" s="1"/>
  <c r="L418" i="21"/>
  <c r="O418" i="21" s="1"/>
  <c r="L410" i="21"/>
  <c r="O410" i="21" s="1"/>
  <c r="L402" i="21"/>
  <c r="L394" i="21"/>
  <c r="O394" i="21" s="1"/>
  <c r="L386" i="21"/>
  <c r="O386" i="21" s="1"/>
  <c r="L378" i="21"/>
  <c r="O378" i="21" s="1"/>
  <c r="L370" i="21"/>
  <c r="O370" i="21" s="1"/>
  <c r="L362" i="21"/>
  <c r="O362" i="21" s="1"/>
  <c r="L456" i="21"/>
  <c r="O456" i="21" s="1"/>
  <c r="L454" i="21"/>
  <c r="L439" i="21"/>
  <c r="O439" i="21" s="1"/>
  <c r="L431" i="21"/>
  <c r="O431" i="21" s="1"/>
  <c r="L423" i="21"/>
  <c r="O423" i="21" s="1"/>
  <c r="L415" i="21"/>
  <c r="O415" i="21" s="1"/>
  <c r="L407" i="21"/>
  <c r="O407" i="21" s="1"/>
  <c r="L399" i="21"/>
  <c r="L391" i="21"/>
  <c r="O391" i="21" s="1"/>
  <c r="L383" i="21"/>
  <c r="O383" i="21" s="1"/>
  <c r="L357" i="21"/>
  <c r="O357" i="21" s="1"/>
  <c r="L367" i="21"/>
  <c r="O367" i="21" s="1"/>
  <c r="L361" i="21"/>
  <c r="O361" i="21" s="1"/>
  <c r="L363" i="21"/>
  <c r="O363" i="21" s="1"/>
  <c r="L449" i="21"/>
  <c r="O449" i="21" s="1"/>
  <c r="L438" i="21"/>
  <c r="O438" i="21" s="1"/>
  <c r="L422" i="21"/>
  <c r="O422" i="21" s="1"/>
  <c r="L406" i="21"/>
  <c r="O406" i="21" s="1"/>
  <c r="L390" i="21"/>
  <c r="L382" i="21"/>
  <c r="O382" i="21" s="1"/>
  <c r="L366" i="21"/>
  <c r="L358" i="21"/>
  <c r="O358" i="21" s="1"/>
  <c r="L443" i="21"/>
  <c r="L427" i="21"/>
  <c r="O427" i="21" s="1"/>
  <c r="L419" i="21"/>
  <c r="O419" i="21" s="1"/>
  <c r="L403" i="21"/>
  <c r="O403" i="21" s="1"/>
  <c r="L387" i="21"/>
  <c r="O387" i="21" s="1"/>
  <c r="L446" i="21"/>
  <c r="O446" i="21" s="1"/>
  <c r="L272" i="21"/>
  <c r="O272" i="21" s="1"/>
  <c r="L450" i="21"/>
  <c r="O450" i="21" s="1"/>
  <c r="L440" i="21"/>
  <c r="O440" i="21" s="1"/>
  <c r="L432" i="21"/>
  <c r="O432" i="21" s="1"/>
  <c r="L424" i="21"/>
  <c r="O424" i="21" s="1"/>
  <c r="L416" i="21"/>
  <c r="L408" i="21"/>
  <c r="O408" i="21" s="1"/>
  <c r="L400" i="21"/>
  <c r="O400" i="21" s="1"/>
  <c r="L392" i="21"/>
  <c r="O392" i="21" s="1"/>
  <c r="L384" i="21"/>
  <c r="O384" i="21" s="1"/>
  <c r="L376" i="21"/>
  <c r="O376" i="21" s="1"/>
  <c r="L368" i="21"/>
  <c r="O368" i="21" s="1"/>
  <c r="L360" i="21"/>
  <c r="O360" i="21" s="1"/>
  <c r="L455" i="21"/>
  <c r="O455" i="21" s="1"/>
  <c r="L445" i="21"/>
  <c r="O445" i="21" s="1"/>
  <c r="L437" i="21"/>
  <c r="O437" i="21" s="1"/>
  <c r="L429" i="21"/>
  <c r="O429" i="21" s="1"/>
  <c r="L421" i="21"/>
  <c r="O421" i="21" s="1"/>
  <c r="L413" i="21"/>
  <c r="O413" i="21" s="1"/>
  <c r="L405" i="21"/>
  <c r="O405" i="21" s="1"/>
  <c r="L397" i="21"/>
  <c r="O397" i="21" s="1"/>
  <c r="L389" i="21"/>
  <c r="O389" i="21" s="1"/>
  <c r="L381" i="21"/>
  <c r="O381" i="21" s="1"/>
  <c r="L451" i="21"/>
  <c r="L453" i="21"/>
  <c r="O453" i="21" s="1"/>
  <c r="L452" i="21"/>
  <c r="O452" i="21" s="1"/>
  <c r="L375" i="21"/>
  <c r="O375" i="21" s="1"/>
  <c r="L430" i="21"/>
  <c r="O430" i="21" s="1"/>
  <c r="L414" i="21"/>
  <c r="O414" i="21" s="1"/>
  <c r="L398" i="21"/>
  <c r="O398" i="21" s="1"/>
  <c r="L374" i="21"/>
  <c r="O374" i="21" s="1"/>
  <c r="L448" i="21"/>
  <c r="O448" i="21" s="1"/>
  <c r="L435" i="21"/>
  <c r="O435" i="21" s="1"/>
  <c r="L411" i="21"/>
  <c r="O411" i="21" s="1"/>
  <c r="L395" i="21"/>
  <c r="L373" i="21"/>
  <c r="O373" i="21" s="1"/>
  <c r="L377" i="21"/>
  <c r="O377" i="21" s="1"/>
  <c r="L359" i="21"/>
  <c r="O359" i="21" s="1"/>
  <c r="AG287" i="16"/>
  <c r="L287" i="21"/>
  <c r="O287" i="21" s="1"/>
  <c r="L379" i="21"/>
  <c r="O379" i="21" s="1"/>
  <c r="L417" i="21"/>
  <c r="O417" i="21" s="1"/>
  <c r="L380" i="21"/>
  <c r="O380" i="21" s="1"/>
  <c r="L412" i="21"/>
  <c r="O412" i="21" s="1"/>
  <c r="L462" i="21"/>
  <c r="O462" i="21" s="1"/>
  <c r="O312" i="21"/>
  <c r="AG8" i="16"/>
  <c r="L282" i="21"/>
  <c r="O282" i="21" s="1"/>
  <c r="L369" i="21"/>
  <c r="O369" i="21" s="1"/>
  <c r="L401" i="21"/>
  <c r="O401" i="21" s="1"/>
  <c r="L433" i="21"/>
  <c r="O433" i="21" s="1"/>
  <c r="L364" i="21"/>
  <c r="O364" i="21" s="1"/>
  <c r="L396" i="21"/>
  <c r="O396" i="21" s="1"/>
  <c r="L428" i="21"/>
  <c r="O428" i="21" s="1"/>
  <c r="AG520" i="16"/>
  <c r="AG289" i="16"/>
  <c r="O330" i="21"/>
  <c r="O336" i="21"/>
  <c r="L486" i="21"/>
  <c r="O486" i="21" s="1"/>
  <c r="L501" i="21"/>
  <c r="O501" i="21" s="1"/>
  <c r="O526" i="21"/>
  <c r="L10" i="21"/>
  <c r="O10" i="21" s="1"/>
  <c r="O314" i="21"/>
  <c r="O350" i="21"/>
  <c r="O311" i="21"/>
  <c r="O319" i="21"/>
  <c r="O327" i="21"/>
  <c r="O338" i="21"/>
  <c r="O337" i="21"/>
  <c r="O189" i="21"/>
  <c r="O205" i="21"/>
  <c r="O188" i="21"/>
  <c r="O326" i="21"/>
  <c r="O523" i="21"/>
  <c r="O530" i="21"/>
  <c r="O324" i="21"/>
  <c r="O318" i="21"/>
  <c r="O313" i="21"/>
  <c r="O329" i="21"/>
  <c r="O339" i="21"/>
  <c r="O238" i="21"/>
  <c r="O333" i="21"/>
  <c r="O335" i="21"/>
  <c r="L5" i="21"/>
  <c r="O5" i="21" s="1"/>
  <c r="L505" i="21"/>
  <c r="O505" i="21" s="1"/>
  <c r="AP4" i="16"/>
  <c r="AQ4" i="16" s="1"/>
  <c r="AG511" i="16"/>
  <c r="L470" i="21"/>
  <c r="O470" i="21" s="1"/>
  <c r="L512" i="21"/>
  <c r="O512" i="21" s="1"/>
  <c r="L304" i="21"/>
  <c r="O304" i="21" s="1"/>
  <c r="O524" i="21"/>
  <c r="L460" i="21"/>
  <c r="O460" i="21" s="1"/>
  <c r="L473" i="21"/>
  <c r="O473" i="21" s="1"/>
  <c r="L286" i="21"/>
  <c r="O286" i="21" s="1"/>
  <c r="L483" i="21"/>
  <c r="O483" i="21" s="1"/>
  <c r="O308" i="21"/>
  <c r="L497" i="21"/>
  <c r="O497" i="21" s="1"/>
  <c r="L297" i="21"/>
  <c r="O297" i="21" s="1"/>
  <c r="L299" i="21"/>
  <c r="O299" i="21" s="1"/>
  <c r="AG543" i="16"/>
  <c r="O529" i="21"/>
  <c r="O532" i="21"/>
  <c r="O334" i="21"/>
  <c r="O322" i="21"/>
  <c r="O323" i="21"/>
  <c r="L127" i="21"/>
  <c r="O127" i="21" s="1"/>
  <c r="L485" i="21"/>
  <c r="O485" i="21" s="1"/>
  <c r="L480" i="21"/>
  <c r="O480" i="21" s="1"/>
  <c r="L503" i="21"/>
  <c r="O503" i="21" s="1"/>
  <c r="O395" i="21"/>
  <c r="O443" i="21"/>
  <c r="O366" i="21"/>
  <c r="O390" i="21"/>
  <c r="L63" i="21"/>
  <c r="O63" i="21" s="1"/>
  <c r="L477" i="21"/>
  <c r="O477" i="21" s="1"/>
  <c r="L488" i="21"/>
  <c r="O488" i="21" s="1"/>
  <c r="L124" i="21"/>
  <c r="O124" i="21" s="1"/>
  <c r="L516" i="21"/>
  <c r="O516" i="21" s="1"/>
  <c r="L507" i="21"/>
  <c r="O507" i="21" s="1"/>
  <c r="O310" i="21"/>
  <c r="O332" i="21"/>
  <c r="O198" i="21"/>
  <c r="O451" i="21"/>
  <c r="O416" i="21"/>
  <c r="O343" i="21"/>
  <c r="L482" i="21"/>
  <c r="O482" i="21" s="1"/>
  <c r="L513" i="21"/>
  <c r="O513" i="21" s="1"/>
  <c r="O236" i="21"/>
  <c r="L471" i="21"/>
  <c r="O471" i="21" s="1"/>
  <c r="AC10" i="21"/>
  <c r="K9" i="30"/>
  <c r="K14" i="30" s="1"/>
  <c r="O399" i="21"/>
  <c r="O454" i="21"/>
  <c r="O402" i="21"/>
  <c r="O345" i="21"/>
  <c r="K7" i="30"/>
  <c r="K13" i="30" s="1"/>
  <c r="K15" i="30"/>
  <c r="O527" i="21"/>
  <c r="O522" i="21"/>
  <c r="AP5" i="16"/>
  <c r="AQ5" i="16" s="1"/>
  <c r="AP6" i="16"/>
  <c r="AQ6" i="16" s="1"/>
  <c r="AC12" i="21"/>
  <c r="O458" i="21"/>
  <c r="O2" i="21"/>
  <c r="AP3" i="16"/>
  <c r="AQ3" i="16" s="1"/>
  <c r="O534" i="21"/>
  <c r="W12" i="21" s="1"/>
  <c r="AC11" i="21"/>
  <c r="Y44" i="13"/>
  <c r="AB5" i="13"/>
  <c r="Y44" i="12"/>
  <c r="AB5" i="12"/>
  <c r="AB44" i="12" s="1"/>
  <c r="O356" i="21" l="1"/>
  <c r="M9" i="30"/>
  <c r="T9" i="21"/>
  <c r="G5" i="32"/>
  <c r="G10" i="32"/>
  <c r="T11" i="21"/>
  <c r="M7" i="30"/>
  <c r="M13" i="30" s="1"/>
  <c r="W9" i="21"/>
  <c r="W10" i="21"/>
  <c r="W11" i="21"/>
  <c r="M15" i="30"/>
  <c r="M14" i="30"/>
  <c r="AP8" i="16"/>
  <c r="AQ8" i="16" s="1"/>
  <c r="Z12" i="21"/>
  <c r="AH12" i="21" s="1"/>
  <c r="Z10" i="21"/>
  <c r="AH10" i="21" s="1"/>
  <c r="AA234" i="16"/>
  <c r="AG234" i="16" s="1"/>
  <c r="AA230" i="16"/>
  <c r="AG230" i="16" s="1"/>
  <c r="AA226" i="16"/>
  <c r="AG226" i="16" s="1"/>
  <c r="AA108" i="17"/>
  <c r="AA104" i="17"/>
  <c r="AA100" i="17"/>
  <c r="AA70" i="17"/>
  <c r="AA66" i="17"/>
  <c r="AA62" i="17"/>
  <c r="AA235" i="16"/>
  <c r="AG235" i="16" s="1"/>
  <c r="AA231" i="16"/>
  <c r="AG231" i="16" s="1"/>
  <c r="AA227" i="16"/>
  <c r="AG227" i="16" s="1"/>
  <c r="AA107" i="17"/>
  <c r="AA103" i="17"/>
  <c r="AA99" i="17"/>
  <c r="AA73" i="17"/>
  <c r="AA69" i="17"/>
  <c r="AA65" i="17"/>
  <c r="AA260" i="16"/>
  <c r="AG260" i="16" s="1"/>
  <c r="AA232" i="16"/>
  <c r="AG232" i="16" s="1"/>
  <c r="AA228" i="16"/>
  <c r="AG228" i="16" s="1"/>
  <c r="AA224" i="16"/>
  <c r="AG224" i="16" s="1"/>
  <c r="AA106" i="17"/>
  <c r="AA102" i="17"/>
  <c r="AA98" i="17"/>
  <c r="AA72" i="17"/>
  <c r="AA68" i="17"/>
  <c r="AA64" i="17"/>
  <c r="AA271" i="16"/>
  <c r="AG271" i="16" s="1"/>
  <c r="AA270" i="16"/>
  <c r="AA269" i="16"/>
  <c r="AG269" i="16" s="1"/>
  <c r="AA268" i="16"/>
  <c r="AA267" i="16"/>
  <c r="AG267" i="16" s="1"/>
  <c r="AA266" i="16"/>
  <c r="AG266" i="16" s="1"/>
  <c r="AA265" i="16"/>
  <c r="AG265" i="16" s="1"/>
  <c r="AA264" i="16"/>
  <c r="AG264" i="16" s="1"/>
  <c r="AA263" i="16"/>
  <c r="AG263" i="16" s="1"/>
  <c r="AA262" i="16"/>
  <c r="AG262" i="16" s="1"/>
  <c r="AA261" i="16"/>
  <c r="AG261" i="16" s="1"/>
  <c r="AA233" i="16"/>
  <c r="AA229" i="16"/>
  <c r="AA225" i="16"/>
  <c r="AG225" i="16" s="1"/>
  <c r="AA109" i="17"/>
  <c r="AA105" i="17"/>
  <c r="AA101" i="17"/>
  <c r="AA71" i="17"/>
  <c r="AA67" i="17"/>
  <c r="AA63" i="17"/>
  <c r="AB44" i="13"/>
  <c r="AG270" i="16"/>
  <c r="AA186" i="16"/>
  <c r="AA182" i="16"/>
  <c r="AA178" i="16"/>
  <c r="AA150" i="16"/>
  <c r="AA146" i="16"/>
  <c r="AA142" i="16"/>
  <c r="AA113" i="16"/>
  <c r="AA109" i="16"/>
  <c r="AA105" i="16"/>
  <c r="AG233" i="16"/>
  <c r="AG229" i="16"/>
  <c r="AA185" i="16"/>
  <c r="AA181" i="16"/>
  <c r="AA177" i="16"/>
  <c r="AA149" i="16"/>
  <c r="AA145" i="16"/>
  <c r="AA141" i="16"/>
  <c r="AG268" i="16"/>
  <c r="AA184" i="16"/>
  <c r="AA180" i="16"/>
  <c r="AA179" i="16"/>
  <c r="AA151" i="16"/>
  <c r="AA143" i="16"/>
  <c r="AA115" i="16"/>
  <c r="AA110" i="16"/>
  <c r="AA104" i="16"/>
  <c r="AA100" i="16"/>
  <c r="AA96" i="16"/>
  <c r="AA25" i="16"/>
  <c r="AA21" i="16"/>
  <c r="AA17" i="16"/>
  <c r="AA183" i="16"/>
  <c r="AA152" i="16"/>
  <c r="AA144" i="16"/>
  <c r="AA111" i="16"/>
  <c r="AA106" i="16"/>
  <c r="AA101" i="16"/>
  <c r="AA97" i="16"/>
  <c r="AA22" i="16"/>
  <c r="AA18" i="16"/>
  <c r="AA14" i="16"/>
  <c r="AA148" i="16"/>
  <c r="AA114" i="16"/>
  <c r="AA108" i="16"/>
  <c r="AA103" i="16"/>
  <c r="AA99" i="16"/>
  <c r="AA95" i="16"/>
  <c r="AA24" i="16"/>
  <c r="AA20" i="16"/>
  <c r="AA16" i="16"/>
  <c r="AA187" i="16"/>
  <c r="AA147" i="16"/>
  <c r="AA112" i="16"/>
  <c r="AA107" i="16"/>
  <c r="AA102" i="16"/>
  <c r="AA98" i="16"/>
  <c r="AA94" i="16"/>
  <c r="AA23" i="16"/>
  <c r="AA19" i="16"/>
  <c r="AA15" i="16"/>
  <c r="Z9" i="21" l="1"/>
  <c r="AH9" i="21" s="1"/>
  <c r="Z11" i="21"/>
  <c r="AH11" i="21" s="1"/>
  <c r="AG102" i="16"/>
  <c r="L102" i="21"/>
  <c r="O102" i="21" s="1"/>
  <c r="AG24" i="16"/>
  <c r="L24" i="21"/>
  <c r="O24" i="21" s="1"/>
  <c r="AG144" i="16"/>
  <c r="L144" i="21"/>
  <c r="O144" i="21" s="1"/>
  <c r="AG96" i="16"/>
  <c r="L96" i="21"/>
  <c r="O96" i="21" s="1"/>
  <c r="AG177" i="16"/>
  <c r="L177" i="21"/>
  <c r="O177" i="21" s="1"/>
  <c r="AG182" i="16"/>
  <c r="L182" i="21"/>
  <c r="O182" i="21" s="1"/>
  <c r="AG107" i="16"/>
  <c r="L107" i="21"/>
  <c r="O107" i="21" s="1"/>
  <c r="AG114" i="16"/>
  <c r="L114" i="21"/>
  <c r="O114" i="21" s="1"/>
  <c r="AG101" i="16"/>
  <c r="L101" i="21"/>
  <c r="O101" i="21" s="1"/>
  <c r="AG100" i="16"/>
  <c r="L100" i="21"/>
  <c r="O100" i="21" s="1"/>
  <c r="AG180" i="16"/>
  <c r="L180" i="21"/>
  <c r="O180" i="21" s="1"/>
  <c r="AG181" i="16"/>
  <c r="L181" i="21"/>
  <c r="O181" i="21" s="1"/>
  <c r="AG105" i="16"/>
  <c r="L105" i="21"/>
  <c r="O105" i="21" s="1"/>
  <c r="AG186" i="16"/>
  <c r="L186" i="21"/>
  <c r="O186" i="21" s="1"/>
  <c r="AG112" i="16"/>
  <c r="L112" i="21"/>
  <c r="O112" i="21" s="1"/>
  <c r="AG99" i="16"/>
  <c r="L99" i="21"/>
  <c r="O99" i="21" s="1"/>
  <c r="AG106" i="16"/>
  <c r="L106" i="21"/>
  <c r="O106" i="21" s="1"/>
  <c r="AG21" i="16"/>
  <c r="L21" i="21"/>
  <c r="O21" i="21" s="1"/>
  <c r="AG151" i="16"/>
  <c r="L151" i="21"/>
  <c r="O151" i="21" s="1"/>
  <c r="AG184" i="16"/>
  <c r="L184" i="21"/>
  <c r="O184" i="21" s="1"/>
  <c r="AG145" i="16"/>
  <c r="L145" i="21"/>
  <c r="O145" i="21" s="1"/>
  <c r="AG185" i="16"/>
  <c r="L185" i="21"/>
  <c r="O185" i="21" s="1"/>
  <c r="AG109" i="16"/>
  <c r="L109" i="21"/>
  <c r="O109" i="21" s="1"/>
  <c r="AG150" i="16"/>
  <c r="L150" i="21"/>
  <c r="O150" i="21" s="1"/>
  <c r="AG19" i="16"/>
  <c r="L19" i="21"/>
  <c r="O19" i="21" s="1"/>
  <c r="AG187" i="16"/>
  <c r="L270" i="21"/>
  <c r="O270" i="21" s="1"/>
  <c r="L266" i="21"/>
  <c r="O266" i="21" s="1"/>
  <c r="L262" i="21"/>
  <c r="O262" i="21" s="1"/>
  <c r="L271" i="21"/>
  <c r="O271" i="21" s="1"/>
  <c r="L267" i="21"/>
  <c r="O267" i="21" s="1"/>
  <c r="L263" i="21"/>
  <c r="O263" i="21" s="1"/>
  <c r="L235" i="21"/>
  <c r="O235" i="21" s="1"/>
  <c r="L231" i="21"/>
  <c r="O231" i="21" s="1"/>
  <c r="L227" i="21"/>
  <c r="O227" i="21" s="1"/>
  <c r="L268" i="21"/>
  <c r="O268" i="21" s="1"/>
  <c r="L264" i="21"/>
  <c r="O264" i="21" s="1"/>
  <c r="L260" i="21"/>
  <c r="O260" i="21" s="1"/>
  <c r="L233" i="21"/>
  <c r="O233" i="21" s="1"/>
  <c r="L230" i="21"/>
  <c r="O230" i="21" s="1"/>
  <c r="L225" i="21"/>
  <c r="O225" i="21" s="1"/>
  <c r="L265" i="21"/>
  <c r="O265" i="21" s="1"/>
  <c r="L269" i="21"/>
  <c r="O269" i="21" s="1"/>
  <c r="L234" i="21"/>
  <c r="O234" i="21" s="1"/>
  <c r="L232" i="21"/>
  <c r="O232" i="21" s="1"/>
  <c r="L228" i="21"/>
  <c r="O228" i="21" s="1"/>
  <c r="L226" i="21"/>
  <c r="O226" i="21" s="1"/>
  <c r="L224" i="21"/>
  <c r="O224" i="21" s="1"/>
  <c r="L261" i="21"/>
  <c r="O261" i="21" s="1"/>
  <c r="L187" i="21"/>
  <c r="O187" i="21" s="1"/>
  <c r="L229" i="21"/>
  <c r="O229" i="21" s="1"/>
  <c r="AG108" i="16"/>
  <c r="L108" i="21"/>
  <c r="O108" i="21" s="1"/>
  <c r="AG97" i="16"/>
  <c r="L97" i="21"/>
  <c r="O97" i="21" s="1"/>
  <c r="AG115" i="16"/>
  <c r="L115" i="21"/>
  <c r="O115" i="21" s="1"/>
  <c r="AG142" i="16"/>
  <c r="L142" i="21"/>
  <c r="O142" i="21" s="1"/>
  <c r="AG23" i="16"/>
  <c r="L23" i="21"/>
  <c r="O23" i="21" s="1"/>
  <c r="AG95" i="16"/>
  <c r="L95" i="21"/>
  <c r="O95" i="21" s="1"/>
  <c r="AG14" i="16"/>
  <c r="L14" i="21"/>
  <c r="AG152" i="16"/>
  <c r="L152" i="21"/>
  <c r="O152" i="21" s="1"/>
  <c r="AG17" i="16"/>
  <c r="L17" i="21"/>
  <c r="O17" i="21" s="1"/>
  <c r="AG143" i="16"/>
  <c r="L143" i="21"/>
  <c r="O143" i="21" s="1"/>
  <c r="AG141" i="16"/>
  <c r="L141" i="21"/>
  <c r="O141" i="21" s="1"/>
  <c r="AG146" i="16"/>
  <c r="L146" i="21"/>
  <c r="O146" i="21" s="1"/>
  <c r="AG94" i="16"/>
  <c r="L94" i="21"/>
  <c r="O94" i="21" s="1"/>
  <c r="AG16" i="16"/>
  <c r="L16" i="21"/>
  <c r="O16" i="21" s="1"/>
  <c r="AG148" i="16"/>
  <c r="L148" i="21"/>
  <c r="O148" i="21" s="1"/>
  <c r="AG18" i="16"/>
  <c r="L18" i="21"/>
  <c r="O18" i="21" s="1"/>
  <c r="AG183" i="16"/>
  <c r="L183" i="21"/>
  <c r="O183" i="21" s="1"/>
  <c r="AG104" i="16"/>
  <c r="L104" i="21"/>
  <c r="O104" i="21" s="1"/>
  <c r="AG15" i="16"/>
  <c r="L15" i="21"/>
  <c r="O15" i="21" s="1"/>
  <c r="AG98" i="16"/>
  <c r="L98" i="21"/>
  <c r="O98" i="21" s="1"/>
  <c r="AG147" i="16"/>
  <c r="L147" i="21"/>
  <c r="O147" i="21" s="1"/>
  <c r="AG20" i="16"/>
  <c r="L20" i="21"/>
  <c r="O20" i="21" s="1"/>
  <c r="AG103" i="16"/>
  <c r="L103" i="21"/>
  <c r="O103" i="21" s="1"/>
  <c r="AG22" i="16"/>
  <c r="L22" i="21"/>
  <c r="O22" i="21" s="1"/>
  <c r="AG111" i="16"/>
  <c r="L111" i="21"/>
  <c r="O111" i="21" s="1"/>
  <c r="AG25" i="16"/>
  <c r="L25" i="21"/>
  <c r="O25" i="21" s="1"/>
  <c r="AG110" i="16"/>
  <c r="L110" i="21"/>
  <c r="O110" i="21" s="1"/>
  <c r="AG179" i="16"/>
  <c r="L179" i="21"/>
  <c r="O179" i="21" s="1"/>
  <c r="AG149" i="16"/>
  <c r="L149" i="21"/>
  <c r="O149" i="21" s="1"/>
  <c r="AG113" i="16"/>
  <c r="L113" i="21"/>
  <c r="O113" i="21" s="1"/>
  <c r="AG178" i="16"/>
  <c r="L178" i="21"/>
  <c r="O178" i="21" s="1"/>
  <c r="AP2" i="16" l="1"/>
  <c r="AP7" i="16" s="1"/>
  <c r="O14" i="21"/>
  <c r="W7" i="21" s="1"/>
  <c r="T7" i="21"/>
  <c r="AC7" i="21"/>
  <c r="AQ2" i="16" l="1"/>
  <c r="Z7" i="21"/>
  <c r="AH7" i="21" s="1"/>
  <c r="AQ7" i="16"/>
  <c r="AP9" i="16"/>
  <c r="AQ9" i="16" s="1"/>
  <c r="J2" i="21"/>
  <c r="K2" i="21"/>
  <c r="M2" i="21"/>
  <c r="N2" i="21"/>
  <c r="J3" i="21"/>
  <c r="K3" i="21"/>
  <c r="M3" i="21"/>
  <c r="N3" i="21"/>
  <c r="J4" i="21"/>
  <c r="K4" i="21"/>
  <c r="M4" i="21"/>
  <c r="N4" i="21"/>
  <c r="J5" i="21"/>
  <c r="K5" i="21"/>
  <c r="M5" i="21"/>
  <c r="N5" i="21"/>
  <c r="J6" i="21"/>
  <c r="K6" i="21"/>
  <c r="M6" i="21"/>
  <c r="N6" i="21"/>
  <c r="J7" i="21"/>
  <c r="K7" i="21"/>
  <c r="M7" i="21"/>
  <c r="N7" i="21"/>
  <c r="R7" i="21"/>
  <c r="S7" i="21"/>
  <c r="U7" i="21"/>
  <c r="V7" i="21"/>
  <c r="X7" i="21"/>
  <c r="Y7" i="21"/>
  <c r="AA7" i="21"/>
  <c r="AB7" i="21"/>
  <c r="AD7" i="21"/>
  <c r="AE7" i="21"/>
  <c r="AF7" i="21"/>
  <c r="AG7" i="21"/>
  <c r="AI7" i="21"/>
  <c r="AJ7" i="21"/>
  <c r="J8" i="21"/>
  <c r="K8" i="21"/>
  <c r="M8" i="21"/>
  <c r="N8" i="21"/>
  <c r="J9" i="21"/>
  <c r="K9" i="21"/>
  <c r="M9" i="21"/>
  <c r="N9" i="21"/>
  <c r="S9" i="21"/>
  <c r="V9" i="21"/>
  <c r="Y9" i="21"/>
  <c r="AB9" i="21"/>
  <c r="AE9" i="21"/>
  <c r="AG9" i="21"/>
  <c r="AJ9" i="21"/>
  <c r="J10" i="21"/>
  <c r="K10" i="21"/>
  <c r="M10" i="21"/>
  <c r="N10" i="21"/>
  <c r="S10" i="21"/>
  <c r="V10" i="21"/>
  <c r="Y10" i="21"/>
  <c r="AB10" i="21"/>
  <c r="AE10" i="21"/>
  <c r="AG10" i="21"/>
  <c r="AJ10" i="21"/>
  <c r="J11" i="21"/>
  <c r="K11" i="21"/>
  <c r="M11" i="21"/>
  <c r="N11" i="21"/>
  <c r="S11" i="21"/>
  <c r="V11" i="21"/>
  <c r="Y11" i="21"/>
  <c r="AB11" i="21"/>
  <c r="AE11" i="21"/>
  <c r="AG11" i="21"/>
  <c r="AJ11" i="21"/>
  <c r="J12" i="21"/>
  <c r="K12" i="21"/>
  <c r="M12" i="21"/>
  <c r="N12" i="21"/>
  <c r="S12" i="21"/>
  <c r="V12" i="21"/>
  <c r="Y12" i="21"/>
  <c r="AB12" i="21"/>
  <c r="AG12" i="21"/>
  <c r="AJ12" i="21"/>
  <c r="J13" i="21"/>
  <c r="K13" i="21"/>
  <c r="M13" i="21"/>
  <c r="N13" i="21"/>
  <c r="J14" i="21"/>
  <c r="K14" i="21"/>
  <c r="M14" i="21"/>
  <c r="N14" i="21"/>
  <c r="J15" i="21"/>
  <c r="K15" i="21"/>
  <c r="M15" i="21"/>
  <c r="N15" i="21"/>
  <c r="J16" i="21"/>
  <c r="K16" i="21"/>
  <c r="M16" i="21"/>
  <c r="N16" i="21"/>
  <c r="J17" i="21"/>
  <c r="K17" i="21"/>
  <c r="M17" i="21"/>
  <c r="N17" i="21"/>
  <c r="J18" i="21"/>
  <c r="K18" i="21"/>
  <c r="M18" i="21"/>
  <c r="N18" i="21"/>
  <c r="J19" i="21"/>
  <c r="K19" i="21"/>
  <c r="M19" i="21"/>
  <c r="N19" i="21"/>
  <c r="J20" i="21"/>
  <c r="K20" i="21"/>
  <c r="M20" i="21"/>
  <c r="N20" i="21"/>
  <c r="J21" i="21"/>
  <c r="K21" i="21"/>
  <c r="M21" i="21"/>
  <c r="N21" i="21"/>
  <c r="J22" i="21"/>
  <c r="K22" i="21"/>
  <c r="M22" i="21"/>
  <c r="N22" i="21"/>
  <c r="J23" i="21"/>
  <c r="K23" i="21"/>
  <c r="M23" i="21"/>
  <c r="N23" i="21"/>
  <c r="J24" i="21"/>
  <c r="K24" i="21"/>
  <c r="M24" i="21"/>
  <c r="N24" i="21"/>
  <c r="J25" i="21"/>
  <c r="K25" i="21"/>
  <c r="M25" i="21"/>
  <c r="N25" i="21"/>
  <c r="J26" i="21"/>
  <c r="M26" i="21"/>
  <c r="J27" i="21"/>
  <c r="M27" i="21"/>
  <c r="J28" i="21"/>
  <c r="M28" i="21"/>
  <c r="J29" i="21"/>
  <c r="M29" i="21"/>
  <c r="J30" i="21"/>
  <c r="M30" i="21"/>
  <c r="J31" i="21"/>
  <c r="M31" i="21"/>
  <c r="J32" i="21"/>
  <c r="M32" i="21"/>
  <c r="J33" i="21"/>
  <c r="M33" i="21"/>
  <c r="J34" i="21"/>
  <c r="M34" i="21"/>
  <c r="J35" i="21"/>
  <c r="M35" i="21"/>
  <c r="J36" i="21"/>
  <c r="M36" i="21"/>
  <c r="J37" i="21"/>
  <c r="M37" i="21"/>
  <c r="J38" i="21"/>
  <c r="M38" i="21"/>
  <c r="J39" i="21"/>
  <c r="M39" i="21"/>
  <c r="J40" i="21"/>
  <c r="M40" i="21"/>
  <c r="J41" i="21"/>
  <c r="M41" i="21"/>
  <c r="J42" i="21"/>
  <c r="M42" i="21"/>
  <c r="J43" i="21"/>
  <c r="M43" i="21"/>
  <c r="J44" i="21"/>
  <c r="M44" i="21"/>
  <c r="J45" i="21"/>
  <c r="M45" i="21"/>
  <c r="J46" i="21"/>
  <c r="M46" i="21"/>
  <c r="J47" i="21"/>
  <c r="M47" i="21"/>
  <c r="J48" i="21"/>
  <c r="M48" i="21"/>
  <c r="J49" i="21"/>
  <c r="M49" i="21"/>
  <c r="K50" i="21"/>
  <c r="N50" i="21"/>
  <c r="K51" i="21"/>
  <c r="N51" i="21"/>
  <c r="K52" i="21"/>
  <c r="N52" i="21"/>
  <c r="K53" i="21"/>
  <c r="N53" i="21"/>
  <c r="K54" i="21"/>
  <c r="N54" i="21"/>
  <c r="K55" i="21"/>
  <c r="N55" i="21"/>
  <c r="K56" i="21"/>
  <c r="N56" i="21"/>
  <c r="K57" i="21"/>
  <c r="N57" i="21"/>
  <c r="K58" i="21"/>
  <c r="N58" i="21"/>
  <c r="K59" i="21"/>
  <c r="N59" i="21"/>
  <c r="K60" i="21"/>
  <c r="N60" i="21"/>
  <c r="K61" i="21"/>
  <c r="N61" i="21"/>
  <c r="K62" i="21"/>
  <c r="N62" i="21"/>
  <c r="K63" i="21"/>
  <c r="N63" i="21"/>
  <c r="K64" i="21"/>
  <c r="N64" i="21"/>
  <c r="K65" i="21"/>
  <c r="N65" i="21"/>
  <c r="K66" i="21"/>
  <c r="N66" i="21"/>
  <c r="K67" i="21"/>
  <c r="N67" i="21"/>
  <c r="K68" i="21"/>
  <c r="N68" i="21"/>
  <c r="K69" i="21"/>
  <c r="N69" i="21"/>
  <c r="K70" i="21"/>
  <c r="N70" i="21"/>
  <c r="J71" i="21"/>
  <c r="M71" i="21"/>
  <c r="J72" i="21"/>
  <c r="M72" i="21"/>
  <c r="J73" i="21"/>
  <c r="M73" i="21"/>
  <c r="J74" i="21"/>
  <c r="M74" i="21"/>
  <c r="J75" i="21"/>
  <c r="M75" i="21"/>
  <c r="J76" i="21"/>
  <c r="M76" i="21"/>
  <c r="J77" i="21"/>
  <c r="M77" i="21"/>
  <c r="J78" i="21"/>
  <c r="M78" i="21"/>
  <c r="J79" i="21"/>
  <c r="M79" i="21"/>
  <c r="J80" i="21"/>
  <c r="M80" i="21"/>
  <c r="J81" i="21"/>
  <c r="M81" i="21"/>
  <c r="J82" i="21"/>
  <c r="M82" i="21"/>
  <c r="J83" i="21"/>
  <c r="M83" i="21"/>
  <c r="J84" i="21"/>
  <c r="M84" i="21"/>
  <c r="J85" i="21"/>
  <c r="M85" i="21"/>
  <c r="J86" i="21"/>
  <c r="M86" i="21"/>
  <c r="J87" i="21"/>
  <c r="M87" i="21"/>
  <c r="J88" i="21"/>
  <c r="M88" i="21"/>
  <c r="J89" i="21"/>
  <c r="M89" i="21"/>
  <c r="J90" i="21"/>
  <c r="M90" i="21"/>
  <c r="J91" i="21"/>
  <c r="M91" i="21"/>
  <c r="J92" i="21"/>
  <c r="M92" i="21"/>
  <c r="J93" i="21"/>
  <c r="M93" i="21"/>
  <c r="K94" i="21"/>
  <c r="N94" i="21"/>
  <c r="K95" i="21"/>
  <c r="N95" i="21"/>
  <c r="K96" i="21"/>
  <c r="N96" i="21"/>
  <c r="K97" i="21"/>
  <c r="N97" i="21"/>
  <c r="K98" i="21"/>
  <c r="N98" i="21"/>
  <c r="K99" i="21"/>
  <c r="N99" i="21"/>
  <c r="K100" i="21"/>
  <c r="N100" i="21"/>
  <c r="K101" i="21"/>
  <c r="N101" i="21"/>
  <c r="K102" i="21"/>
  <c r="N102" i="21"/>
  <c r="K103" i="21"/>
  <c r="N103" i="21"/>
  <c r="K104" i="21"/>
  <c r="N104" i="21"/>
  <c r="K105" i="21"/>
  <c r="N105" i="21"/>
  <c r="K106" i="21"/>
  <c r="N106" i="21"/>
  <c r="K107" i="21"/>
  <c r="N107" i="21"/>
  <c r="K108" i="21"/>
  <c r="N108" i="21"/>
  <c r="K109" i="21"/>
  <c r="N109" i="21"/>
  <c r="K110" i="21"/>
  <c r="N110" i="21"/>
  <c r="K111" i="21"/>
  <c r="N111" i="21"/>
  <c r="K112" i="21"/>
  <c r="N112" i="21"/>
  <c r="K113" i="21"/>
  <c r="N113" i="21"/>
  <c r="K114" i="21"/>
  <c r="N114" i="21"/>
  <c r="K115" i="21"/>
  <c r="N115" i="21"/>
  <c r="K116" i="21"/>
  <c r="N116" i="21"/>
  <c r="K117" i="21"/>
  <c r="N117" i="21"/>
  <c r="K118" i="21"/>
  <c r="N118" i="21"/>
  <c r="K119" i="21"/>
  <c r="N119" i="21"/>
  <c r="K120" i="21"/>
  <c r="N120" i="21"/>
  <c r="K121" i="21"/>
  <c r="N121" i="21"/>
  <c r="K122" i="21"/>
  <c r="N122" i="21"/>
  <c r="K123" i="21"/>
  <c r="N123" i="21"/>
  <c r="K124" i="21"/>
  <c r="N124" i="21"/>
  <c r="K125" i="21"/>
  <c r="N125" i="21"/>
  <c r="K126" i="21"/>
  <c r="N126" i="21"/>
  <c r="K127" i="21"/>
  <c r="N127" i="21"/>
  <c r="J128" i="21"/>
  <c r="M128" i="21"/>
  <c r="J129" i="21"/>
  <c r="M129" i="21"/>
  <c r="J130" i="21"/>
  <c r="M130" i="21"/>
  <c r="J131" i="21"/>
  <c r="M131" i="21"/>
  <c r="J132" i="21"/>
  <c r="M132" i="21"/>
  <c r="J133" i="21"/>
  <c r="M133" i="21"/>
  <c r="J134" i="21"/>
  <c r="M134" i="21"/>
  <c r="J135" i="21"/>
  <c r="M135" i="21"/>
  <c r="J136" i="21"/>
  <c r="M136" i="21"/>
  <c r="J137" i="21"/>
  <c r="M137" i="21"/>
  <c r="J138" i="21"/>
  <c r="M138" i="21"/>
  <c r="J139" i="21"/>
  <c r="M139" i="21"/>
  <c r="J140" i="21"/>
  <c r="M140" i="21"/>
  <c r="K141" i="21"/>
  <c r="N141" i="21"/>
  <c r="K142" i="21"/>
  <c r="N142" i="21"/>
  <c r="K143" i="21"/>
  <c r="N143" i="21"/>
  <c r="K144" i="21"/>
  <c r="N144" i="21"/>
  <c r="K145" i="21"/>
  <c r="N145" i="21"/>
  <c r="K146" i="21"/>
  <c r="N146" i="21"/>
  <c r="K147" i="21"/>
  <c r="N147" i="21"/>
  <c r="K148" i="21"/>
  <c r="N148" i="21"/>
  <c r="K149" i="21"/>
  <c r="N149" i="21"/>
  <c r="K150" i="21"/>
  <c r="N150" i="21"/>
  <c r="K151" i="21"/>
  <c r="N151" i="21"/>
  <c r="K152" i="21"/>
  <c r="N152" i="21"/>
  <c r="K153" i="21"/>
  <c r="N153" i="21"/>
  <c r="K154" i="21"/>
  <c r="N154" i="21"/>
  <c r="K155" i="21"/>
  <c r="N155" i="21"/>
  <c r="K156" i="21"/>
  <c r="N156" i="21"/>
  <c r="K157" i="21"/>
  <c r="N157" i="21"/>
  <c r="K158" i="21"/>
  <c r="N158" i="21"/>
  <c r="K159" i="21"/>
  <c r="N159" i="21"/>
  <c r="K160" i="21"/>
  <c r="N160" i="21"/>
  <c r="K161" i="21"/>
  <c r="N161" i="21"/>
  <c r="K162" i="21"/>
  <c r="N162" i="21"/>
  <c r="K163" i="21"/>
  <c r="N163" i="21"/>
  <c r="K164" i="21"/>
  <c r="N164" i="21"/>
  <c r="J165" i="21"/>
  <c r="M165" i="21"/>
  <c r="J166" i="21"/>
  <c r="M166" i="21"/>
  <c r="J167" i="21"/>
  <c r="M167" i="21"/>
  <c r="J168" i="21"/>
  <c r="M168" i="21"/>
  <c r="J169" i="21"/>
  <c r="M169" i="21"/>
  <c r="J170" i="21"/>
  <c r="M170" i="21"/>
  <c r="J171" i="21"/>
  <c r="M171" i="21"/>
  <c r="J172" i="21"/>
  <c r="M172" i="21"/>
  <c r="J173" i="21"/>
  <c r="M173" i="21"/>
  <c r="J174" i="21"/>
  <c r="M174" i="21"/>
  <c r="J175" i="21"/>
  <c r="M175" i="21"/>
  <c r="J176" i="21"/>
  <c r="M176" i="21"/>
  <c r="K177" i="21"/>
  <c r="N177" i="21"/>
  <c r="K178" i="21"/>
  <c r="N178" i="21"/>
  <c r="K179" i="21"/>
  <c r="N179" i="21"/>
  <c r="K180" i="21"/>
  <c r="N180" i="21"/>
  <c r="K181" i="21"/>
  <c r="N181" i="21"/>
  <c r="K182" i="21"/>
  <c r="N182" i="21"/>
  <c r="K183" i="21"/>
  <c r="N183" i="21"/>
  <c r="K184" i="21"/>
  <c r="N184" i="21"/>
  <c r="K185" i="21"/>
  <c r="N185" i="21"/>
  <c r="K186" i="21"/>
  <c r="N186" i="21"/>
  <c r="K187" i="21"/>
  <c r="N187" i="21"/>
  <c r="K188" i="21"/>
  <c r="N188" i="21"/>
  <c r="K189" i="21"/>
  <c r="N189" i="21"/>
  <c r="K190" i="21"/>
  <c r="N190" i="21"/>
  <c r="K191" i="21"/>
  <c r="N191" i="21"/>
  <c r="K192" i="21"/>
  <c r="N192" i="21"/>
  <c r="K193" i="21"/>
  <c r="N193" i="21"/>
  <c r="K194" i="21"/>
  <c r="N194" i="21"/>
  <c r="K195" i="21"/>
  <c r="N195" i="21"/>
  <c r="K196" i="21"/>
  <c r="N196" i="21"/>
  <c r="K197" i="21"/>
  <c r="N197" i="21"/>
  <c r="K198" i="21"/>
  <c r="N198" i="21"/>
  <c r="K199" i="21"/>
  <c r="N199" i="21"/>
  <c r="K200" i="21"/>
  <c r="N200" i="21"/>
  <c r="K201" i="21"/>
  <c r="N201" i="21"/>
  <c r="K202" i="21"/>
  <c r="N202" i="21"/>
  <c r="K203" i="21"/>
  <c r="N203" i="21"/>
  <c r="K204" i="21"/>
  <c r="N204" i="21"/>
  <c r="K205" i="21"/>
  <c r="N205" i="21"/>
  <c r="K206" i="21"/>
  <c r="N206" i="21"/>
  <c r="K207" i="21"/>
  <c r="N207" i="21"/>
  <c r="K208" i="21"/>
  <c r="N208" i="21"/>
  <c r="K209" i="21"/>
  <c r="N209" i="21"/>
  <c r="K210" i="21"/>
  <c r="N210" i="21"/>
  <c r="K211" i="21"/>
  <c r="N211" i="21"/>
  <c r="J212" i="21"/>
  <c r="M212" i="21"/>
  <c r="J213" i="21"/>
  <c r="M213" i="21"/>
  <c r="J214" i="21"/>
  <c r="M214" i="21"/>
  <c r="J215" i="21"/>
  <c r="M215" i="21"/>
  <c r="J216" i="21"/>
  <c r="M216" i="21"/>
  <c r="J217" i="21"/>
  <c r="M217" i="21"/>
  <c r="J218" i="21"/>
  <c r="M218" i="21"/>
  <c r="J219" i="21"/>
  <c r="M219" i="21"/>
  <c r="J220" i="21"/>
  <c r="M220" i="21"/>
  <c r="J221" i="21"/>
  <c r="M221" i="21"/>
  <c r="J222" i="21"/>
  <c r="M222" i="21"/>
  <c r="J223" i="21"/>
  <c r="M223" i="21"/>
  <c r="K224" i="21"/>
  <c r="N224" i="21"/>
  <c r="K225" i="21"/>
  <c r="N225" i="21"/>
  <c r="K226" i="21"/>
  <c r="N226" i="21"/>
  <c r="K227" i="21"/>
  <c r="N227" i="21"/>
  <c r="K228" i="21"/>
  <c r="N228" i="21"/>
  <c r="K229" i="21"/>
  <c r="N229" i="21"/>
  <c r="K230" i="21"/>
  <c r="N230" i="21"/>
  <c r="K231" i="21"/>
  <c r="N231" i="21"/>
  <c r="K232" i="21"/>
  <c r="N232" i="21"/>
  <c r="K233" i="21"/>
  <c r="N233" i="21"/>
  <c r="K234" i="21"/>
  <c r="N234" i="21"/>
  <c r="K235" i="21"/>
  <c r="N235" i="21"/>
  <c r="K236" i="21"/>
  <c r="N236" i="21"/>
  <c r="K237" i="21"/>
  <c r="N237" i="21"/>
  <c r="K238" i="21"/>
  <c r="N238" i="21"/>
  <c r="K239" i="21"/>
  <c r="N239" i="21"/>
  <c r="K240" i="21"/>
  <c r="N240" i="21"/>
  <c r="K241" i="21"/>
  <c r="N241" i="21"/>
  <c r="K242" i="21"/>
  <c r="N242" i="21"/>
  <c r="K243" i="21"/>
  <c r="N243" i="21"/>
  <c r="K244" i="21"/>
  <c r="N244" i="21"/>
  <c r="K245" i="21"/>
  <c r="N245" i="21"/>
  <c r="K246" i="21"/>
  <c r="N246" i="21"/>
  <c r="K247" i="21"/>
  <c r="N247" i="21"/>
  <c r="J248" i="21"/>
  <c r="M248" i="21"/>
  <c r="J249" i="21"/>
  <c r="M249" i="21"/>
  <c r="J250" i="21"/>
  <c r="M250" i="21"/>
  <c r="J251" i="21"/>
  <c r="M251" i="21"/>
  <c r="J252" i="21"/>
  <c r="M252" i="21"/>
  <c r="J253" i="21"/>
  <c r="M253" i="21"/>
  <c r="J254" i="21"/>
  <c r="M254" i="21"/>
  <c r="J255" i="21"/>
  <c r="M255" i="21"/>
  <c r="J256" i="21"/>
  <c r="M256" i="21"/>
  <c r="J257" i="21"/>
  <c r="M257" i="21"/>
  <c r="J258" i="21"/>
  <c r="M258" i="21"/>
  <c r="J259" i="21"/>
  <c r="M259" i="21"/>
  <c r="K260" i="21"/>
  <c r="N260" i="21"/>
  <c r="K261" i="21"/>
  <c r="N261" i="21"/>
  <c r="K262" i="21"/>
  <c r="N262" i="21"/>
  <c r="K263" i="21"/>
  <c r="N263" i="21"/>
  <c r="K264" i="21"/>
  <c r="N264" i="21"/>
  <c r="K265" i="21"/>
  <c r="N265" i="21"/>
  <c r="K266" i="21"/>
  <c r="N266" i="21"/>
  <c r="K267" i="21"/>
  <c r="N267" i="21"/>
  <c r="K268" i="21"/>
  <c r="N268" i="21"/>
  <c r="K269" i="21"/>
  <c r="N269" i="21"/>
  <c r="K270" i="21"/>
  <c r="N270" i="21"/>
  <c r="K271" i="21"/>
  <c r="N271" i="21"/>
  <c r="K272" i="21"/>
  <c r="N272" i="21"/>
  <c r="K273" i="21"/>
  <c r="N273" i="21"/>
  <c r="K274" i="21"/>
  <c r="N274" i="21"/>
  <c r="K275" i="21"/>
  <c r="N275" i="21"/>
  <c r="K276" i="21"/>
  <c r="N276" i="21"/>
  <c r="K277" i="21"/>
  <c r="N277" i="21"/>
  <c r="K278" i="21"/>
  <c r="N278" i="21"/>
  <c r="K279" i="21"/>
  <c r="N279" i="21"/>
  <c r="K280" i="21"/>
  <c r="N280" i="21"/>
  <c r="K281" i="21"/>
  <c r="N281" i="21"/>
  <c r="K282" i="21"/>
  <c r="N282" i="21"/>
  <c r="K283" i="21"/>
  <c r="N283" i="21"/>
  <c r="K284" i="21"/>
  <c r="N284" i="21"/>
  <c r="K285" i="21"/>
  <c r="N285" i="21"/>
  <c r="K286" i="21"/>
  <c r="N286" i="21"/>
  <c r="K287" i="21"/>
  <c r="N287" i="21"/>
  <c r="K288" i="21"/>
  <c r="N288" i="21"/>
  <c r="K289" i="21"/>
  <c r="N289" i="21"/>
  <c r="K290" i="21"/>
  <c r="N290" i="21"/>
  <c r="K291" i="21"/>
  <c r="N291" i="21"/>
  <c r="K292" i="21"/>
  <c r="N292" i="21"/>
  <c r="K293" i="21"/>
  <c r="N293" i="21"/>
  <c r="K294" i="21"/>
  <c r="N294" i="21"/>
  <c r="K295" i="21"/>
  <c r="N295" i="21"/>
  <c r="K296" i="21"/>
  <c r="N296" i="21"/>
  <c r="K297" i="21"/>
  <c r="N297" i="21"/>
  <c r="K298" i="21"/>
  <c r="N298" i="21"/>
  <c r="K299" i="21"/>
  <c r="N299" i="21"/>
  <c r="K300" i="21"/>
  <c r="N300" i="21"/>
  <c r="K301" i="21"/>
  <c r="N301" i="21"/>
  <c r="K302" i="21"/>
  <c r="N302" i="21"/>
  <c r="K303" i="21"/>
  <c r="N303" i="21"/>
  <c r="K304" i="21"/>
  <c r="N304" i="21"/>
  <c r="K305" i="21"/>
  <c r="N305" i="21"/>
  <c r="K306" i="21"/>
  <c r="N306" i="21"/>
  <c r="K307" i="21"/>
  <c r="N307" i="21"/>
  <c r="K308" i="21"/>
  <c r="N308" i="21"/>
  <c r="K309" i="21"/>
  <c r="N309" i="21"/>
  <c r="K310" i="21"/>
  <c r="N310" i="21"/>
  <c r="K311" i="21"/>
  <c r="N311" i="21"/>
  <c r="K312" i="21"/>
  <c r="N312" i="21"/>
  <c r="K313" i="21"/>
  <c r="N313" i="21"/>
  <c r="K314" i="21"/>
  <c r="N314" i="21"/>
  <c r="K315" i="21"/>
  <c r="N315" i="21"/>
  <c r="K316" i="21"/>
  <c r="N316" i="21"/>
  <c r="K317" i="21"/>
  <c r="N317" i="21"/>
  <c r="K318" i="21"/>
  <c r="N318" i="21"/>
  <c r="K319" i="21"/>
  <c r="N319" i="21"/>
  <c r="K320" i="21"/>
  <c r="N320" i="21"/>
  <c r="K321" i="21"/>
  <c r="N321" i="21"/>
  <c r="K322" i="21"/>
  <c r="N322" i="21"/>
  <c r="K323" i="21"/>
  <c r="N323" i="21"/>
  <c r="K324" i="21"/>
  <c r="N324" i="21"/>
  <c r="K325" i="21"/>
  <c r="N325" i="21"/>
  <c r="K326" i="21"/>
  <c r="N326" i="21"/>
  <c r="K327" i="21"/>
  <c r="N327" i="21"/>
  <c r="K328" i="21"/>
  <c r="N328" i="21"/>
  <c r="K329" i="21"/>
  <c r="N329" i="21"/>
  <c r="K330" i="21"/>
  <c r="N330" i="21"/>
  <c r="K331" i="21"/>
  <c r="N331" i="21"/>
  <c r="K332" i="21"/>
  <c r="N332" i="21"/>
  <c r="K333" i="21"/>
  <c r="N333" i="21"/>
  <c r="K334" i="21"/>
  <c r="N334" i="21"/>
  <c r="K335" i="21"/>
  <c r="N335" i="21"/>
  <c r="K336" i="21"/>
  <c r="N336" i="21"/>
  <c r="K337" i="21"/>
  <c r="N337" i="21"/>
  <c r="K338" i="21"/>
  <c r="N338" i="21"/>
  <c r="K339" i="21"/>
  <c r="N339" i="21"/>
  <c r="K340" i="21"/>
  <c r="N340" i="21"/>
  <c r="K341" i="21"/>
  <c r="N341" i="21"/>
  <c r="K342" i="21"/>
  <c r="N342" i="21"/>
  <c r="K343" i="21"/>
  <c r="N343" i="21"/>
  <c r="K344" i="21"/>
  <c r="N344" i="21"/>
  <c r="K345" i="21"/>
  <c r="N345" i="21"/>
  <c r="K346" i="21"/>
  <c r="N346" i="21"/>
  <c r="K347" i="21"/>
  <c r="N347" i="21"/>
  <c r="K348" i="21"/>
  <c r="N348" i="21"/>
  <c r="K349" i="21"/>
  <c r="N349" i="21"/>
  <c r="K350" i="21"/>
  <c r="N350" i="21"/>
  <c r="K351" i="21"/>
  <c r="N351" i="21"/>
  <c r="K352" i="21"/>
  <c r="N352" i="21"/>
  <c r="K353" i="21"/>
  <c r="N353" i="21"/>
  <c r="K354" i="21"/>
  <c r="N354" i="21"/>
  <c r="K355" i="21"/>
  <c r="N355" i="21"/>
  <c r="K356" i="21"/>
  <c r="N356" i="21"/>
  <c r="K357" i="21"/>
  <c r="N357" i="21"/>
  <c r="K358" i="21"/>
  <c r="N358" i="21"/>
  <c r="K359" i="21"/>
  <c r="N359" i="21"/>
  <c r="K360" i="21"/>
  <c r="N360" i="21"/>
  <c r="K361" i="21"/>
  <c r="N361" i="21"/>
  <c r="K362" i="21"/>
  <c r="N362" i="21"/>
  <c r="K363" i="21"/>
  <c r="N363" i="21"/>
  <c r="K364" i="21"/>
  <c r="N364" i="21"/>
  <c r="K365" i="21"/>
  <c r="N365" i="21"/>
  <c r="K366" i="21"/>
  <c r="N366" i="21"/>
  <c r="K367" i="21"/>
  <c r="N367" i="21"/>
  <c r="K368" i="21"/>
  <c r="N368" i="21"/>
  <c r="K369" i="21"/>
  <c r="N369" i="21"/>
  <c r="K370" i="21"/>
  <c r="N370" i="21"/>
  <c r="K371" i="21"/>
  <c r="N371" i="21"/>
  <c r="K372" i="21"/>
  <c r="N372" i="21"/>
  <c r="K373" i="21"/>
  <c r="N373" i="21"/>
  <c r="K374" i="21"/>
  <c r="N374" i="21"/>
  <c r="K375" i="21"/>
  <c r="N375" i="21"/>
  <c r="K376" i="21"/>
  <c r="N376" i="21"/>
  <c r="K377" i="21"/>
  <c r="N377" i="21"/>
  <c r="K378" i="21"/>
  <c r="N378" i="21"/>
  <c r="K379" i="21"/>
  <c r="N379" i="21"/>
  <c r="K380" i="21"/>
  <c r="N380" i="21"/>
  <c r="K381" i="21"/>
  <c r="N381" i="21"/>
  <c r="K382" i="21"/>
  <c r="N382" i="21"/>
  <c r="K383" i="21"/>
  <c r="N383" i="21"/>
  <c r="K384" i="21"/>
  <c r="N384" i="21"/>
  <c r="K385" i="21"/>
  <c r="N385" i="21"/>
  <c r="K386" i="21"/>
  <c r="N386" i="21"/>
  <c r="K387" i="21"/>
  <c r="N387" i="21"/>
  <c r="K388" i="21"/>
  <c r="N388" i="21"/>
  <c r="K389" i="21"/>
  <c r="N389" i="21"/>
  <c r="K390" i="21"/>
  <c r="N390" i="21"/>
  <c r="K391" i="21"/>
  <c r="N391" i="21"/>
  <c r="K392" i="21"/>
  <c r="N392" i="21"/>
  <c r="K393" i="21"/>
  <c r="N393" i="21"/>
  <c r="K394" i="21"/>
  <c r="N394" i="21"/>
  <c r="K395" i="21"/>
  <c r="N395" i="21"/>
  <c r="K396" i="21"/>
  <c r="N396" i="21"/>
  <c r="K397" i="21"/>
  <c r="N397" i="21"/>
  <c r="K398" i="21"/>
  <c r="N398" i="21"/>
  <c r="K399" i="21"/>
  <c r="N399" i="21"/>
  <c r="K400" i="21"/>
  <c r="N400" i="21"/>
  <c r="K401" i="21"/>
  <c r="N401" i="21"/>
  <c r="K402" i="21"/>
  <c r="N402" i="21"/>
  <c r="K403" i="21"/>
  <c r="N403" i="21"/>
  <c r="K404" i="21"/>
  <c r="N404" i="21"/>
  <c r="K405" i="21"/>
  <c r="N405" i="21"/>
  <c r="K406" i="21"/>
  <c r="N406" i="21"/>
  <c r="K407" i="21"/>
  <c r="N407" i="21"/>
  <c r="K408" i="21"/>
  <c r="N408" i="21"/>
  <c r="K409" i="21"/>
  <c r="N409" i="21"/>
  <c r="K410" i="21"/>
  <c r="N410" i="21"/>
  <c r="K411" i="21"/>
  <c r="N411" i="21"/>
  <c r="K412" i="21"/>
  <c r="N412" i="21"/>
  <c r="K413" i="21"/>
  <c r="N413" i="21"/>
  <c r="K414" i="21"/>
  <c r="N414" i="21"/>
  <c r="K415" i="21"/>
  <c r="N415" i="21"/>
  <c r="K416" i="21"/>
  <c r="N416" i="21"/>
  <c r="K417" i="21"/>
  <c r="N417" i="21"/>
  <c r="K418" i="21"/>
  <c r="N418" i="21"/>
  <c r="K419" i="21"/>
  <c r="N419" i="21"/>
  <c r="K420" i="21"/>
  <c r="N420" i="21"/>
  <c r="K421" i="21"/>
  <c r="N421" i="21"/>
  <c r="K422" i="21"/>
  <c r="N422" i="21"/>
  <c r="K423" i="21"/>
  <c r="N423" i="21"/>
  <c r="K424" i="21"/>
  <c r="N424" i="21"/>
  <c r="K425" i="21"/>
  <c r="N425" i="21"/>
  <c r="K426" i="21"/>
  <c r="N426" i="21"/>
  <c r="K427" i="21"/>
  <c r="N427" i="21"/>
  <c r="K428" i="21"/>
  <c r="N428" i="21"/>
  <c r="K429" i="21"/>
  <c r="N429" i="21"/>
  <c r="K430" i="21"/>
  <c r="N430" i="21"/>
  <c r="K431" i="21"/>
  <c r="N431" i="21"/>
  <c r="K432" i="21"/>
  <c r="N432" i="21"/>
  <c r="K433" i="21"/>
  <c r="N433" i="21"/>
  <c r="K434" i="21"/>
  <c r="N434" i="21"/>
  <c r="K435" i="21"/>
  <c r="N435" i="21"/>
  <c r="K436" i="21"/>
  <c r="N436" i="21"/>
  <c r="K437" i="21"/>
  <c r="N437" i="21"/>
  <c r="K438" i="21"/>
  <c r="N438" i="21"/>
  <c r="K439" i="21"/>
  <c r="N439" i="21"/>
  <c r="K440" i="21"/>
  <c r="N440" i="21"/>
  <c r="K441" i="21"/>
  <c r="N441" i="21"/>
  <c r="K442" i="21"/>
  <c r="N442" i="21"/>
  <c r="K443" i="21"/>
  <c r="N443" i="21"/>
  <c r="K444" i="21"/>
  <c r="N444" i="21"/>
  <c r="K445" i="21"/>
  <c r="N445" i="21"/>
  <c r="K446" i="21"/>
  <c r="N446" i="21"/>
  <c r="K447" i="21"/>
  <c r="N447" i="21"/>
  <c r="K448" i="21"/>
  <c r="N448" i="21"/>
  <c r="K449" i="21"/>
  <c r="N449" i="21"/>
  <c r="K450" i="21"/>
  <c r="N450" i="21"/>
  <c r="K451" i="21"/>
  <c r="N451" i="21"/>
  <c r="K452" i="21"/>
  <c r="N452" i="21"/>
  <c r="K453" i="21"/>
  <c r="N453" i="21"/>
  <c r="K454" i="21"/>
  <c r="N454" i="21"/>
  <c r="K455" i="21"/>
  <c r="N455" i="21"/>
  <c r="K456" i="21"/>
  <c r="N456" i="21"/>
  <c r="K457" i="21"/>
  <c r="N457" i="21"/>
  <c r="K458" i="21"/>
  <c r="N458" i="21"/>
  <c r="K459" i="21"/>
  <c r="N459" i="21"/>
  <c r="K460" i="21"/>
  <c r="N460" i="21"/>
  <c r="K461" i="21"/>
  <c r="N461" i="21"/>
  <c r="K462" i="21"/>
  <c r="N462" i="21"/>
  <c r="K463" i="21"/>
  <c r="N463" i="21"/>
  <c r="K464" i="21"/>
  <c r="N464" i="21"/>
  <c r="K465" i="21"/>
  <c r="N465" i="21"/>
  <c r="K466" i="21"/>
  <c r="N466" i="21"/>
  <c r="K467" i="21"/>
  <c r="N467" i="21"/>
  <c r="K468" i="21"/>
  <c r="N468" i="21"/>
  <c r="K469" i="21"/>
  <c r="N469" i="21"/>
  <c r="K470" i="21"/>
  <c r="N470" i="21"/>
  <c r="K471" i="21"/>
  <c r="N471" i="21"/>
  <c r="K472" i="21"/>
  <c r="N472" i="21"/>
  <c r="K473" i="21"/>
  <c r="N473" i="21"/>
  <c r="K474" i="21"/>
  <c r="N474" i="21"/>
  <c r="K475" i="21"/>
  <c r="N475" i="21"/>
  <c r="K476" i="21"/>
  <c r="N476" i="21"/>
  <c r="K477" i="21"/>
  <c r="N477" i="21"/>
  <c r="K478" i="21"/>
  <c r="N478" i="21"/>
  <c r="K479" i="21"/>
  <c r="N479" i="21"/>
  <c r="K480" i="21"/>
  <c r="N480" i="21"/>
  <c r="K481" i="21"/>
  <c r="N481" i="21"/>
  <c r="K482" i="21"/>
  <c r="N482" i="21"/>
  <c r="K483" i="21"/>
  <c r="N483" i="21"/>
  <c r="K484" i="21"/>
  <c r="N484" i="21"/>
  <c r="K485" i="21"/>
  <c r="N485" i="21"/>
  <c r="K486" i="21"/>
  <c r="N486" i="21"/>
  <c r="K487" i="21"/>
  <c r="N487" i="21"/>
  <c r="K488" i="21"/>
  <c r="N488" i="21"/>
  <c r="K489" i="21"/>
  <c r="N489" i="21"/>
  <c r="K490" i="21"/>
  <c r="N490" i="21"/>
  <c r="K491" i="21"/>
  <c r="N491" i="21"/>
  <c r="K492" i="21"/>
  <c r="N492" i="21"/>
  <c r="K493" i="21"/>
  <c r="N493" i="21"/>
  <c r="K494" i="21"/>
  <c r="N494" i="21"/>
  <c r="K495" i="21"/>
  <c r="N495" i="21"/>
  <c r="K496" i="21"/>
  <c r="N496" i="21"/>
  <c r="K497" i="21"/>
  <c r="N497" i="21"/>
  <c r="K498" i="21"/>
  <c r="N498" i="21"/>
  <c r="K499" i="21"/>
  <c r="N499" i="21"/>
  <c r="K500" i="21"/>
  <c r="N500" i="21"/>
  <c r="K501" i="21"/>
  <c r="N501" i="21"/>
  <c r="K502" i="21"/>
  <c r="N502" i="21"/>
  <c r="K503" i="21"/>
  <c r="N503" i="21"/>
  <c r="K504" i="21"/>
  <c r="N504" i="21"/>
  <c r="K505" i="21"/>
  <c r="N505" i="21"/>
  <c r="K506" i="21"/>
  <c r="N506" i="21"/>
  <c r="K507" i="21"/>
  <c r="N507" i="21"/>
  <c r="K508" i="21"/>
  <c r="N508" i="21"/>
  <c r="K509" i="21"/>
  <c r="N509" i="21"/>
  <c r="K510" i="21"/>
  <c r="N510" i="21"/>
  <c r="K511" i="21"/>
  <c r="N511" i="21"/>
  <c r="K512" i="21"/>
  <c r="N512" i="21"/>
  <c r="K513" i="21"/>
  <c r="N513" i="21"/>
  <c r="K514" i="21"/>
  <c r="N514" i="21"/>
  <c r="K515" i="21"/>
  <c r="N515" i="21"/>
  <c r="K516" i="21"/>
  <c r="N516" i="21"/>
  <c r="K517" i="21"/>
  <c r="N517" i="21"/>
  <c r="K518" i="21"/>
  <c r="N518" i="21"/>
  <c r="K519" i="21"/>
  <c r="N519" i="21"/>
  <c r="K520" i="21"/>
  <c r="N520" i="21"/>
  <c r="K521" i="21"/>
  <c r="N521" i="21"/>
  <c r="K522" i="21"/>
  <c r="N522" i="21"/>
  <c r="K523" i="21"/>
  <c r="N523" i="21"/>
  <c r="K524" i="21"/>
  <c r="N524" i="21"/>
  <c r="K525" i="21"/>
  <c r="N525" i="21"/>
  <c r="K526" i="21"/>
  <c r="N526" i="21"/>
  <c r="K527" i="21"/>
  <c r="N527" i="21"/>
  <c r="K528" i="21"/>
  <c r="N528" i="21"/>
  <c r="K529" i="21"/>
  <c r="N529" i="21"/>
  <c r="K530" i="21"/>
  <c r="N530" i="21"/>
  <c r="K531" i="21"/>
  <c r="N531" i="21"/>
  <c r="K532" i="21"/>
  <c r="N532" i="21"/>
  <c r="K533" i="21"/>
  <c r="N533" i="21"/>
  <c r="K534" i="21"/>
  <c r="N534" i="21"/>
  <c r="K535" i="21"/>
  <c r="N535" i="21"/>
  <c r="K536" i="21"/>
  <c r="N536" i="21"/>
  <c r="K537" i="21"/>
  <c r="N537" i="21"/>
  <c r="K538" i="21"/>
  <c r="N538" i="21"/>
  <c r="K539" i="21"/>
  <c r="N539" i="21"/>
  <c r="K540" i="21"/>
  <c r="N540" i="21"/>
  <c r="K541" i="21"/>
  <c r="N541" i="21"/>
  <c r="K542" i="21"/>
  <c r="N542" i="21"/>
  <c r="K543" i="21"/>
  <c r="N543" i="21"/>
  <c r="K544" i="21"/>
  <c r="N544" i="21"/>
  <c r="K545" i="21"/>
  <c r="N545" i="21"/>
  <c r="D48" i="5"/>
  <c r="E48" i="5"/>
  <c r="F48" i="5"/>
  <c r="D49" i="5"/>
  <c r="E49" i="5"/>
  <c r="F49" i="5"/>
  <c r="Y2" i="16"/>
  <c r="Z2" i="16"/>
  <c r="AE2" i="16"/>
  <c r="AF2" i="16"/>
  <c r="AK2" i="16"/>
  <c r="AL2" i="16"/>
  <c r="AU2" i="16"/>
  <c r="AV2" i="16"/>
  <c r="Y3" i="16"/>
  <c r="Z3" i="16"/>
  <c r="AE3" i="16"/>
  <c r="AF3" i="16"/>
  <c r="AK3" i="16"/>
  <c r="AL3" i="16"/>
  <c r="AU3" i="16"/>
  <c r="AV3" i="16"/>
  <c r="Y4" i="16"/>
  <c r="Z4" i="16"/>
  <c r="AE4" i="16"/>
  <c r="AF4" i="16"/>
  <c r="AK4" i="16"/>
  <c r="AL4" i="16"/>
  <c r="AU4" i="16"/>
  <c r="AV4" i="16"/>
  <c r="Y5" i="16"/>
  <c r="Z5" i="16"/>
  <c r="AE5" i="16"/>
  <c r="AF5" i="16"/>
  <c r="AK5" i="16"/>
  <c r="AL5" i="16"/>
  <c r="AU5" i="16"/>
  <c r="AV5" i="16"/>
  <c r="Y6" i="16"/>
  <c r="Z6" i="16"/>
  <c r="AE6" i="16"/>
  <c r="AF6" i="16"/>
  <c r="AK6" i="16"/>
  <c r="AL6" i="16"/>
  <c r="AU6" i="16"/>
  <c r="AV6" i="16"/>
  <c r="Y7" i="16"/>
  <c r="Z7" i="16"/>
  <c r="AE7" i="16"/>
  <c r="AF7" i="16"/>
  <c r="AK7" i="16"/>
  <c r="AL7" i="16"/>
  <c r="AU7" i="16"/>
  <c r="AV7" i="16"/>
  <c r="Y8" i="16"/>
  <c r="Z8" i="16"/>
  <c r="AE8" i="16"/>
  <c r="AF8" i="16"/>
  <c r="AK8" i="16"/>
  <c r="AL8" i="16"/>
  <c r="AU8" i="16"/>
  <c r="AV8" i="16"/>
  <c r="Y9" i="16"/>
  <c r="Z9" i="16"/>
  <c r="AE9" i="16"/>
  <c r="AF9" i="16"/>
  <c r="AK9" i="16"/>
  <c r="AL9" i="16"/>
  <c r="AU9" i="16"/>
  <c r="AV9" i="16"/>
  <c r="Y10" i="16"/>
  <c r="Z10" i="16"/>
  <c r="AE10" i="16"/>
  <c r="AF10" i="16"/>
  <c r="Y11" i="16"/>
  <c r="Z11" i="16"/>
  <c r="AE11" i="16"/>
  <c r="AF11" i="16"/>
  <c r="Y12" i="16"/>
  <c r="Z12" i="16"/>
  <c r="AE12" i="16"/>
  <c r="AF12" i="16"/>
  <c r="AU12" i="16"/>
  <c r="Y13" i="16"/>
  <c r="Z13" i="16"/>
  <c r="AE13" i="16"/>
  <c r="AF13" i="16"/>
  <c r="AU13" i="16"/>
  <c r="Y14" i="16"/>
  <c r="Z14" i="16"/>
  <c r="AE14" i="16"/>
  <c r="AF14" i="16"/>
  <c r="Y15" i="16"/>
  <c r="Z15" i="16"/>
  <c r="AE15" i="16"/>
  <c r="AF15" i="16"/>
  <c r="Y16" i="16"/>
  <c r="Z16" i="16"/>
  <c r="AE16" i="16"/>
  <c r="AF16" i="16"/>
  <c r="Y17" i="16"/>
  <c r="Z17" i="16"/>
  <c r="AE17" i="16"/>
  <c r="AF17" i="16"/>
  <c r="Y18" i="16"/>
  <c r="Z18" i="16"/>
  <c r="AE18" i="16"/>
  <c r="AF18" i="16"/>
  <c r="Y19" i="16"/>
  <c r="Z19" i="16"/>
  <c r="AE19" i="16"/>
  <c r="AF19" i="16"/>
  <c r="Y20" i="16"/>
  <c r="Z20" i="16"/>
  <c r="AE20" i="16"/>
  <c r="AF20" i="16"/>
  <c r="Y21" i="16"/>
  <c r="Z21" i="16"/>
  <c r="AE21" i="16"/>
  <c r="AF21" i="16"/>
  <c r="Y22" i="16"/>
  <c r="Z22" i="16"/>
  <c r="AE22" i="16"/>
  <c r="AF22" i="16"/>
  <c r="Y23" i="16"/>
  <c r="Z23" i="16"/>
  <c r="AE23" i="16"/>
  <c r="AF23" i="16"/>
  <c r="Y24" i="16"/>
  <c r="Z24" i="16"/>
  <c r="AE24" i="16"/>
  <c r="AF24" i="16"/>
  <c r="Y25" i="16"/>
  <c r="Z25" i="16"/>
  <c r="AE25" i="16"/>
  <c r="AF25" i="16"/>
  <c r="Y26" i="16"/>
  <c r="AE26" i="16"/>
  <c r="Y27" i="16"/>
  <c r="AE27" i="16"/>
  <c r="Y28" i="16"/>
  <c r="AE28" i="16"/>
  <c r="Y29" i="16"/>
  <c r="AE29" i="16"/>
  <c r="Y30" i="16"/>
  <c r="AE30" i="16"/>
  <c r="Y31" i="16"/>
  <c r="AE31" i="16"/>
  <c r="Y32" i="16"/>
  <c r="AE32" i="16"/>
  <c r="Y33" i="16"/>
  <c r="AE33" i="16"/>
  <c r="Y34" i="16"/>
  <c r="AE34" i="16"/>
  <c r="Y35" i="16"/>
  <c r="AE35" i="16"/>
  <c r="Y36" i="16"/>
  <c r="AE36" i="16"/>
  <c r="Y37" i="16"/>
  <c r="AE37" i="16"/>
  <c r="Y38" i="16"/>
  <c r="AE38" i="16"/>
  <c r="Y39" i="16"/>
  <c r="AE39" i="16"/>
  <c r="Y40" i="16"/>
  <c r="AE40" i="16"/>
  <c r="Y41" i="16"/>
  <c r="AE41" i="16"/>
  <c r="Y42" i="16"/>
  <c r="AE42" i="16"/>
  <c r="Y43" i="16"/>
  <c r="AE43" i="16"/>
  <c r="Y44" i="16"/>
  <c r="AE44" i="16"/>
  <c r="Y45" i="16"/>
  <c r="AE45" i="16"/>
  <c r="Y46" i="16"/>
  <c r="AE46" i="16"/>
  <c r="Y47" i="16"/>
  <c r="AE47" i="16"/>
  <c r="Y48" i="16"/>
  <c r="AE48" i="16"/>
  <c r="Y49" i="16"/>
  <c r="AE49" i="16"/>
  <c r="Z50" i="16"/>
  <c r="AF50" i="16"/>
  <c r="Z51" i="16"/>
  <c r="AF51" i="16"/>
  <c r="Z52" i="16"/>
  <c r="AF52" i="16"/>
  <c r="Z53" i="16"/>
  <c r="AF53" i="16"/>
  <c r="Z54" i="16"/>
  <c r="AF54" i="16"/>
  <c r="Z55" i="16"/>
  <c r="AF55" i="16"/>
  <c r="Z56" i="16"/>
  <c r="AF56" i="16"/>
  <c r="Z57" i="16"/>
  <c r="AF57" i="16"/>
  <c r="Z58" i="16"/>
  <c r="AF58" i="16"/>
  <c r="Z59" i="16"/>
  <c r="AF59" i="16"/>
  <c r="Z60" i="16"/>
  <c r="AF60" i="16"/>
  <c r="Z61" i="16"/>
  <c r="AF61" i="16"/>
  <c r="Z62" i="16"/>
  <c r="AF62" i="16"/>
  <c r="Z63" i="16"/>
  <c r="AF63" i="16"/>
  <c r="Z64" i="16"/>
  <c r="AF64" i="16"/>
  <c r="Z65" i="16"/>
  <c r="AF65" i="16"/>
  <c r="Z66" i="16"/>
  <c r="AF66" i="16"/>
  <c r="Z67" i="16"/>
  <c r="AF67" i="16"/>
  <c r="Z68" i="16"/>
  <c r="AF68" i="16"/>
  <c r="Z69" i="16"/>
  <c r="AF69" i="16"/>
  <c r="Z70" i="16"/>
  <c r="AF70" i="16"/>
  <c r="Y71" i="16"/>
  <c r="AE71" i="16"/>
  <c r="Y72" i="16"/>
  <c r="AE72" i="16"/>
  <c r="Y73" i="16"/>
  <c r="AE73" i="16"/>
  <c r="Y74" i="16"/>
  <c r="AE74" i="16"/>
  <c r="Y75" i="16"/>
  <c r="AE75" i="16"/>
  <c r="Y76" i="16"/>
  <c r="AE76" i="16"/>
  <c r="Y77" i="16"/>
  <c r="AE77" i="16"/>
  <c r="Y78" i="16"/>
  <c r="AE78" i="16"/>
  <c r="Y79" i="16"/>
  <c r="AE79" i="16"/>
  <c r="Y80" i="16"/>
  <c r="AE80" i="16"/>
  <c r="Y81" i="16"/>
  <c r="AE81" i="16"/>
  <c r="Y82" i="16"/>
  <c r="AE82" i="16"/>
  <c r="Y83" i="16"/>
  <c r="AE83" i="16"/>
  <c r="Y84" i="16"/>
  <c r="AE84" i="16"/>
  <c r="Y85" i="16"/>
  <c r="AE85" i="16"/>
  <c r="Y86" i="16"/>
  <c r="AE86" i="16"/>
  <c r="Y87" i="16"/>
  <c r="AE87" i="16"/>
  <c r="Y88" i="16"/>
  <c r="AE88" i="16"/>
  <c r="Y89" i="16"/>
  <c r="AE89" i="16"/>
  <c r="Y90" i="16"/>
  <c r="AE90" i="16"/>
  <c r="Y91" i="16"/>
  <c r="AE91" i="16"/>
  <c r="Y92" i="16"/>
  <c r="AE92" i="16"/>
  <c r="Y93" i="16"/>
  <c r="AE93" i="16"/>
  <c r="Z94" i="16"/>
  <c r="AF94" i="16"/>
  <c r="Z95" i="16"/>
  <c r="AF95" i="16"/>
  <c r="Z96" i="16"/>
  <c r="AF96" i="16"/>
  <c r="Z97" i="16"/>
  <c r="AF97" i="16"/>
  <c r="Z98" i="16"/>
  <c r="AF98" i="16"/>
  <c r="Z99" i="16"/>
  <c r="AF99" i="16"/>
  <c r="Z100" i="16"/>
  <c r="AF100" i="16"/>
  <c r="Z101" i="16"/>
  <c r="AF101" i="16"/>
  <c r="Z102" i="16"/>
  <c r="AF102" i="16"/>
  <c r="Z103" i="16"/>
  <c r="AF103" i="16"/>
  <c r="Z104" i="16"/>
  <c r="AF104" i="16"/>
  <c r="Z105" i="16"/>
  <c r="AF105" i="16"/>
  <c r="Z106" i="16"/>
  <c r="AF106" i="16"/>
  <c r="Z107" i="16"/>
  <c r="AF107" i="16"/>
  <c r="Z108" i="16"/>
  <c r="AF108" i="16"/>
  <c r="Z109" i="16"/>
  <c r="AF109" i="16"/>
  <c r="Z110" i="16"/>
  <c r="AF110" i="16"/>
  <c r="Z111" i="16"/>
  <c r="AF111" i="16"/>
  <c r="Z112" i="16"/>
  <c r="AF112" i="16"/>
  <c r="Z113" i="16"/>
  <c r="AF113" i="16"/>
  <c r="Z114" i="16"/>
  <c r="AF114" i="16"/>
  <c r="Z115" i="16"/>
  <c r="AF115" i="16"/>
  <c r="Z116" i="16"/>
  <c r="AF116" i="16"/>
  <c r="Z117" i="16"/>
  <c r="AF117" i="16"/>
  <c r="Z118" i="16"/>
  <c r="AF118" i="16"/>
  <c r="Z119" i="16"/>
  <c r="AF119" i="16"/>
  <c r="Z120" i="16"/>
  <c r="AF120" i="16"/>
  <c r="Z121" i="16"/>
  <c r="AF121" i="16"/>
  <c r="Z122" i="16"/>
  <c r="AF122" i="16"/>
  <c r="Z123" i="16"/>
  <c r="AF123" i="16"/>
  <c r="Z124" i="16"/>
  <c r="AF124" i="16"/>
  <c r="Z125" i="16"/>
  <c r="AF125" i="16"/>
  <c r="Z126" i="16"/>
  <c r="AF126" i="16"/>
  <c r="Z127" i="16"/>
  <c r="AF127" i="16"/>
  <c r="Y128" i="16"/>
  <c r="AE128" i="16"/>
  <c r="Y129" i="16"/>
  <c r="AE129" i="16"/>
  <c r="Y130" i="16"/>
  <c r="AE130" i="16"/>
  <c r="Y131" i="16"/>
  <c r="AE131" i="16"/>
  <c r="Y132" i="16"/>
  <c r="AE132" i="16"/>
  <c r="Y133" i="16"/>
  <c r="AE133" i="16"/>
  <c r="Y134" i="16"/>
  <c r="AE134" i="16"/>
  <c r="Y135" i="16"/>
  <c r="AE135" i="16"/>
  <c r="Y136" i="16"/>
  <c r="AE136" i="16"/>
  <c r="Y137" i="16"/>
  <c r="AE137" i="16"/>
  <c r="Y138" i="16"/>
  <c r="AE138" i="16"/>
  <c r="Y139" i="16"/>
  <c r="AE139" i="16"/>
  <c r="Y140" i="16"/>
  <c r="AE140" i="16"/>
  <c r="Z141" i="16"/>
  <c r="AF141" i="16"/>
  <c r="Z142" i="16"/>
  <c r="AF142" i="16"/>
  <c r="Z143" i="16"/>
  <c r="AF143" i="16"/>
  <c r="Z144" i="16"/>
  <c r="AF144" i="16"/>
  <c r="Z145" i="16"/>
  <c r="AF145" i="16"/>
  <c r="Z146" i="16"/>
  <c r="AF146" i="16"/>
  <c r="Z147" i="16"/>
  <c r="AF147" i="16"/>
  <c r="Z148" i="16"/>
  <c r="AF148" i="16"/>
  <c r="Z149" i="16"/>
  <c r="AF149" i="16"/>
  <c r="Z150" i="16"/>
  <c r="AF150" i="16"/>
  <c r="Z151" i="16"/>
  <c r="AF151" i="16"/>
  <c r="Z152" i="16"/>
  <c r="AF152" i="16"/>
  <c r="Z153" i="16"/>
  <c r="AF153" i="16"/>
  <c r="Z154" i="16"/>
  <c r="AF154" i="16"/>
  <c r="Z155" i="16"/>
  <c r="AF155" i="16"/>
  <c r="Z156" i="16"/>
  <c r="AF156" i="16"/>
  <c r="Z157" i="16"/>
  <c r="AF157" i="16"/>
  <c r="Z158" i="16"/>
  <c r="AF158" i="16"/>
  <c r="Z159" i="16"/>
  <c r="AF159" i="16"/>
  <c r="Z160" i="16"/>
  <c r="AF160" i="16"/>
  <c r="Z161" i="16"/>
  <c r="AF161" i="16"/>
  <c r="Z162" i="16"/>
  <c r="AF162" i="16"/>
  <c r="Z163" i="16"/>
  <c r="AF163" i="16"/>
  <c r="Z164" i="16"/>
  <c r="AF164" i="16"/>
  <c r="Y165" i="16"/>
  <c r="AE165" i="16"/>
  <c r="Y166" i="16"/>
  <c r="AE166" i="16"/>
  <c r="Y167" i="16"/>
  <c r="AE167" i="16"/>
  <c r="Y168" i="16"/>
  <c r="AE168" i="16"/>
  <c r="Y169" i="16"/>
  <c r="AE169" i="16"/>
  <c r="Y170" i="16"/>
  <c r="AE170" i="16"/>
  <c r="Y171" i="16"/>
  <c r="AE171" i="16"/>
  <c r="Y172" i="16"/>
  <c r="AE172" i="16"/>
  <c r="Y173" i="16"/>
  <c r="AE173" i="16"/>
  <c r="Y174" i="16"/>
  <c r="AE174" i="16"/>
  <c r="Y175" i="16"/>
  <c r="AE175" i="16"/>
  <c r="Y176" i="16"/>
  <c r="AE176" i="16"/>
  <c r="Z177" i="16"/>
  <c r="AF177" i="16"/>
  <c r="Z178" i="16"/>
  <c r="AF178" i="16"/>
  <c r="Z179" i="16"/>
  <c r="AF179" i="16"/>
  <c r="Z180" i="16"/>
  <c r="AF180" i="16"/>
  <c r="Z181" i="16"/>
  <c r="AF181" i="16"/>
  <c r="Z182" i="16"/>
  <c r="AF182" i="16"/>
  <c r="Z183" i="16"/>
  <c r="AF183" i="16"/>
  <c r="Z184" i="16"/>
  <c r="AF184" i="16"/>
  <c r="Z185" i="16"/>
  <c r="AF185" i="16"/>
  <c r="Z186" i="16"/>
  <c r="AF186" i="16"/>
  <c r="Z187" i="16"/>
  <c r="AF187" i="16"/>
  <c r="Z188" i="16"/>
  <c r="AF188" i="16"/>
  <c r="Z189" i="16"/>
  <c r="AF189" i="16"/>
  <c r="Z190" i="16"/>
  <c r="AF190" i="16"/>
  <c r="Z191" i="16"/>
  <c r="AF191" i="16"/>
  <c r="Z192" i="16"/>
  <c r="AF192" i="16"/>
  <c r="Z193" i="16"/>
  <c r="AF193" i="16"/>
  <c r="Z194" i="16"/>
  <c r="AF194" i="16"/>
  <c r="Z195" i="16"/>
  <c r="AF195" i="16"/>
  <c r="Z196" i="16"/>
  <c r="AF196" i="16"/>
  <c r="Z197" i="16"/>
  <c r="AF197" i="16"/>
  <c r="Z198" i="16"/>
  <c r="AF198" i="16"/>
  <c r="Z199" i="16"/>
  <c r="AF199" i="16"/>
  <c r="Z200" i="16"/>
  <c r="AF200" i="16"/>
  <c r="Z201" i="16"/>
  <c r="AF201" i="16"/>
  <c r="Z202" i="16"/>
  <c r="AF202" i="16"/>
  <c r="Z203" i="16"/>
  <c r="AF203" i="16"/>
  <c r="Z204" i="16"/>
  <c r="AF204" i="16"/>
  <c r="Z205" i="16"/>
  <c r="AF205" i="16"/>
  <c r="Z206" i="16"/>
  <c r="AF206" i="16"/>
  <c r="Z207" i="16"/>
  <c r="AF207" i="16"/>
  <c r="Z208" i="16"/>
  <c r="AF208" i="16"/>
  <c r="Z209" i="16"/>
  <c r="AF209" i="16"/>
  <c r="Z210" i="16"/>
  <c r="AF210" i="16"/>
  <c r="Z211" i="16"/>
  <c r="AF211" i="16"/>
  <c r="Y212" i="16"/>
  <c r="AE212" i="16"/>
  <c r="Y213" i="16"/>
  <c r="AE213" i="16"/>
  <c r="Y214" i="16"/>
  <c r="AE214" i="16"/>
  <c r="Y215" i="16"/>
  <c r="AE215" i="16"/>
  <c r="Y216" i="16"/>
  <c r="AE216" i="16"/>
  <c r="Y217" i="16"/>
  <c r="AE217" i="16"/>
  <c r="Y218" i="16"/>
  <c r="AE218" i="16"/>
  <c r="Y219" i="16"/>
  <c r="AE219" i="16"/>
  <c r="Y220" i="16"/>
  <c r="AE220" i="16"/>
  <c r="Y221" i="16"/>
  <c r="AE221" i="16"/>
  <c r="Y222" i="16"/>
  <c r="AE222" i="16"/>
  <c r="Y223" i="16"/>
  <c r="AE223" i="16"/>
  <c r="Z224" i="16"/>
  <c r="AF224" i="16"/>
  <c r="Z225" i="16"/>
  <c r="AF225" i="16"/>
  <c r="Z226" i="16"/>
  <c r="AF226" i="16"/>
  <c r="Z227" i="16"/>
  <c r="AF227" i="16"/>
  <c r="Z228" i="16"/>
  <c r="AF228" i="16"/>
  <c r="Z229" i="16"/>
  <c r="AF229" i="16"/>
  <c r="Z230" i="16"/>
  <c r="AF230" i="16"/>
  <c r="Z231" i="16"/>
  <c r="AF231" i="16"/>
  <c r="Z232" i="16"/>
  <c r="AF232" i="16"/>
  <c r="Z233" i="16"/>
  <c r="AF233" i="16"/>
  <c r="Z234" i="16"/>
  <c r="AF234" i="16"/>
  <c r="Z235" i="16"/>
  <c r="AF235" i="16"/>
  <c r="Z236" i="16"/>
  <c r="AF236" i="16"/>
  <c r="Z237" i="16"/>
  <c r="AF237" i="16"/>
  <c r="Z238" i="16"/>
  <c r="AF238" i="16"/>
  <c r="Z239" i="16"/>
  <c r="AF239" i="16"/>
  <c r="Z240" i="16"/>
  <c r="AF240" i="16"/>
  <c r="Z241" i="16"/>
  <c r="AF241" i="16"/>
  <c r="Z242" i="16"/>
  <c r="AF242" i="16"/>
  <c r="Z243" i="16"/>
  <c r="AF243" i="16"/>
  <c r="Z244" i="16"/>
  <c r="AF244" i="16"/>
  <c r="Z245" i="16"/>
  <c r="AF245" i="16"/>
  <c r="Z246" i="16"/>
  <c r="AF246" i="16"/>
  <c r="Z247" i="16"/>
  <c r="AF247" i="16"/>
  <c r="Y248" i="16"/>
  <c r="AE248" i="16"/>
  <c r="Y249" i="16"/>
  <c r="AE249" i="16"/>
  <c r="Y250" i="16"/>
  <c r="AE250" i="16"/>
  <c r="Y251" i="16"/>
  <c r="AE251" i="16"/>
  <c r="Y252" i="16"/>
  <c r="AE252" i="16"/>
  <c r="Y253" i="16"/>
  <c r="AE253" i="16"/>
  <c r="Y254" i="16"/>
  <c r="AE254" i="16"/>
  <c r="Y255" i="16"/>
  <c r="AE255" i="16"/>
  <c r="Y256" i="16"/>
  <c r="AE256" i="16"/>
  <c r="Y257" i="16"/>
  <c r="AE257" i="16"/>
  <c r="Y258" i="16"/>
  <c r="AE258" i="16"/>
  <c r="Y259" i="16"/>
  <c r="AE259" i="16"/>
  <c r="Z260" i="16"/>
  <c r="AF260" i="16"/>
  <c r="Z261" i="16"/>
  <c r="AF261" i="16"/>
  <c r="Z262" i="16"/>
  <c r="AF262" i="16"/>
  <c r="Z263" i="16"/>
  <c r="AF263" i="16"/>
  <c r="Z264" i="16"/>
  <c r="AF264" i="16"/>
  <c r="Z265" i="16"/>
  <c r="AF265" i="16"/>
  <c r="Z266" i="16"/>
  <c r="AF266" i="16"/>
  <c r="Z267" i="16"/>
  <c r="AF267" i="16"/>
  <c r="Z268" i="16"/>
  <c r="AF268" i="16"/>
  <c r="Z269" i="16"/>
  <c r="AF269" i="16"/>
  <c r="Z270" i="16"/>
  <c r="AF270" i="16"/>
  <c r="Z271" i="16"/>
  <c r="AF271" i="16"/>
  <c r="Z272" i="16"/>
  <c r="AF272" i="16"/>
  <c r="Z273" i="16"/>
  <c r="AF273" i="16"/>
  <c r="Z274" i="16"/>
  <c r="AF274" i="16"/>
  <c r="Z275" i="16"/>
  <c r="AF275" i="16"/>
  <c r="Z276" i="16"/>
  <c r="AF276" i="16"/>
  <c r="Z277" i="16"/>
  <c r="AF277" i="16"/>
  <c r="Z278" i="16"/>
  <c r="AF278" i="16"/>
  <c r="Z279" i="16"/>
  <c r="AF279" i="16"/>
  <c r="Z280" i="16"/>
  <c r="AF280" i="16"/>
  <c r="Z281" i="16"/>
  <c r="AF281" i="16"/>
  <c r="Z282" i="16"/>
  <c r="AF282" i="16"/>
  <c r="Z283" i="16"/>
  <c r="AF283" i="16"/>
  <c r="Z284" i="16"/>
  <c r="AF284" i="16"/>
  <c r="Z285" i="16"/>
  <c r="AF285" i="16"/>
  <c r="Z286" i="16"/>
  <c r="AF286" i="16"/>
  <c r="Z287" i="16"/>
  <c r="AF287" i="16"/>
  <c r="Z288" i="16"/>
  <c r="AF288" i="16"/>
  <c r="Z289" i="16"/>
  <c r="AF289" i="16"/>
  <c r="Z290" i="16"/>
  <c r="AF290" i="16"/>
  <c r="Z291" i="16"/>
  <c r="AF291" i="16"/>
  <c r="Z292" i="16"/>
  <c r="AF292" i="16"/>
  <c r="Z293" i="16"/>
  <c r="AF293" i="16"/>
  <c r="Z294" i="16"/>
  <c r="AF294" i="16"/>
  <c r="Z295" i="16"/>
  <c r="AF295" i="16"/>
  <c r="Z296" i="16"/>
  <c r="AF296" i="16"/>
  <c r="Z297" i="16"/>
  <c r="AF297" i="16"/>
  <c r="Z298" i="16"/>
  <c r="AF298" i="16"/>
  <c r="Z299" i="16"/>
  <c r="AF299" i="16"/>
  <c r="Z300" i="16"/>
  <c r="AF300" i="16"/>
  <c r="Z301" i="16"/>
  <c r="AF301" i="16"/>
  <c r="Z302" i="16"/>
  <c r="AF302" i="16"/>
  <c r="Z303" i="16"/>
  <c r="AF303" i="16"/>
  <c r="Z304" i="16"/>
  <c r="AF304" i="16"/>
  <c r="Z305" i="16"/>
  <c r="AF305" i="16"/>
  <c r="Z306" i="16"/>
  <c r="AF306" i="16"/>
  <c r="Z307" i="16"/>
  <c r="AF307" i="16"/>
  <c r="Z308" i="16"/>
  <c r="AF308" i="16"/>
  <c r="Z309" i="16"/>
  <c r="AF309" i="16"/>
  <c r="Z310" i="16"/>
  <c r="AF310" i="16"/>
  <c r="Z311" i="16"/>
  <c r="AF311" i="16"/>
  <c r="Z312" i="16"/>
  <c r="AF312" i="16"/>
  <c r="Z313" i="16"/>
  <c r="AF313" i="16"/>
  <c r="Z314" i="16"/>
  <c r="AF314" i="16"/>
  <c r="Z315" i="16"/>
  <c r="AF315" i="16"/>
  <c r="Z316" i="16"/>
  <c r="AF316" i="16"/>
  <c r="Z317" i="16"/>
  <c r="AF317" i="16"/>
  <c r="Z318" i="16"/>
  <c r="AF318" i="16"/>
  <c r="Z319" i="16"/>
  <c r="AF319" i="16"/>
  <c r="Z320" i="16"/>
  <c r="AF320" i="16"/>
  <c r="Z321" i="16"/>
  <c r="AF321" i="16"/>
  <c r="Z322" i="16"/>
  <c r="AF322" i="16"/>
  <c r="Z323" i="16"/>
  <c r="AF323" i="16"/>
  <c r="Z324" i="16"/>
  <c r="AF324" i="16"/>
  <c r="Z325" i="16"/>
  <c r="AF325" i="16"/>
  <c r="Z326" i="16"/>
  <c r="AF326" i="16"/>
  <c r="Z327" i="16"/>
  <c r="AF327" i="16"/>
  <c r="Z328" i="16"/>
  <c r="AF328" i="16"/>
  <c r="Z329" i="16"/>
  <c r="AF329" i="16"/>
  <c r="Z330" i="16"/>
  <c r="AF330" i="16"/>
  <c r="Z331" i="16"/>
  <c r="AF331" i="16"/>
  <c r="Z332" i="16"/>
  <c r="AF332" i="16"/>
  <c r="Z333" i="16"/>
  <c r="AF333" i="16"/>
  <c r="Z334" i="16"/>
  <c r="AF334" i="16"/>
  <c r="Z335" i="16"/>
  <c r="AF335" i="16"/>
  <c r="Z336" i="16"/>
  <c r="AF336" i="16"/>
  <c r="Z337" i="16"/>
  <c r="AF337" i="16"/>
  <c r="Z338" i="16"/>
  <c r="AF338" i="16"/>
  <c r="Z339" i="16"/>
  <c r="AF339" i="16"/>
  <c r="Z340" i="16"/>
  <c r="AF340" i="16"/>
  <c r="Z341" i="16"/>
  <c r="AF341" i="16"/>
  <c r="Z342" i="16"/>
  <c r="AF342" i="16"/>
  <c r="Z343" i="16"/>
  <c r="AF343" i="16"/>
  <c r="Z344" i="16"/>
  <c r="AF344" i="16"/>
  <c r="Z345" i="16"/>
  <c r="AF345" i="16"/>
  <c r="Z346" i="16"/>
  <c r="AF346" i="16"/>
  <c r="Z347" i="16"/>
  <c r="AF347" i="16"/>
  <c r="Z348" i="16"/>
  <c r="AF348" i="16"/>
  <c r="Z349" i="16"/>
  <c r="AF349" i="16"/>
  <c r="Z350" i="16"/>
  <c r="AF350" i="16"/>
  <c r="Z351" i="16"/>
  <c r="AF351" i="16"/>
  <c r="Z352" i="16"/>
  <c r="AF352" i="16"/>
  <c r="Z353" i="16"/>
  <c r="AF353" i="16"/>
  <c r="Z354" i="16"/>
  <c r="AF354" i="16"/>
  <c r="Z355" i="16"/>
  <c r="AF355" i="16"/>
  <c r="Z356" i="16"/>
  <c r="AF356" i="16"/>
  <c r="Z357" i="16"/>
  <c r="AF357" i="16"/>
  <c r="Z358" i="16"/>
  <c r="AF358" i="16"/>
  <c r="Z359" i="16"/>
  <c r="AF359" i="16"/>
  <c r="Z360" i="16"/>
  <c r="AF360" i="16"/>
  <c r="Z361" i="16"/>
  <c r="AF361" i="16"/>
  <c r="Z362" i="16"/>
  <c r="AF362" i="16"/>
  <c r="Z363" i="16"/>
  <c r="AF363" i="16"/>
  <c r="Z364" i="16"/>
  <c r="AF364" i="16"/>
  <c r="Z365" i="16"/>
  <c r="AF365" i="16"/>
  <c r="Z366" i="16"/>
  <c r="AF366" i="16"/>
  <c r="Z367" i="16"/>
  <c r="AF367" i="16"/>
  <c r="Z368" i="16"/>
  <c r="AF368" i="16"/>
  <c r="Z369" i="16"/>
  <c r="AF369" i="16"/>
  <c r="Z370" i="16"/>
  <c r="AF370" i="16"/>
  <c r="Z371" i="16"/>
  <c r="AF371" i="16"/>
  <c r="Z372" i="16"/>
  <c r="AF372" i="16"/>
  <c r="Z373" i="16"/>
  <c r="AF373" i="16"/>
  <c r="Z374" i="16"/>
  <c r="AF374" i="16"/>
  <c r="Z375" i="16"/>
  <c r="AF375" i="16"/>
  <c r="Z376" i="16"/>
  <c r="AF376" i="16"/>
  <c r="Z377" i="16"/>
  <c r="AF377" i="16"/>
  <c r="Z378" i="16"/>
  <c r="AF378" i="16"/>
  <c r="Z379" i="16"/>
  <c r="AF379" i="16"/>
  <c r="Z380" i="16"/>
  <c r="AF380" i="16"/>
  <c r="Z381" i="16"/>
  <c r="AF381" i="16"/>
  <c r="Z382" i="16"/>
  <c r="AF382" i="16"/>
  <c r="Z383" i="16"/>
  <c r="AF383" i="16"/>
  <c r="Z384" i="16"/>
  <c r="AF384" i="16"/>
  <c r="Z385" i="16"/>
  <c r="AF385" i="16"/>
  <c r="Z386" i="16"/>
  <c r="AF386" i="16"/>
  <c r="Z387" i="16"/>
  <c r="AF387" i="16"/>
  <c r="Z388" i="16"/>
  <c r="AF388" i="16"/>
  <c r="Z389" i="16"/>
  <c r="AF389" i="16"/>
  <c r="Z390" i="16"/>
  <c r="AF390" i="16"/>
  <c r="Z391" i="16"/>
  <c r="AF391" i="16"/>
  <c r="Z392" i="16"/>
  <c r="AF392" i="16"/>
  <c r="Z393" i="16"/>
  <c r="AF393" i="16"/>
  <c r="Z394" i="16"/>
  <c r="AF394" i="16"/>
  <c r="Z395" i="16"/>
  <c r="AF395" i="16"/>
  <c r="Z396" i="16"/>
  <c r="AF396" i="16"/>
  <c r="Z397" i="16"/>
  <c r="AF397" i="16"/>
  <c r="Z398" i="16"/>
  <c r="AF398" i="16"/>
  <c r="Z399" i="16"/>
  <c r="AF399" i="16"/>
  <c r="Z400" i="16"/>
  <c r="AF400" i="16"/>
  <c r="Z401" i="16"/>
  <c r="AF401" i="16"/>
  <c r="Z402" i="16"/>
  <c r="AF402" i="16"/>
  <c r="Z403" i="16"/>
  <c r="AF403" i="16"/>
  <c r="Z404" i="16"/>
  <c r="AF404" i="16"/>
  <c r="Z405" i="16"/>
  <c r="AF405" i="16"/>
  <c r="Z406" i="16"/>
  <c r="AF406" i="16"/>
  <c r="Z407" i="16"/>
  <c r="AF407" i="16"/>
  <c r="Z408" i="16"/>
  <c r="AF408" i="16"/>
  <c r="Z409" i="16"/>
  <c r="AF409" i="16"/>
  <c r="Z410" i="16"/>
  <c r="AF410" i="16"/>
  <c r="Z411" i="16"/>
  <c r="AF411" i="16"/>
  <c r="Z412" i="16"/>
  <c r="AF412" i="16"/>
  <c r="Z413" i="16"/>
  <c r="AF413" i="16"/>
  <c r="Z414" i="16"/>
  <c r="AF414" i="16"/>
  <c r="Z415" i="16"/>
  <c r="AF415" i="16"/>
  <c r="Z416" i="16"/>
  <c r="AF416" i="16"/>
  <c r="Z417" i="16"/>
  <c r="AF417" i="16"/>
  <c r="Z418" i="16"/>
  <c r="AF418" i="16"/>
  <c r="Z419" i="16"/>
  <c r="AF419" i="16"/>
  <c r="Z420" i="16"/>
  <c r="AF420" i="16"/>
  <c r="Z421" i="16"/>
  <c r="AF421" i="16"/>
  <c r="Z422" i="16"/>
  <c r="AF422" i="16"/>
  <c r="Z423" i="16"/>
  <c r="AF423" i="16"/>
  <c r="Z424" i="16"/>
  <c r="AF424" i="16"/>
  <c r="Z425" i="16"/>
  <c r="AF425" i="16"/>
  <c r="Z426" i="16"/>
  <c r="AF426" i="16"/>
  <c r="Z427" i="16"/>
  <c r="AF427" i="16"/>
  <c r="Z428" i="16"/>
  <c r="AF428" i="16"/>
  <c r="Z429" i="16"/>
  <c r="AF429" i="16"/>
  <c r="Z430" i="16"/>
  <c r="AF430" i="16"/>
  <c r="Z431" i="16"/>
  <c r="AF431" i="16"/>
  <c r="Z432" i="16"/>
  <c r="AF432" i="16"/>
  <c r="Z433" i="16"/>
  <c r="AF433" i="16"/>
  <c r="Z434" i="16"/>
  <c r="AF434" i="16"/>
  <c r="Z435" i="16"/>
  <c r="AF435" i="16"/>
  <c r="Z436" i="16"/>
  <c r="AF436" i="16"/>
  <c r="Z437" i="16"/>
  <c r="AF437" i="16"/>
  <c r="Z438" i="16"/>
  <c r="AF438" i="16"/>
  <c r="Z439" i="16"/>
  <c r="AF439" i="16"/>
  <c r="Z440" i="16"/>
  <c r="AF440" i="16"/>
  <c r="Z441" i="16"/>
  <c r="AF441" i="16"/>
  <c r="Z442" i="16"/>
  <c r="AF442" i="16"/>
  <c r="Z443" i="16"/>
  <c r="AF443" i="16"/>
  <c r="Z444" i="16"/>
  <c r="AF444" i="16"/>
  <c r="Z445" i="16"/>
  <c r="AF445" i="16"/>
  <c r="Z446" i="16"/>
  <c r="AF446" i="16"/>
  <c r="Z447" i="16"/>
  <c r="AF447" i="16"/>
  <c r="Z448" i="16"/>
  <c r="AF448" i="16"/>
  <c r="Z449" i="16"/>
  <c r="AF449" i="16"/>
  <c r="Z450" i="16"/>
  <c r="AF450" i="16"/>
  <c r="Z451" i="16"/>
  <c r="AF451" i="16"/>
  <c r="Z452" i="16"/>
  <c r="AF452" i="16"/>
  <c r="Z453" i="16"/>
  <c r="AF453" i="16"/>
  <c r="Z454" i="16"/>
  <c r="AF454" i="16"/>
  <c r="Z455" i="16"/>
  <c r="AF455" i="16"/>
  <c r="Z456" i="16"/>
  <c r="AF456" i="16"/>
  <c r="Z457" i="16"/>
  <c r="AF457" i="16"/>
  <c r="Z458" i="16"/>
  <c r="AF458" i="16"/>
  <c r="Z459" i="16"/>
  <c r="AF459" i="16"/>
  <c r="Z460" i="16"/>
  <c r="AF460" i="16"/>
  <c r="Z461" i="16"/>
  <c r="AF461" i="16"/>
  <c r="Z462" i="16"/>
  <c r="AF462" i="16"/>
  <c r="Z463" i="16"/>
  <c r="AF463" i="16"/>
  <c r="Z464" i="16"/>
  <c r="AF464" i="16"/>
  <c r="Z465" i="16"/>
  <c r="AF465" i="16"/>
  <c r="Z466" i="16"/>
  <c r="AF466" i="16"/>
  <c r="Z467" i="16"/>
  <c r="AF467" i="16"/>
  <c r="Z468" i="16"/>
  <c r="AF468" i="16"/>
  <c r="Z469" i="16"/>
  <c r="AF469" i="16"/>
  <c r="Z470" i="16"/>
  <c r="AF470" i="16"/>
  <c r="Z471" i="16"/>
  <c r="AF471" i="16"/>
  <c r="Z472" i="16"/>
  <c r="AF472" i="16"/>
  <c r="Z473" i="16"/>
  <c r="AF473" i="16"/>
  <c r="Z474" i="16"/>
  <c r="AF474" i="16"/>
  <c r="Z475" i="16"/>
  <c r="AF475" i="16"/>
  <c r="Z476" i="16"/>
  <c r="AF476" i="16"/>
  <c r="Z477" i="16"/>
  <c r="AF477" i="16"/>
  <c r="Z478" i="16"/>
  <c r="AF478" i="16"/>
  <c r="Z479" i="16"/>
  <c r="AF479" i="16"/>
  <c r="Z480" i="16"/>
  <c r="AF480" i="16"/>
  <c r="Z481" i="16"/>
  <c r="AF481" i="16"/>
  <c r="Z482" i="16"/>
  <c r="AF482" i="16"/>
  <c r="Z483" i="16"/>
  <c r="AF483" i="16"/>
  <c r="Z484" i="16"/>
  <c r="AF484" i="16"/>
  <c r="Z485" i="16"/>
  <c r="AF485" i="16"/>
  <c r="Z486" i="16"/>
  <c r="AF486" i="16"/>
  <c r="Z487" i="16"/>
  <c r="AF487" i="16"/>
  <c r="Z488" i="16"/>
  <c r="AF488" i="16"/>
  <c r="Z489" i="16"/>
  <c r="AF489" i="16"/>
  <c r="Z490" i="16"/>
  <c r="AF490" i="16"/>
  <c r="Z491" i="16"/>
  <c r="AF491" i="16"/>
  <c r="Z492" i="16"/>
  <c r="AF492" i="16"/>
  <c r="Z493" i="16"/>
  <c r="AF493" i="16"/>
  <c r="Z494" i="16"/>
  <c r="AF494" i="16"/>
  <c r="Z495" i="16"/>
  <c r="AF495" i="16"/>
  <c r="Z496" i="16"/>
  <c r="AF496" i="16"/>
  <c r="Z497" i="16"/>
  <c r="AF497" i="16"/>
  <c r="Z498" i="16"/>
  <c r="AF498" i="16"/>
  <c r="Z499" i="16"/>
  <c r="AF499" i="16"/>
  <c r="Z500" i="16"/>
  <c r="AF500" i="16"/>
  <c r="Z501" i="16"/>
  <c r="AF501" i="16"/>
  <c r="Z502" i="16"/>
  <c r="AF502" i="16"/>
  <c r="Z503" i="16"/>
  <c r="AF503" i="16"/>
  <c r="Z504" i="16"/>
  <c r="AF504" i="16"/>
  <c r="Z505" i="16"/>
  <c r="AF505" i="16"/>
  <c r="Z506" i="16"/>
  <c r="AF506" i="16"/>
  <c r="Z507" i="16"/>
  <c r="AF507" i="16"/>
  <c r="Z508" i="16"/>
  <c r="AF508" i="16"/>
  <c r="Z509" i="16"/>
  <c r="AF509" i="16"/>
  <c r="Z510" i="16"/>
  <c r="AF510" i="16"/>
  <c r="Z511" i="16"/>
  <c r="AF511" i="16"/>
  <c r="Z512" i="16"/>
  <c r="AF512" i="16"/>
  <c r="Z513" i="16"/>
  <c r="AF513" i="16"/>
  <c r="Z514" i="16"/>
  <c r="AF514" i="16"/>
  <c r="Z515" i="16"/>
  <c r="AF515" i="16"/>
  <c r="Z516" i="16"/>
  <c r="AF516" i="16"/>
  <c r="Z517" i="16"/>
  <c r="AF517" i="16"/>
  <c r="Z518" i="16"/>
  <c r="AF518" i="16"/>
  <c r="Z519" i="16"/>
  <c r="AF519" i="16"/>
  <c r="Z520" i="16"/>
  <c r="AF520" i="16"/>
  <c r="Z521" i="16"/>
  <c r="AF521" i="16"/>
  <c r="Z522" i="16"/>
  <c r="AF522" i="16"/>
  <c r="Z523" i="16"/>
  <c r="AF523" i="16"/>
  <c r="Z524" i="16"/>
  <c r="AF524" i="16"/>
  <c r="Z525" i="16"/>
  <c r="AF525" i="16"/>
  <c r="Z526" i="16"/>
  <c r="AF526" i="16"/>
  <c r="Z527" i="16"/>
  <c r="AF527" i="16"/>
  <c r="Z528" i="16"/>
  <c r="AF528" i="16"/>
  <c r="Z529" i="16"/>
  <c r="AF529" i="16"/>
  <c r="Z530" i="16"/>
  <c r="AF530" i="16"/>
  <c r="Z531" i="16"/>
  <c r="AF531" i="16"/>
  <c r="Z532" i="16"/>
  <c r="AF532" i="16"/>
  <c r="Z533" i="16"/>
  <c r="AF533" i="16"/>
  <c r="Z534" i="16"/>
  <c r="AF534" i="16"/>
  <c r="Z535" i="16"/>
  <c r="AF535" i="16"/>
  <c r="Z536" i="16"/>
  <c r="AF536" i="16"/>
  <c r="Z537" i="16"/>
  <c r="AF537" i="16"/>
  <c r="Z538" i="16"/>
  <c r="AF538" i="16"/>
  <c r="Z539" i="16"/>
  <c r="AF539" i="16"/>
  <c r="Z540" i="16"/>
  <c r="AF540" i="16"/>
  <c r="Z541" i="16"/>
  <c r="AF541" i="16"/>
  <c r="Z542" i="16"/>
  <c r="AF542" i="16"/>
  <c r="Z543" i="16"/>
  <c r="AF543" i="16"/>
  <c r="Z544" i="16"/>
  <c r="AF544" i="16"/>
  <c r="Z545" i="16"/>
  <c r="AF545" i="16"/>
  <c r="D7" i="29"/>
  <c r="R7" i="29"/>
  <c r="S7" i="29"/>
  <c r="V7" i="29"/>
  <c r="W7" i="29"/>
  <c r="X7" i="29"/>
  <c r="D9" i="29"/>
  <c r="R9" i="29"/>
  <c r="S9" i="29"/>
  <c r="V9" i="29"/>
  <c r="W9" i="29"/>
  <c r="X9" i="29"/>
  <c r="D11" i="29"/>
  <c r="R11" i="29"/>
  <c r="S11" i="29"/>
  <c r="V11" i="29"/>
  <c r="W11" i="29"/>
  <c r="X11" i="29"/>
  <c r="D13" i="29"/>
  <c r="R13" i="29"/>
  <c r="S13" i="29"/>
  <c r="V13" i="29"/>
  <c r="W13" i="29"/>
  <c r="X13" i="29"/>
  <c r="D14" i="29"/>
  <c r="R14" i="29"/>
  <c r="S14" i="29"/>
  <c r="V14" i="29"/>
  <c r="W14" i="29"/>
  <c r="X14" i="29"/>
  <c r="D15" i="29"/>
  <c r="R15" i="29"/>
  <c r="S15" i="29"/>
  <c r="V15" i="29"/>
  <c r="W15" i="29"/>
  <c r="X15" i="29"/>
  <c r="Y2" i="17"/>
  <c r="AD2" i="17"/>
  <c r="Y3" i="17"/>
  <c r="AD3" i="17"/>
  <c r="AJ3" i="17"/>
  <c r="Y4" i="17"/>
  <c r="AD4" i="17"/>
  <c r="Y5" i="17"/>
  <c r="AD5" i="17"/>
  <c r="AJ5" i="17"/>
  <c r="Y6" i="17"/>
  <c r="AD6" i="17"/>
  <c r="AJ6" i="17"/>
  <c r="Y7" i="17"/>
  <c r="AD7" i="17"/>
  <c r="AJ7" i="17"/>
  <c r="Y8" i="17"/>
  <c r="AD8" i="17"/>
  <c r="AJ8" i="17"/>
  <c r="Y9" i="17"/>
  <c r="AD9" i="17"/>
  <c r="Y10" i="17"/>
  <c r="AD10" i="17"/>
  <c r="Y11" i="17"/>
  <c r="AD11" i="17"/>
  <c r="Y12" i="17"/>
  <c r="AD12" i="17"/>
  <c r="Y13" i="17"/>
  <c r="AD13" i="17"/>
  <c r="Y14" i="17"/>
  <c r="AD14" i="17"/>
  <c r="Y15" i="17"/>
  <c r="AD15" i="17"/>
  <c r="Y16" i="17"/>
  <c r="AD16" i="17"/>
  <c r="Y17" i="17"/>
  <c r="AD17" i="17"/>
  <c r="Y18" i="17"/>
  <c r="AD18" i="17"/>
  <c r="Y19" i="17"/>
  <c r="AD19" i="17"/>
  <c r="Y20" i="17"/>
  <c r="AD20" i="17"/>
  <c r="Y21" i="17"/>
  <c r="AD21" i="17"/>
  <c r="Y22" i="17"/>
  <c r="AD22" i="17"/>
  <c r="Y23" i="17"/>
  <c r="AD23" i="17"/>
  <c r="Y24" i="17"/>
  <c r="AD24" i="17"/>
  <c r="Y25" i="17"/>
  <c r="AD25" i="17"/>
  <c r="Z26" i="17"/>
  <c r="AE26" i="17"/>
  <c r="Z27" i="17"/>
  <c r="AE27" i="17"/>
  <c r="Z28" i="17"/>
  <c r="AE28" i="17"/>
  <c r="Z29" i="17"/>
  <c r="AE29" i="17"/>
  <c r="Z30" i="17"/>
  <c r="AE30" i="17"/>
  <c r="Z31" i="17"/>
  <c r="AE31" i="17"/>
  <c r="Z32" i="17"/>
  <c r="AE32" i="17"/>
  <c r="Z33" i="17"/>
  <c r="AE33" i="17"/>
  <c r="Z34" i="17"/>
  <c r="AE34" i="17"/>
  <c r="Z35" i="17"/>
  <c r="AE35" i="17"/>
  <c r="Z36" i="17"/>
  <c r="AE36" i="17"/>
  <c r="Z37" i="17"/>
  <c r="AE37" i="17"/>
  <c r="Z38" i="17"/>
  <c r="AE38" i="17"/>
  <c r="Z39" i="17"/>
  <c r="AE39" i="17"/>
  <c r="Z40" i="17"/>
  <c r="AE40" i="17"/>
  <c r="Z41" i="17"/>
  <c r="AE41" i="17"/>
  <c r="Z42" i="17"/>
  <c r="AE42" i="17"/>
  <c r="Z43" i="17"/>
  <c r="AE43" i="17"/>
  <c r="Z44" i="17"/>
  <c r="AE44" i="17"/>
  <c r="Z45" i="17"/>
  <c r="AE45" i="17"/>
  <c r="Z46" i="17"/>
  <c r="AE46" i="17"/>
  <c r="Z47" i="17"/>
  <c r="AE47" i="17"/>
  <c r="Z48" i="17"/>
  <c r="AE48" i="17"/>
  <c r="Z49" i="17"/>
  <c r="AE49" i="17"/>
  <c r="Y50" i="17"/>
  <c r="AD50" i="17"/>
  <c r="Y51" i="17"/>
  <c r="AD51" i="17"/>
  <c r="Y52" i="17"/>
  <c r="AD52" i="17"/>
  <c r="Y53" i="17"/>
  <c r="AD53" i="17"/>
  <c r="Y54" i="17"/>
  <c r="AD54" i="17"/>
  <c r="Y55" i="17"/>
  <c r="AD55" i="17"/>
  <c r="Y56" i="17"/>
  <c r="AD56" i="17"/>
  <c r="Y57" i="17"/>
  <c r="AD57" i="17"/>
  <c r="Y58" i="17"/>
  <c r="AD58" i="17"/>
  <c r="Y59" i="17"/>
  <c r="AD59" i="17"/>
  <c r="Y60" i="17"/>
  <c r="AD60" i="17"/>
  <c r="Y61" i="17"/>
  <c r="AD61" i="17"/>
  <c r="Z62" i="17"/>
  <c r="AE62" i="17"/>
  <c r="Z63" i="17"/>
  <c r="AE63" i="17"/>
  <c r="Z64" i="17"/>
  <c r="AE64" i="17"/>
  <c r="Z65" i="17"/>
  <c r="AE65" i="17"/>
  <c r="Z66" i="17"/>
  <c r="AE66" i="17"/>
  <c r="Z67" i="17"/>
  <c r="AE67" i="17"/>
  <c r="Z68" i="17"/>
  <c r="AE68" i="17"/>
  <c r="Z69" i="17"/>
  <c r="AE69" i="17"/>
  <c r="Z70" i="17"/>
  <c r="AE70" i="17"/>
  <c r="Z71" i="17"/>
  <c r="AE71" i="17"/>
  <c r="Z72" i="17"/>
  <c r="AE72" i="17"/>
  <c r="Z73" i="17"/>
  <c r="AE73" i="17"/>
  <c r="Z74" i="17"/>
  <c r="AE74" i="17"/>
  <c r="Z75" i="17"/>
  <c r="AE75" i="17"/>
  <c r="Z76" i="17"/>
  <c r="AE76" i="17"/>
  <c r="Z77" i="17"/>
  <c r="AE77" i="17"/>
  <c r="Z78" i="17"/>
  <c r="AE78" i="17"/>
  <c r="Z79" i="17"/>
  <c r="AE79" i="17"/>
  <c r="Z80" i="17"/>
  <c r="AE80" i="17"/>
  <c r="Z81" i="17"/>
  <c r="AE81" i="17"/>
  <c r="Z82" i="17"/>
  <c r="AE82" i="17"/>
  <c r="Z83" i="17"/>
  <c r="AE83" i="17"/>
  <c r="Z84" i="17"/>
  <c r="AE84" i="17"/>
  <c r="Z85" i="17"/>
  <c r="AE85" i="17"/>
  <c r="Y86" i="17"/>
  <c r="AD86" i="17"/>
  <c r="Y87" i="17"/>
  <c r="AD87" i="17"/>
  <c r="Y88" i="17"/>
  <c r="AD88" i="17"/>
  <c r="Y89" i="17"/>
  <c r="AD89" i="17"/>
  <c r="Y90" i="17"/>
  <c r="AD90" i="17"/>
  <c r="Y91" i="17"/>
  <c r="AD91" i="17"/>
  <c r="Y92" i="17"/>
  <c r="AD92" i="17"/>
  <c r="Y93" i="17"/>
  <c r="AD93" i="17"/>
  <c r="Y94" i="17"/>
  <c r="AD94" i="17"/>
  <c r="Y95" i="17"/>
  <c r="AD95" i="17"/>
  <c r="Y96" i="17"/>
  <c r="AD96" i="17"/>
  <c r="Y97" i="17"/>
  <c r="AD97" i="17"/>
  <c r="Z98" i="17"/>
  <c r="AE98" i="17"/>
  <c r="Z99" i="17"/>
  <c r="AE99" i="17"/>
  <c r="Z100" i="17"/>
  <c r="AE100" i="17"/>
  <c r="Z101" i="17"/>
  <c r="AE101" i="17"/>
  <c r="Z102" i="17"/>
  <c r="AE102" i="17"/>
  <c r="Z103" i="17"/>
  <c r="AE103" i="17"/>
  <c r="Z104" i="17"/>
  <c r="AE104" i="17"/>
  <c r="Z105" i="17"/>
  <c r="AE105" i="17"/>
  <c r="Z106" i="17"/>
  <c r="AE106" i="17"/>
  <c r="Z107" i="17"/>
  <c r="AE107" i="17"/>
  <c r="Z108" i="17"/>
  <c r="AE108" i="17"/>
  <c r="Z109" i="17"/>
  <c r="AE109" i="17"/>
  <c r="Z110" i="17"/>
  <c r="AE110" i="17"/>
  <c r="Z111" i="17"/>
  <c r="AE111" i="17"/>
  <c r="Z112" i="17"/>
  <c r="AE112" i="17"/>
  <c r="Z113" i="17"/>
  <c r="AE113" i="17"/>
  <c r="Z114" i="17"/>
  <c r="AE114" i="17"/>
  <c r="Z115" i="17"/>
  <c r="AE115" i="17"/>
  <c r="Z116" i="17"/>
  <c r="AE116" i="17"/>
  <c r="Z117" i="17"/>
  <c r="AE117" i="17"/>
  <c r="Z118" i="17"/>
  <c r="AE118" i="17"/>
  <c r="Z119" i="17"/>
  <c r="AE119" i="17"/>
  <c r="Z120" i="17"/>
  <c r="AE120" i="17"/>
  <c r="Z121" i="17"/>
  <c r="AE121" i="17"/>
  <c r="Z122" i="17"/>
  <c r="AE122" i="17"/>
  <c r="Z123" i="17"/>
  <c r="AE123" i="17"/>
  <c r="Z124" i="17"/>
  <c r="AE124" i="17"/>
  <c r="Z125" i="17"/>
  <c r="AE125" i="17"/>
  <c r="Z126" i="17"/>
  <c r="AE126" i="17"/>
  <c r="Z127" i="17"/>
  <c r="AE127" i="17"/>
  <c r="Z128" i="17"/>
  <c r="AE128" i="17"/>
  <c r="Z129" i="17"/>
  <c r="AE129" i="17"/>
  <c r="Z130" i="17"/>
  <c r="AE130" i="17"/>
  <c r="Z131" i="17"/>
  <c r="AE131" i="17"/>
  <c r="Z132" i="17"/>
  <c r="AE132" i="17"/>
  <c r="Z133" i="17"/>
  <c r="AE133" i="17"/>
  <c r="Z134" i="17"/>
  <c r="AE134" i="17"/>
  <c r="Z135" i="17"/>
  <c r="AE135" i="17"/>
  <c r="Z136" i="17"/>
  <c r="AE136" i="17"/>
  <c r="Z137" i="17"/>
  <c r="AE137" i="17"/>
  <c r="Z138" i="17"/>
  <c r="AE138" i="17"/>
  <c r="Z139" i="17"/>
  <c r="AE139" i="17"/>
  <c r="Z140" i="17"/>
  <c r="AE140" i="17"/>
  <c r="Z141" i="17"/>
  <c r="AE141" i="17"/>
  <c r="Z142" i="17"/>
  <c r="AE142" i="17"/>
  <c r="Z143" i="17"/>
  <c r="AE143" i="17"/>
  <c r="Z144" i="17"/>
  <c r="AE144" i="17"/>
  <c r="Z145" i="17"/>
  <c r="AE145" i="17"/>
  <c r="Z146" i="17"/>
  <c r="AE146" i="17"/>
  <c r="Z147" i="17"/>
  <c r="AE147" i="17"/>
  <c r="Z148" i="17"/>
  <c r="AE148" i="17"/>
  <c r="Z149" i="17"/>
  <c r="AE149" i="17"/>
  <c r="Z150" i="17"/>
  <c r="AE150" i="17"/>
  <c r="Z151" i="17"/>
  <c r="AE151" i="17"/>
  <c r="Z152" i="17"/>
  <c r="AE152" i="17"/>
  <c r="Z153" i="17"/>
  <c r="AE153" i="17"/>
  <c r="Z154" i="17"/>
  <c r="AE154" i="17"/>
  <c r="Z155" i="17"/>
  <c r="AE155" i="17"/>
  <c r="Z156" i="17"/>
  <c r="AE156" i="17"/>
  <c r="Z157" i="17"/>
  <c r="AE157" i="17"/>
  <c r="Z158" i="17"/>
  <c r="AE158" i="17"/>
  <c r="Z159" i="17"/>
  <c r="AE159" i="17"/>
  <c r="Z160" i="17"/>
  <c r="AE160" i="17"/>
  <c r="Z161" i="17"/>
  <c r="AE161" i="17"/>
  <c r="Z162" i="17"/>
  <c r="AE162" i="17"/>
  <c r="Z163" i="17"/>
  <c r="AE163" i="17"/>
  <c r="Z164" i="17"/>
  <c r="AE164" i="17"/>
  <c r="Z165" i="17"/>
  <c r="AE165" i="17"/>
  <c r="Z166" i="17"/>
  <c r="AE166" i="17"/>
  <c r="Z167" i="17"/>
  <c r="AE167" i="17"/>
  <c r="Z168" i="17"/>
  <c r="AE168" i="17"/>
  <c r="Z169" i="17"/>
  <c r="AE169" i="17"/>
  <c r="Z170" i="17"/>
  <c r="AE170" i="17"/>
  <c r="Z171" i="17"/>
  <c r="AE171" i="17"/>
  <c r="Z172" i="17"/>
  <c r="AE172" i="17"/>
  <c r="Z173" i="17"/>
  <c r="AE173" i="17"/>
  <c r="Z174" i="17"/>
  <c r="AE174" i="17"/>
  <c r="Z175" i="17"/>
  <c r="AE175" i="17"/>
  <c r="Z176" i="17"/>
  <c r="AE176" i="17"/>
  <c r="Z177" i="17"/>
  <c r="AE177" i="17"/>
  <c r="Z178" i="17"/>
  <c r="AE178" i="17"/>
  <c r="Z179" i="17"/>
  <c r="AE179" i="17"/>
  <c r="Z180" i="17"/>
  <c r="AE180" i="17"/>
  <c r="Z181" i="17"/>
  <c r="AE181" i="17"/>
  <c r="Z182" i="17"/>
  <c r="AE182" i="17"/>
  <c r="Z183" i="17"/>
  <c r="AE183" i="17"/>
  <c r="Z184" i="17"/>
  <c r="AE184" i="17"/>
  <c r="Z185" i="17"/>
  <c r="AE185" i="17"/>
  <c r="Z186" i="17"/>
  <c r="AE186" i="17"/>
  <c r="Z187" i="17"/>
  <c r="AE187" i="17"/>
  <c r="Z188" i="17"/>
  <c r="AE188" i="17"/>
  <c r="Z189" i="17"/>
  <c r="AE189" i="17"/>
  <c r="Z190" i="17"/>
  <c r="AE190" i="17"/>
  <c r="Z191" i="17"/>
  <c r="AE191" i="17"/>
  <c r="Z192" i="17"/>
  <c r="AE192" i="17"/>
  <c r="Z193" i="17"/>
  <c r="AE193" i="17"/>
  <c r="Z194" i="17"/>
  <c r="AE194" i="17"/>
  <c r="Z195" i="17"/>
  <c r="AE195" i="17"/>
  <c r="Z196" i="17"/>
  <c r="AE196" i="17"/>
  <c r="Z197" i="17"/>
  <c r="AE197" i="17"/>
  <c r="Z198" i="17"/>
  <c r="AE198" i="17"/>
  <c r="Z199" i="17"/>
  <c r="AE199" i="17"/>
  <c r="Z200" i="17"/>
  <c r="AE200" i="17"/>
  <c r="Z201" i="17"/>
  <c r="AE201" i="17"/>
  <c r="Z202" i="17"/>
  <c r="AE202" i="17"/>
  <c r="Z203" i="17"/>
  <c r="AE203" i="17"/>
  <c r="Z204" i="17"/>
  <c r="AE204" i="17"/>
  <c r="Z205" i="17"/>
  <c r="AE205" i="17"/>
  <c r="Z206" i="17"/>
  <c r="AE206" i="17"/>
  <c r="Z207" i="17"/>
  <c r="AE207" i="17"/>
  <c r="Z208" i="17"/>
  <c r="AE208" i="17"/>
  <c r="Z209" i="17"/>
  <c r="AE209" i="17"/>
  <c r="Z210" i="17"/>
  <c r="AE210" i="17"/>
  <c r="Z211" i="17"/>
  <c r="AE211" i="17"/>
  <c r="Z212" i="17"/>
  <c r="AE212" i="17"/>
  <c r="Z213" i="17"/>
  <c r="AE213" i="17"/>
  <c r="Z214" i="17"/>
  <c r="AE214" i="17"/>
  <c r="Z215" i="17"/>
  <c r="AE215" i="17"/>
  <c r="Z216" i="17"/>
  <c r="AE216" i="17"/>
  <c r="Z217" i="17"/>
  <c r="AE217" i="17"/>
  <c r="Z218" i="17"/>
  <c r="AE218" i="17"/>
  <c r="Z219" i="17"/>
  <c r="AE219" i="17"/>
  <c r="Z220" i="17"/>
  <c r="AE220" i="17"/>
  <c r="Z221" i="17"/>
  <c r="AE221" i="17"/>
  <c r="Z222" i="17"/>
  <c r="AE222" i="17"/>
  <c r="Z223" i="17"/>
  <c r="AE223" i="17"/>
  <c r="Z224" i="17"/>
  <c r="AE224" i="17"/>
  <c r="Z225" i="17"/>
  <c r="AE225" i="17"/>
  <c r="Z226" i="17"/>
  <c r="AE226" i="17"/>
  <c r="Z227" i="17"/>
  <c r="AE227" i="17"/>
  <c r="Z228" i="17"/>
  <c r="AE228" i="17"/>
  <c r="Z229" i="17"/>
  <c r="AE229" i="17"/>
  <c r="Z230" i="17"/>
  <c r="AE230" i="17"/>
  <c r="Z231" i="17"/>
  <c r="AE231" i="17"/>
  <c r="Z232" i="17"/>
  <c r="AE232" i="17"/>
  <c r="Z233" i="17"/>
  <c r="AE233" i="17"/>
  <c r="Z234" i="17"/>
  <c r="AE234" i="17"/>
  <c r="Z235" i="17"/>
  <c r="AE235" i="17"/>
  <c r="Z236" i="17"/>
  <c r="AE236" i="17"/>
  <c r="Z237" i="17"/>
  <c r="AE237" i="17"/>
  <c r="Z238" i="17"/>
  <c r="AE238" i="17"/>
  <c r="Z239" i="17"/>
  <c r="AE239" i="17"/>
  <c r="Z240" i="17"/>
  <c r="AE240" i="17"/>
  <c r="Z241" i="17"/>
  <c r="AE241" i="17"/>
  <c r="Z242" i="17"/>
  <c r="AE242" i="17"/>
  <c r="Z243" i="17"/>
  <c r="AE243" i="17"/>
  <c r="Z244" i="17"/>
  <c r="AE244" i="17"/>
  <c r="Z245" i="17"/>
  <c r="AE245" i="17"/>
  <c r="Z246" i="17"/>
  <c r="AE246" i="17"/>
  <c r="Z247" i="17"/>
  <c r="AE247" i="17"/>
  <c r="Z248" i="17"/>
  <c r="AE248" i="17"/>
  <c r="Z249" i="17"/>
  <c r="AE249" i="17"/>
  <c r="Z250" i="17"/>
  <c r="AE250" i="17"/>
  <c r="Z251" i="17"/>
  <c r="AE251" i="17"/>
  <c r="Z252" i="17"/>
  <c r="AE252" i="17"/>
  <c r="Z253" i="17"/>
  <c r="AE253" i="17"/>
  <c r="Z254" i="17"/>
  <c r="AE254" i="17"/>
  <c r="Z255" i="17"/>
  <c r="AE255" i="17"/>
  <c r="Z256" i="17"/>
  <c r="AE256" i="17"/>
  <c r="Z257" i="17"/>
  <c r="AE257" i="17"/>
  <c r="Z258" i="17"/>
  <c r="AE258" i="17"/>
  <c r="Z259" i="17"/>
  <c r="AE259" i="17"/>
  <c r="Z260" i="17"/>
  <c r="AE260" i="17"/>
  <c r="Z261" i="17"/>
  <c r="AE261" i="17"/>
  <c r="Z262" i="17"/>
  <c r="AE262" i="17"/>
  <c r="Z263" i="17"/>
  <c r="AE263" i="17"/>
  <c r="Z264" i="17"/>
  <c r="AE264" i="17"/>
  <c r="Z265" i="17"/>
  <c r="AE265" i="17"/>
  <c r="Z266" i="17"/>
  <c r="AE266" i="17"/>
  <c r="Z267" i="17"/>
  <c r="AE267" i="17"/>
  <c r="Z268" i="17"/>
  <c r="AE268" i="17"/>
  <c r="Z269" i="17"/>
  <c r="AE269" i="17"/>
  <c r="Z270" i="17"/>
  <c r="AE270" i="17"/>
  <c r="Z271" i="17"/>
  <c r="AE271" i="17"/>
  <c r="Z272" i="17"/>
  <c r="AE272" i="17"/>
  <c r="E5" i="32"/>
  <c r="F5" i="32"/>
  <c r="H5" i="32"/>
  <c r="I5" i="32"/>
  <c r="R5" i="32"/>
  <c r="U5" i="32"/>
  <c r="E6" i="32"/>
  <c r="F6" i="32"/>
  <c r="H6" i="32"/>
  <c r="I6" i="32"/>
  <c r="R6" i="32"/>
  <c r="U6" i="32"/>
  <c r="E7" i="32"/>
  <c r="F7" i="32"/>
  <c r="H7" i="32"/>
  <c r="I7" i="32"/>
  <c r="R7" i="32"/>
  <c r="U7" i="32"/>
  <c r="E8" i="32"/>
  <c r="F8" i="32"/>
  <c r="H8" i="32"/>
  <c r="I8" i="32"/>
  <c r="R8" i="32"/>
  <c r="U8" i="32"/>
  <c r="E9" i="32"/>
  <c r="H9" i="32"/>
  <c r="R9" i="32"/>
  <c r="U9" i="32"/>
  <c r="F10" i="32"/>
  <c r="I10" i="32"/>
  <c r="R10" i="32"/>
  <c r="U10" i="32"/>
  <c r="F11" i="32"/>
  <c r="I11" i="32"/>
  <c r="R11" i="32"/>
  <c r="U11" i="32"/>
  <c r="E12" i="32"/>
  <c r="H12" i="32"/>
  <c r="R12" i="32"/>
  <c r="U12" i="32"/>
  <c r="F13" i="32"/>
  <c r="I13" i="32"/>
  <c r="R13" i="32"/>
  <c r="U13" i="32"/>
  <c r="F14" i="32"/>
  <c r="I14" i="32"/>
  <c r="R14" i="32"/>
  <c r="U14" i="32"/>
  <c r="E15" i="32"/>
  <c r="H15" i="32"/>
  <c r="R15" i="32"/>
  <c r="U15" i="32"/>
  <c r="R16" i="32"/>
  <c r="U16" i="32"/>
  <c r="R17" i="32"/>
  <c r="U17" i="32"/>
  <c r="R18" i="32"/>
  <c r="U18" i="32"/>
  <c r="R19" i="32"/>
  <c r="U19" i="32"/>
  <c r="R20" i="32"/>
  <c r="U20" i="32"/>
  <c r="R21" i="32"/>
  <c r="U21" i="32"/>
  <c r="R22" i="32"/>
  <c r="U22" i="32"/>
  <c r="R23" i="32"/>
  <c r="U23" i="32"/>
  <c r="R24" i="32"/>
  <c r="U24" i="32"/>
  <c r="R25" i="32"/>
  <c r="U25" i="32"/>
  <c r="R26" i="32"/>
  <c r="U26" i="32"/>
  <c r="R27" i="32"/>
  <c r="U27" i="32"/>
  <c r="R28" i="32"/>
  <c r="U28" i="32"/>
  <c r="R29" i="32"/>
  <c r="U29" i="32"/>
  <c r="R30" i="32"/>
  <c r="U30" i="32"/>
  <c r="R31" i="32"/>
  <c r="U31" i="32"/>
  <c r="R32" i="32"/>
  <c r="U32" i="32"/>
  <c r="R33" i="32"/>
  <c r="U33" i="32"/>
  <c r="Q34" i="32"/>
  <c r="T34" i="32"/>
  <c r="Q35" i="32"/>
  <c r="T35" i="32"/>
  <c r="N7" i="6"/>
  <c r="AJ7" i="6"/>
  <c r="AK7" i="6"/>
  <c r="N8" i="6"/>
  <c r="AJ8" i="6"/>
  <c r="AK8" i="6"/>
  <c r="N11" i="6"/>
  <c r="AJ11" i="6"/>
  <c r="AK11" i="6"/>
  <c r="N12" i="6"/>
  <c r="AJ12" i="6"/>
  <c r="AK12" i="6"/>
  <c r="N13" i="6"/>
  <c r="AJ13" i="6"/>
  <c r="AK13" i="6"/>
  <c r="N14" i="6"/>
  <c r="AJ14" i="6"/>
  <c r="AK14" i="6"/>
  <c r="N17" i="6"/>
  <c r="AJ17" i="6"/>
  <c r="AK17" i="6"/>
  <c r="N18" i="6"/>
  <c r="AJ18" i="6"/>
  <c r="AK18" i="6"/>
  <c r="N19" i="6"/>
  <c r="AJ19" i="6"/>
  <c r="AK19" i="6"/>
  <c r="N20" i="6"/>
  <c r="AJ20" i="6"/>
  <c r="AK20" i="6"/>
  <c r="N21" i="6"/>
  <c r="AJ21" i="6"/>
  <c r="AK21" i="6"/>
  <c r="N22" i="6"/>
  <c r="AJ22" i="6"/>
  <c r="AK22" i="6"/>
  <c r="N23" i="6"/>
  <c r="AJ23" i="6"/>
  <c r="AK23" i="6"/>
  <c r="N24" i="6"/>
  <c r="AJ24" i="6"/>
  <c r="AK24" i="6"/>
  <c r="N25" i="6"/>
  <c r="AJ25" i="6"/>
  <c r="AK25" i="6"/>
  <c r="N26" i="6"/>
  <c r="AJ26" i="6"/>
  <c r="AK26" i="6"/>
  <c r="N27" i="6"/>
  <c r="AJ27" i="6"/>
  <c r="AK27" i="6"/>
  <c r="N28" i="6"/>
  <c r="AJ28" i="6"/>
  <c r="AK28" i="6"/>
  <c r="N29" i="6"/>
  <c r="AJ29" i="6"/>
  <c r="AK29" i="6"/>
  <c r="N30" i="6"/>
  <c r="AJ30" i="6"/>
  <c r="AK30" i="6"/>
  <c r="N31" i="6"/>
  <c r="AJ31" i="6"/>
  <c r="AK31" i="6"/>
  <c r="N32" i="6"/>
  <c r="AJ32" i="6"/>
  <c r="AK32" i="6"/>
  <c r="N33" i="6"/>
  <c r="AJ33" i="6"/>
  <c r="AK33" i="6"/>
  <c r="N34" i="6"/>
  <c r="AJ34" i="6"/>
  <c r="AK34" i="6"/>
  <c r="N35" i="6"/>
  <c r="AJ35" i="6"/>
  <c r="AK35" i="6"/>
  <c r="N36" i="6"/>
  <c r="AJ36" i="6"/>
  <c r="AK36" i="6"/>
  <c r="N37" i="6"/>
  <c r="AJ37" i="6"/>
  <c r="AK37" i="6"/>
  <c r="N38" i="6"/>
  <c r="AJ38" i="6"/>
  <c r="AK38" i="6"/>
  <c r="N39" i="6"/>
  <c r="AJ39" i="6"/>
  <c r="AK39" i="6"/>
  <c r="N40" i="6"/>
  <c r="AJ40" i="6"/>
  <c r="AK40" i="6"/>
  <c r="N41" i="6"/>
  <c r="AJ41" i="6"/>
  <c r="AK41" i="6"/>
  <c r="N42" i="6"/>
  <c r="AJ42" i="6"/>
  <c r="AK42" i="6"/>
  <c r="N43" i="6"/>
  <c r="AJ43" i="6"/>
  <c r="AK43" i="6"/>
  <c r="N44" i="6"/>
  <c r="AJ44" i="6"/>
  <c r="AK44" i="6"/>
  <c r="N45" i="6"/>
  <c r="AJ45" i="6"/>
  <c r="AK45" i="6"/>
  <c r="N46" i="6"/>
  <c r="AJ46" i="6"/>
  <c r="AK46" i="6"/>
  <c r="N47" i="6"/>
  <c r="AJ47" i="6"/>
  <c r="AK47" i="6"/>
  <c r="N48" i="6"/>
  <c r="AJ48" i="6"/>
  <c r="AK48" i="6"/>
  <c r="N49" i="6"/>
  <c r="AJ49" i="6"/>
  <c r="AK49" i="6"/>
  <c r="N50" i="6"/>
  <c r="AJ50" i="6"/>
  <c r="AK50" i="6"/>
  <c r="N51" i="6"/>
  <c r="AJ51" i="6"/>
  <c r="AK51" i="6"/>
  <c r="N55" i="6"/>
  <c r="AJ55" i="6"/>
  <c r="AK55" i="6"/>
  <c r="N60" i="6"/>
  <c r="AJ60" i="6"/>
  <c r="AK60" i="6"/>
  <c r="L63" i="6"/>
  <c r="N63" i="6"/>
  <c r="L64" i="6"/>
  <c r="N64" i="6"/>
  <c r="N65" i="6"/>
  <c r="L66" i="6"/>
  <c r="L67" i="6"/>
  <c r="L68" i="6"/>
  <c r="L69" i="6"/>
  <c r="L70" i="6"/>
  <c r="N5" i="27"/>
  <c r="AB5" i="27"/>
  <c r="AC5" i="27"/>
  <c r="AF5" i="27"/>
  <c r="AG5" i="27"/>
  <c r="N6" i="27"/>
  <c r="AB6" i="27"/>
  <c r="AC6" i="27"/>
  <c r="AF6" i="27"/>
  <c r="AG6" i="27"/>
  <c r="N7" i="27"/>
  <c r="AB7" i="27"/>
  <c r="AC7" i="27"/>
  <c r="AF7" i="27"/>
  <c r="AG7" i="27"/>
  <c r="N8" i="27"/>
  <c r="AB8" i="27"/>
  <c r="AC8" i="27"/>
  <c r="AF8" i="27"/>
  <c r="AG8" i="27"/>
  <c r="N9" i="27"/>
  <c r="AB9" i="27"/>
  <c r="AC9" i="27"/>
  <c r="AF9" i="27"/>
  <c r="AG9" i="27"/>
  <c r="N10" i="27"/>
  <c r="AB10" i="27"/>
  <c r="AC10" i="27"/>
  <c r="AF10" i="27"/>
  <c r="AG10" i="27"/>
  <c r="N11" i="27"/>
  <c r="AB11" i="27"/>
  <c r="AC11" i="27"/>
  <c r="AF11" i="27"/>
  <c r="AG11" i="27"/>
  <c r="N12" i="27"/>
  <c r="AB12" i="27"/>
  <c r="AC12" i="27"/>
  <c r="AF12" i="27"/>
  <c r="AG12" i="27"/>
  <c r="N13" i="27"/>
  <c r="AB13" i="27"/>
  <c r="AC13" i="27"/>
  <c r="AF13" i="27"/>
  <c r="AG13" i="27"/>
  <c r="N14" i="27"/>
  <c r="AB14" i="27"/>
  <c r="AC14" i="27"/>
  <c r="AF14" i="27"/>
  <c r="AG14" i="27"/>
  <c r="N15" i="27"/>
  <c r="AB15" i="27"/>
  <c r="AC15" i="27"/>
  <c r="AF15" i="27"/>
  <c r="AG15" i="27"/>
  <c r="N16" i="27"/>
  <c r="AB16" i="27"/>
  <c r="AC16" i="27"/>
  <c r="AF16" i="27"/>
  <c r="AG16" i="27"/>
  <c r="N17" i="27"/>
  <c r="AB17" i="27"/>
  <c r="AC17" i="27"/>
  <c r="AF17" i="27"/>
  <c r="AG17" i="27"/>
  <c r="N18" i="27"/>
  <c r="AB18" i="27"/>
  <c r="AC18" i="27"/>
  <c r="AF18" i="27"/>
  <c r="AG18" i="27"/>
  <c r="N19" i="27"/>
  <c r="AB19" i="27"/>
  <c r="AC19" i="27"/>
  <c r="AF19" i="27"/>
  <c r="AG19" i="27"/>
  <c r="N20" i="27"/>
  <c r="AB20" i="27"/>
  <c r="AC20" i="27"/>
  <c r="AF20" i="27"/>
  <c r="AG20" i="27"/>
  <c r="N21" i="27"/>
  <c r="AB21" i="27"/>
  <c r="AC21" i="27"/>
  <c r="AF21" i="27"/>
  <c r="AG21" i="27"/>
  <c r="N22" i="27"/>
  <c r="AB22" i="27"/>
  <c r="AC22" i="27"/>
  <c r="AF22" i="27"/>
  <c r="AG22" i="27"/>
  <c r="N23" i="27"/>
  <c r="AB23" i="27"/>
  <c r="AC23" i="27"/>
  <c r="AF23" i="27"/>
  <c r="AG23" i="27"/>
  <c r="N24" i="27"/>
  <c r="AB24" i="27"/>
  <c r="AC24" i="27"/>
  <c r="AF24" i="27"/>
  <c r="AG24" i="27"/>
  <c r="N25" i="27"/>
  <c r="AB25" i="27"/>
  <c r="AC25" i="27"/>
  <c r="AF25" i="27"/>
  <c r="AG25" i="27"/>
  <c r="N26" i="27"/>
  <c r="AB26" i="27"/>
  <c r="AC26" i="27"/>
  <c r="AF26" i="27"/>
  <c r="AG26" i="27"/>
  <c r="N27" i="27"/>
  <c r="AB27" i="27"/>
  <c r="AC27" i="27"/>
  <c r="AF27" i="27"/>
  <c r="AG27" i="27"/>
  <c r="N28" i="27"/>
  <c r="AB28" i="27"/>
  <c r="AC28" i="27"/>
  <c r="AF28" i="27"/>
  <c r="AG28" i="27"/>
  <c r="N29" i="27"/>
  <c r="AB29" i="27"/>
  <c r="AC29" i="27"/>
  <c r="AF29" i="27"/>
  <c r="AG29" i="27"/>
  <c r="N30" i="27"/>
  <c r="AB30" i="27"/>
  <c r="AC30" i="27"/>
  <c r="AF30" i="27"/>
  <c r="AG30" i="27"/>
  <c r="N31" i="27"/>
  <c r="AB31" i="27"/>
  <c r="AC31" i="27"/>
  <c r="AF31" i="27"/>
  <c r="AG31" i="27"/>
  <c r="N32" i="27"/>
  <c r="AB32" i="27"/>
  <c r="AC32" i="27"/>
  <c r="AF32" i="27"/>
  <c r="AG32" i="27"/>
  <c r="N33" i="27"/>
  <c r="AB33" i="27"/>
  <c r="AC33" i="27"/>
  <c r="AF33" i="27"/>
  <c r="AG33" i="27"/>
  <c r="N34" i="27"/>
  <c r="AB34" i="27"/>
  <c r="AC34" i="27"/>
  <c r="AF34" i="27"/>
  <c r="AG34" i="27"/>
  <c r="N35" i="27"/>
  <c r="AB35" i="27"/>
  <c r="AC35" i="27"/>
  <c r="AF35" i="27"/>
  <c r="AG35" i="27"/>
  <c r="N36" i="27"/>
  <c r="AB36" i="27"/>
  <c r="AC36" i="27"/>
  <c r="AF36" i="27"/>
  <c r="AG36" i="27"/>
  <c r="N37" i="27"/>
  <c r="AB37" i="27"/>
  <c r="AC37" i="27"/>
  <c r="AF37" i="27"/>
  <c r="AG37" i="27"/>
  <c r="N38" i="27"/>
  <c r="AB38" i="27"/>
  <c r="AC38" i="27"/>
  <c r="AF38" i="27"/>
  <c r="AG38" i="27"/>
  <c r="N39" i="27"/>
  <c r="AB39" i="27"/>
  <c r="AC39" i="27"/>
  <c r="AF39" i="27"/>
  <c r="AG39" i="27"/>
  <c r="N40" i="27"/>
  <c r="AB40" i="27"/>
  <c r="AC40" i="27"/>
  <c r="AF40" i="27"/>
  <c r="AG40" i="27"/>
  <c r="N41" i="27"/>
  <c r="AB41" i="27"/>
  <c r="AC41" i="27"/>
  <c r="AF41" i="27"/>
  <c r="AG41" i="27"/>
  <c r="N42" i="27"/>
  <c r="AB42" i="27"/>
  <c r="AC42" i="27"/>
  <c r="AF42" i="27"/>
  <c r="AG42" i="27"/>
  <c r="N43" i="27"/>
  <c r="AB43" i="27"/>
  <c r="AC43" i="27"/>
  <c r="AF43" i="27"/>
  <c r="AG43" i="27"/>
  <c r="N44" i="27"/>
  <c r="AB44" i="27"/>
  <c r="AC44" i="27"/>
  <c r="AF44" i="27"/>
  <c r="AG44" i="27"/>
  <c r="N45" i="27"/>
  <c r="AB45" i="27"/>
  <c r="AC45" i="27"/>
  <c r="AF45" i="27"/>
  <c r="AG45" i="27"/>
  <c r="N46" i="27"/>
  <c r="AB46" i="27"/>
  <c r="AC46" i="27"/>
  <c r="AF46" i="27"/>
  <c r="AG46" i="27"/>
  <c r="N47" i="27"/>
  <c r="AB47" i="27"/>
  <c r="AC47" i="27"/>
  <c r="AF47" i="27"/>
  <c r="AG47" i="27"/>
  <c r="N48" i="27"/>
  <c r="AB48" i="27"/>
  <c r="AC48" i="27"/>
  <c r="AF48" i="27"/>
  <c r="AG48" i="27"/>
  <c r="N49" i="27"/>
  <c r="AB49" i="27"/>
  <c r="AC49" i="27"/>
  <c r="AF49" i="27"/>
  <c r="AG49" i="27"/>
  <c r="N50" i="27"/>
  <c r="AB50" i="27"/>
  <c r="AC50" i="27"/>
  <c r="AF50" i="27"/>
  <c r="AG50" i="27"/>
  <c r="N51" i="27"/>
  <c r="AB51" i="27"/>
  <c r="AC51" i="27"/>
  <c r="AF51" i="27"/>
  <c r="AG51" i="27"/>
  <c r="N57" i="27"/>
  <c r="AB57" i="27"/>
  <c r="AC57" i="27"/>
  <c r="AF57" i="27"/>
  <c r="AG57" i="27"/>
  <c r="N58" i="27"/>
  <c r="AB58" i="27"/>
  <c r="AC58" i="27"/>
  <c r="AF58" i="27"/>
  <c r="AG58" i="27"/>
  <c r="N59" i="27"/>
  <c r="AB59" i="27"/>
  <c r="AC59" i="27"/>
  <c r="AF59" i="27"/>
  <c r="AG59" i="27"/>
  <c r="N60" i="27"/>
  <c r="AB60" i="27"/>
  <c r="AC60" i="27"/>
  <c r="AF60" i="27"/>
  <c r="AG60" i="27"/>
  <c r="N61" i="27"/>
  <c r="AB61" i="27"/>
  <c r="AC61" i="27"/>
  <c r="AF61" i="27"/>
  <c r="AG61" i="27"/>
  <c r="N62" i="27"/>
  <c r="AB62" i="27"/>
  <c r="AC62" i="27"/>
  <c r="AF62" i="27"/>
  <c r="AG62" i="27"/>
  <c r="N63" i="27"/>
  <c r="AB63" i="27"/>
  <c r="AC63" i="27"/>
  <c r="AF63" i="27"/>
  <c r="AG63" i="27"/>
  <c r="N64" i="27"/>
  <c r="AB64" i="27"/>
  <c r="AC64" i="27"/>
  <c r="AF64" i="27"/>
  <c r="AG64" i="27"/>
  <c r="N65" i="27"/>
  <c r="AB65" i="27"/>
  <c r="AC65" i="27"/>
  <c r="AF65" i="27"/>
  <c r="AG65" i="27"/>
  <c r="N66" i="27"/>
  <c r="AB66" i="27"/>
  <c r="AC66" i="27"/>
  <c r="AF66" i="27"/>
  <c r="AG66" i="27"/>
  <c r="N67" i="27"/>
  <c r="AB67" i="27"/>
  <c r="AC67" i="27"/>
  <c r="AF67" i="27"/>
  <c r="AG67" i="27"/>
  <c r="N68" i="27"/>
  <c r="AB68" i="27"/>
  <c r="AC68" i="27"/>
  <c r="AF68" i="27"/>
  <c r="AG68" i="27"/>
  <c r="N69" i="27"/>
  <c r="AB69" i="27"/>
  <c r="AC69" i="27"/>
  <c r="AF69" i="27"/>
  <c r="AG69" i="27"/>
  <c r="N70" i="27"/>
  <c r="AB70" i="27"/>
  <c r="AC70" i="27"/>
  <c r="AF70" i="27"/>
  <c r="AG70" i="27"/>
  <c r="N71" i="27"/>
  <c r="AB71" i="27"/>
  <c r="AC71" i="27"/>
  <c r="AF71" i="27"/>
  <c r="AG71" i="27"/>
  <c r="N72" i="27"/>
  <c r="AB72" i="27"/>
  <c r="AC72" i="27"/>
  <c r="AF72" i="27"/>
  <c r="AG72" i="27"/>
  <c r="N73" i="27"/>
  <c r="AB73" i="27"/>
  <c r="AC73" i="27"/>
  <c r="AF73" i="27"/>
  <c r="AG73" i="27"/>
  <c r="N74" i="27"/>
  <c r="AB74" i="27"/>
  <c r="AC74" i="27"/>
  <c r="AF74" i="27"/>
  <c r="AG74" i="27"/>
  <c r="N75" i="27"/>
  <c r="AB75" i="27"/>
  <c r="AC75" i="27"/>
  <c r="AF75" i="27"/>
  <c r="AG75" i="27"/>
  <c r="N76" i="27"/>
  <c r="AB76" i="27"/>
  <c r="AC76" i="27"/>
  <c r="AF76" i="27"/>
  <c r="AG76" i="27"/>
  <c r="N77" i="27"/>
  <c r="AB77" i="27"/>
  <c r="AC77" i="27"/>
  <c r="AF77" i="27"/>
  <c r="AG77" i="27"/>
  <c r="N78" i="27"/>
  <c r="AB78" i="27"/>
  <c r="AC78" i="27"/>
  <c r="AF78" i="27"/>
  <c r="AG78" i="27"/>
  <c r="N79" i="27"/>
  <c r="AB79" i="27"/>
  <c r="AC79" i="27"/>
  <c r="AF79" i="27"/>
  <c r="AG79" i="27"/>
  <c r="N80" i="27"/>
  <c r="AB80" i="27"/>
  <c r="AC80" i="27"/>
  <c r="AF80" i="27"/>
  <c r="AG80" i="27"/>
  <c r="N81" i="27"/>
  <c r="AB81" i="27"/>
  <c r="AC81" i="27"/>
  <c r="AF81" i="27"/>
  <c r="AG81" i="27"/>
  <c r="N82" i="27"/>
  <c r="AB82" i="27"/>
  <c r="AC82" i="27"/>
  <c r="AF82" i="27"/>
  <c r="AG82" i="27"/>
  <c r="N83" i="27"/>
  <c r="AB83" i="27"/>
  <c r="AC83" i="27"/>
  <c r="AF83" i="27"/>
  <c r="AG83" i="27"/>
  <c r="N84" i="27"/>
  <c r="AB84" i="27"/>
  <c r="AC84" i="27"/>
  <c r="AF84" i="27"/>
  <c r="AG84" i="27"/>
  <c r="N85" i="27"/>
  <c r="AB85" i="27"/>
  <c r="AC85" i="27"/>
  <c r="AF85" i="27"/>
  <c r="AG85" i="27"/>
  <c r="N86" i="27"/>
  <c r="AB86" i="27"/>
  <c r="AC86" i="27"/>
  <c r="AF86" i="27"/>
  <c r="AG86" i="27"/>
  <c r="N87" i="27"/>
  <c r="AB87" i="27"/>
  <c r="AC87" i="27"/>
  <c r="AF87" i="27"/>
  <c r="AG87" i="27"/>
  <c r="N88" i="27"/>
  <c r="AB88" i="27"/>
  <c r="AC88" i="27"/>
  <c r="AF88" i="27"/>
  <c r="AG88" i="27"/>
  <c r="N89" i="27"/>
  <c r="AB89" i="27"/>
  <c r="AC89" i="27"/>
  <c r="AF89" i="27"/>
  <c r="AG89" i="27"/>
  <c r="N90" i="27"/>
  <c r="AB90" i="27"/>
  <c r="AC90" i="27"/>
  <c r="AF90" i="27"/>
  <c r="AG90" i="27"/>
  <c r="N91" i="27"/>
  <c r="AB91" i="27"/>
  <c r="AC91" i="27"/>
  <c r="AF91" i="27"/>
  <c r="AG91" i="27"/>
  <c r="N92" i="27"/>
  <c r="AB92" i="27"/>
  <c r="AC92" i="27"/>
  <c r="AF92" i="27"/>
  <c r="AG92" i="27"/>
  <c r="N93" i="27"/>
  <c r="AB93" i="27"/>
  <c r="AC93" i="27"/>
  <c r="AF93" i="27"/>
  <c r="AG93" i="27"/>
  <c r="N94" i="27"/>
  <c r="AB94" i="27"/>
  <c r="AC94" i="27"/>
  <c r="AF94" i="27"/>
  <c r="AG94" i="27"/>
  <c r="N95" i="27"/>
  <c r="AB95" i="27"/>
  <c r="AC95" i="27"/>
  <c r="AF95" i="27"/>
  <c r="AG95" i="27"/>
  <c r="N96" i="27"/>
  <c r="AB96" i="27"/>
  <c r="AC96" i="27"/>
  <c r="AF96" i="27"/>
  <c r="AG96" i="27"/>
  <c r="N97" i="27"/>
  <c r="AB97" i="27"/>
  <c r="AC97" i="27"/>
  <c r="AF97" i="27"/>
  <c r="AG97" i="27"/>
  <c r="N98" i="27"/>
  <c r="AB98" i="27"/>
  <c r="AC98" i="27"/>
  <c r="AF98" i="27"/>
  <c r="AG98" i="27"/>
  <c r="N99" i="27"/>
  <c r="AB99" i="27"/>
  <c r="AC99" i="27"/>
  <c r="AF99" i="27"/>
  <c r="AG99" i="27"/>
  <c r="N100" i="27"/>
  <c r="AB100" i="27"/>
  <c r="AC100" i="27"/>
  <c r="AF100" i="27"/>
  <c r="AG100" i="27"/>
  <c r="N101" i="27"/>
  <c r="AB101" i="27"/>
  <c r="AC101" i="27"/>
  <c r="AF101" i="27"/>
  <c r="AG101" i="27"/>
  <c r="N102" i="27"/>
  <c r="AB102" i="27"/>
  <c r="AC102" i="27"/>
  <c r="AF102" i="27"/>
  <c r="AG102" i="27"/>
  <c r="N103" i="27"/>
  <c r="AB103" i="27"/>
  <c r="AC103" i="27"/>
  <c r="AF103" i="27"/>
  <c r="AG103" i="27"/>
  <c r="N5" i="7"/>
  <c r="T5" i="7"/>
  <c r="AJ5" i="7"/>
  <c r="AK5" i="7"/>
  <c r="AL5" i="7"/>
  <c r="AM5" i="7"/>
  <c r="N6" i="7"/>
  <c r="T6" i="7"/>
  <c r="AJ6" i="7"/>
  <c r="AK6" i="7"/>
  <c r="AL6" i="7"/>
  <c r="AM6" i="7"/>
  <c r="N7" i="7"/>
  <c r="T7" i="7"/>
  <c r="AJ7" i="7"/>
  <c r="AK7" i="7"/>
  <c r="AL7" i="7"/>
  <c r="AM7" i="7"/>
  <c r="N8" i="7"/>
  <c r="T8" i="7"/>
  <c r="AJ8" i="7"/>
  <c r="AK8" i="7"/>
  <c r="AL8" i="7"/>
  <c r="AM8" i="7"/>
  <c r="N9" i="7"/>
  <c r="T9" i="7"/>
  <c r="AJ9" i="7"/>
  <c r="AK9" i="7"/>
  <c r="AL9" i="7"/>
  <c r="AM9" i="7"/>
  <c r="N10" i="7"/>
  <c r="T10" i="7"/>
  <c r="AJ10" i="7"/>
  <c r="AK10" i="7"/>
  <c r="AL10" i="7"/>
  <c r="AM10" i="7"/>
  <c r="N11" i="7"/>
  <c r="T11" i="7"/>
  <c r="AJ11" i="7"/>
  <c r="AK11" i="7"/>
  <c r="AL11" i="7"/>
  <c r="AM11" i="7"/>
  <c r="N12" i="7"/>
  <c r="T12" i="7"/>
  <c r="AJ12" i="7"/>
  <c r="AK12" i="7"/>
  <c r="AL12" i="7"/>
  <c r="AM12" i="7"/>
  <c r="N13" i="7"/>
  <c r="T13" i="7"/>
  <c r="AJ13" i="7"/>
  <c r="AK13" i="7"/>
  <c r="AL13" i="7"/>
  <c r="AM13" i="7"/>
  <c r="N14" i="7"/>
  <c r="T14" i="7"/>
  <c r="AJ14" i="7"/>
  <c r="AK14" i="7"/>
  <c r="AL14" i="7"/>
  <c r="AM14" i="7"/>
  <c r="N15" i="7"/>
  <c r="T15" i="7"/>
  <c r="AJ15" i="7"/>
  <c r="AK15" i="7"/>
  <c r="AL15" i="7"/>
  <c r="AM15" i="7"/>
  <c r="N16" i="7"/>
  <c r="T16" i="7"/>
  <c r="AJ16" i="7"/>
  <c r="AK16" i="7"/>
  <c r="AL16" i="7"/>
  <c r="AM16" i="7"/>
  <c r="N17" i="7"/>
  <c r="T17" i="7"/>
  <c r="AJ17" i="7"/>
  <c r="AK17" i="7"/>
  <c r="AL17" i="7"/>
  <c r="AM17" i="7"/>
  <c r="N18" i="7"/>
  <c r="T18" i="7"/>
  <c r="AJ18" i="7"/>
  <c r="AK18" i="7"/>
  <c r="AL18" i="7"/>
  <c r="AM18" i="7"/>
  <c r="N19" i="7"/>
  <c r="T19" i="7"/>
  <c r="AJ19" i="7"/>
  <c r="AK19" i="7"/>
  <c r="AL19" i="7"/>
  <c r="AM19" i="7"/>
  <c r="N20" i="7"/>
  <c r="T20" i="7"/>
  <c r="AJ20" i="7"/>
  <c r="AK20" i="7"/>
  <c r="AL20" i="7"/>
  <c r="AM20" i="7"/>
  <c r="N21" i="7"/>
  <c r="T21" i="7"/>
  <c r="AJ21" i="7"/>
  <c r="AK21" i="7"/>
  <c r="AL21" i="7"/>
  <c r="AM21" i="7"/>
  <c r="N22" i="7"/>
  <c r="T22" i="7"/>
  <c r="AJ22" i="7"/>
  <c r="AK22" i="7"/>
  <c r="AL22" i="7"/>
  <c r="AM22" i="7"/>
  <c r="N23" i="7"/>
  <c r="T23" i="7"/>
  <c r="AJ23" i="7"/>
  <c r="AK23" i="7"/>
  <c r="AL23" i="7"/>
  <c r="AM23" i="7"/>
  <c r="N24" i="7"/>
  <c r="T24" i="7"/>
  <c r="AJ24" i="7"/>
  <c r="AK24" i="7"/>
  <c r="AL24" i="7"/>
  <c r="AM24" i="7"/>
  <c r="N25" i="7"/>
  <c r="T25" i="7"/>
  <c r="AJ25" i="7"/>
  <c r="AK25" i="7"/>
  <c r="AL25" i="7"/>
  <c r="AM25" i="7"/>
  <c r="N26" i="7"/>
  <c r="T26" i="7"/>
  <c r="AJ26" i="7"/>
  <c r="AK26" i="7"/>
  <c r="AL26" i="7"/>
  <c r="AM26" i="7"/>
  <c r="N27" i="7"/>
  <c r="T27" i="7"/>
  <c r="AJ27" i="7"/>
  <c r="AK27" i="7"/>
  <c r="AL27" i="7"/>
  <c r="AM27" i="7"/>
  <c r="N28" i="7"/>
  <c r="T28" i="7"/>
  <c r="AJ28" i="7"/>
  <c r="AK28" i="7"/>
  <c r="AL28" i="7"/>
  <c r="AM28" i="7"/>
  <c r="N29" i="7"/>
  <c r="T29" i="7"/>
  <c r="AJ29" i="7"/>
  <c r="AK29" i="7"/>
  <c r="AL29" i="7"/>
  <c r="AM29" i="7"/>
  <c r="N30" i="7"/>
  <c r="T30" i="7"/>
  <c r="AJ30" i="7"/>
  <c r="AK30" i="7"/>
  <c r="AL30" i="7"/>
  <c r="AM30" i="7"/>
  <c r="N31" i="7"/>
  <c r="T31" i="7"/>
  <c r="AJ31" i="7"/>
  <c r="AK31" i="7"/>
  <c r="AL31" i="7"/>
  <c r="AM31" i="7"/>
  <c r="N32" i="7"/>
  <c r="T32" i="7"/>
  <c r="AJ32" i="7"/>
  <c r="AK32" i="7"/>
  <c r="AL32" i="7"/>
  <c r="AM32" i="7"/>
  <c r="N33" i="7"/>
  <c r="T33" i="7"/>
  <c r="AJ33" i="7"/>
  <c r="AK33" i="7"/>
  <c r="AL33" i="7"/>
  <c r="AM33" i="7"/>
  <c r="N34" i="7"/>
  <c r="T34" i="7"/>
  <c r="AJ34" i="7"/>
  <c r="AK34" i="7"/>
  <c r="AL34" i="7"/>
  <c r="AM34" i="7"/>
  <c r="N35" i="7"/>
  <c r="T35" i="7"/>
  <c r="AJ35" i="7"/>
  <c r="AK35" i="7"/>
  <c r="AL35" i="7"/>
  <c r="AM35" i="7"/>
  <c r="N36" i="7"/>
  <c r="T36" i="7"/>
  <c r="AJ36" i="7"/>
  <c r="AK36" i="7"/>
  <c r="AL36" i="7"/>
  <c r="AM36" i="7"/>
  <c r="N37" i="7"/>
  <c r="T37" i="7"/>
  <c r="AJ37" i="7"/>
  <c r="AK37" i="7"/>
  <c r="AL37" i="7"/>
  <c r="AM37" i="7"/>
  <c r="N38" i="7"/>
  <c r="T38" i="7"/>
  <c r="AJ38" i="7"/>
  <c r="AK38" i="7"/>
  <c r="AL38" i="7"/>
  <c r="AM38" i="7"/>
  <c r="N39" i="7"/>
  <c r="T39" i="7"/>
  <c r="AJ39" i="7"/>
  <c r="AK39" i="7"/>
  <c r="AL39" i="7"/>
  <c r="AM39" i="7"/>
  <c r="N40" i="7"/>
  <c r="T40" i="7"/>
  <c r="AJ40" i="7"/>
  <c r="AK40" i="7"/>
  <c r="AL40" i="7"/>
  <c r="AM40" i="7"/>
  <c r="N41" i="7"/>
  <c r="T41" i="7"/>
  <c r="AJ41" i="7"/>
  <c r="AK41" i="7"/>
  <c r="AL41" i="7"/>
  <c r="AM41" i="7"/>
  <c r="N42" i="7"/>
  <c r="T42" i="7"/>
  <c r="AJ42" i="7"/>
  <c r="AK42" i="7"/>
  <c r="AL42" i="7"/>
  <c r="AM42" i="7"/>
  <c r="N43" i="7"/>
  <c r="T43" i="7"/>
  <c r="AJ43" i="7"/>
  <c r="AK43" i="7"/>
  <c r="AL43" i="7"/>
  <c r="AM43" i="7"/>
  <c r="N44" i="7"/>
  <c r="T44" i="7"/>
  <c r="AJ44" i="7"/>
  <c r="AK44" i="7"/>
  <c r="AL44" i="7"/>
  <c r="AM44" i="7"/>
  <c r="N45" i="7"/>
  <c r="T45" i="7"/>
  <c r="AJ45" i="7"/>
  <c r="AK45" i="7"/>
  <c r="AL45" i="7"/>
  <c r="AM45" i="7"/>
  <c r="N46" i="7"/>
  <c r="T46" i="7"/>
  <c r="AJ46" i="7"/>
  <c r="AK46" i="7"/>
  <c r="AL46" i="7"/>
  <c r="AM46" i="7"/>
  <c r="N47" i="7"/>
  <c r="T47" i="7"/>
  <c r="AJ47" i="7"/>
  <c r="AK47" i="7"/>
  <c r="AL47" i="7"/>
  <c r="AM47" i="7"/>
  <c r="N48" i="7"/>
  <c r="T48" i="7"/>
  <c r="AJ48" i="7"/>
  <c r="AK48" i="7"/>
  <c r="AL48" i="7"/>
  <c r="AM48" i="7"/>
  <c r="N49" i="7"/>
  <c r="T49" i="7"/>
  <c r="AJ49" i="7"/>
  <c r="AK49" i="7"/>
  <c r="AL49" i="7"/>
  <c r="AM49" i="7"/>
  <c r="N50" i="7"/>
  <c r="T50" i="7"/>
  <c r="AJ50" i="7"/>
  <c r="AK50" i="7"/>
  <c r="AL50" i="7"/>
  <c r="AM50" i="7"/>
  <c r="N51" i="7"/>
  <c r="T51" i="7"/>
  <c r="AJ51" i="7"/>
  <c r="AK51" i="7"/>
  <c r="AL51" i="7"/>
  <c r="AM51" i="7"/>
  <c r="N53" i="7"/>
  <c r="T53" i="7"/>
  <c r="AJ53" i="7"/>
  <c r="AK53" i="7"/>
  <c r="AL53" i="7"/>
  <c r="AM53" i="7"/>
  <c r="N58" i="7"/>
  <c r="AE58" i="7"/>
  <c r="AF58" i="7"/>
  <c r="AJ58" i="7"/>
  <c r="AK58" i="7"/>
  <c r="N5" i="8"/>
  <c r="T5" i="8"/>
  <c r="AE5" i="8"/>
  <c r="AF5" i="8"/>
  <c r="AG5" i="8"/>
  <c r="AJ5" i="8"/>
  <c r="AK5" i="8"/>
  <c r="AL5" i="8"/>
  <c r="AM5" i="8"/>
  <c r="AO5" i="8"/>
  <c r="AP5" i="8"/>
  <c r="N6" i="8"/>
  <c r="T6" i="8"/>
  <c r="AE6" i="8"/>
  <c r="AF6" i="8"/>
  <c r="AG6" i="8"/>
  <c r="AJ6" i="8"/>
  <c r="AK6" i="8"/>
  <c r="AL6" i="8"/>
  <c r="AM6" i="8"/>
  <c r="AO6" i="8"/>
  <c r="AP6" i="8"/>
  <c r="N7" i="8"/>
  <c r="T7" i="8"/>
  <c r="AE7" i="8"/>
  <c r="AF7" i="8"/>
  <c r="AG7" i="8"/>
  <c r="AJ7" i="8"/>
  <c r="AK7" i="8"/>
  <c r="AL7" i="8"/>
  <c r="AM7" i="8"/>
  <c r="AO7" i="8"/>
  <c r="AP7" i="8"/>
  <c r="N8" i="8"/>
  <c r="T8" i="8"/>
  <c r="AE8" i="8"/>
  <c r="AF8" i="8"/>
  <c r="AG8" i="8"/>
  <c r="AJ8" i="8"/>
  <c r="AK8" i="8"/>
  <c r="AL8" i="8"/>
  <c r="AM8" i="8"/>
  <c r="AO8" i="8"/>
  <c r="AP8" i="8"/>
  <c r="N9" i="8"/>
  <c r="T9" i="8"/>
  <c r="AE9" i="8"/>
  <c r="AF9" i="8"/>
  <c r="AG9" i="8"/>
  <c r="AJ9" i="8"/>
  <c r="AK9" i="8"/>
  <c r="AL9" i="8"/>
  <c r="AM9" i="8"/>
  <c r="AO9" i="8"/>
  <c r="AP9" i="8"/>
  <c r="N10" i="8"/>
  <c r="T10" i="8"/>
  <c r="AE10" i="8"/>
  <c r="AF10" i="8"/>
  <c r="AG10" i="8"/>
  <c r="AJ10" i="8"/>
  <c r="AK10" i="8"/>
  <c r="AL10" i="8"/>
  <c r="AM10" i="8"/>
  <c r="AO10" i="8"/>
  <c r="AP10" i="8"/>
  <c r="N11" i="8"/>
  <c r="T11" i="8"/>
  <c r="AE11" i="8"/>
  <c r="AF11" i="8"/>
  <c r="AG11" i="8"/>
  <c r="AJ11" i="8"/>
  <c r="AK11" i="8"/>
  <c r="AL11" i="8"/>
  <c r="AM11" i="8"/>
  <c r="AO11" i="8"/>
  <c r="AP11" i="8"/>
  <c r="N12" i="8"/>
  <c r="T12" i="8"/>
  <c r="AE12" i="8"/>
  <c r="AF12" i="8"/>
  <c r="AG12" i="8"/>
  <c r="AJ12" i="8"/>
  <c r="AK12" i="8"/>
  <c r="AL12" i="8"/>
  <c r="AM12" i="8"/>
  <c r="AO12" i="8"/>
  <c r="AP12" i="8"/>
  <c r="N13" i="8"/>
  <c r="T13" i="8"/>
  <c r="AE13" i="8"/>
  <c r="AF13" i="8"/>
  <c r="AG13" i="8"/>
  <c r="AJ13" i="8"/>
  <c r="AK13" i="8"/>
  <c r="AL13" i="8"/>
  <c r="AM13" i="8"/>
  <c r="AO13" i="8"/>
  <c r="AP13" i="8"/>
  <c r="N14" i="8"/>
  <c r="T14" i="8"/>
  <c r="AE14" i="8"/>
  <c r="AF14" i="8"/>
  <c r="AG14" i="8"/>
  <c r="AJ14" i="8"/>
  <c r="AK14" i="8"/>
  <c r="AL14" i="8"/>
  <c r="AM14" i="8"/>
  <c r="AO14" i="8"/>
  <c r="AP14" i="8"/>
  <c r="N15" i="8"/>
  <c r="T15" i="8"/>
  <c r="AE15" i="8"/>
  <c r="AF15" i="8"/>
  <c r="AG15" i="8"/>
  <c r="AJ15" i="8"/>
  <c r="AK15" i="8"/>
  <c r="AL15" i="8"/>
  <c r="AM15" i="8"/>
  <c r="AO15" i="8"/>
  <c r="AP15" i="8"/>
  <c r="N16" i="8"/>
  <c r="T16" i="8"/>
  <c r="AE16" i="8"/>
  <c r="AF16" i="8"/>
  <c r="AG16" i="8"/>
  <c r="AJ16" i="8"/>
  <c r="AK16" i="8"/>
  <c r="AL16" i="8"/>
  <c r="AM16" i="8"/>
  <c r="AO16" i="8"/>
  <c r="AP16" i="8"/>
  <c r="N17" i="8"/>
  <c r="T17" i="8"/>
  <c r="AE17" i="8"/>
  <c r="AF17" i="8"/>
  <c r="AG17" i="8"/>
  <c r="AJ17" i="8"/>
  <c r="AK17" i="8"/>
  <c r="AL17" i="8"/>
  <c r="AM17" i="8"/>
  <c r="AO17" i="8"/>
  <c r="AP17" i="8"/>
  <c r="N18" i="8"/>
  <c r="T18" i="8"/>
  <c r="AE18" i="8"/>
  <c r="AF18" i="8"/>
  <c r="AG18" i="8"/>
  <c r="AJ18" i="8"/>
  <c r="AK18" i="8"/>
  <c r="AL18" i="8"/>
  <c r="AM18" i="8"/>
  <c r="AO18" i="8"/>
  <c r="AP18" i="8"/>
  <c r="N19" i="8"/>
  <c r="T19" i="8"/>
  <c r="AE19" i="8"/>
  <c r="AF19" i="8"/>
  <c r="AG19" i="8"/>
  <c r="AJ19" i="8"/>
  <c r="AK19" i="8"/>
  <c r="AL19" i="8"/>
  <c r="AM19" i="8"/>
  <c r="AO19" i="8"/>
  <c r="AP19" i="8"/>
  <c r="N20" i="8"/>
  <c r="T20" i="8"/>
  <c r="AE20" i="8"/>
  <c r="AF20" i="8"/>
  <c r="AG20" i="8"/>
  <c r="AJ20" i="8"/>
  <c r="AK20" i="8"/>
  <c r="AL20" i="8"/>
  <c r="AM20" i="8"/>
  <c r="AO20" i="8"/>
  <c r="AP20" i="8"/>
  <c r="N21" i="8"/>
  <c r="T21" i="8"/>
  <c r="AE21" i="8"/>
  <c r="AF21" i="8"/>
  <c r="AG21" i="8"/>
  <c r="AJ21" i="8"/>
  <c r="AK21" i="8"/>
  <c r="AL21" i="8"/>
  <c r="AM21" i="8"/>
  <c r="AO21" i="8"/>
  <c r="AP21" i="8"/>
  <c r="N22" i="8"/>
  <c r="T22" i="8"/>
  <c r="AE22" i="8"/>
  <c r="AF22" i="8"/>
  <c r="AG22" i="8"/>
  <c r="AJ22" i="8"/>
  <c r="AK22" i="8"/>
  <c r="AL22" i="8"/>
  <c r="AM22" i="8"/>
  <c r="AO22" i="8"/>
  <c r="AP22" i="8"/>
  <c r="N23" i="8"/>
  <c r="T23" i="8"/>
  <c r="AE23" i="8"/>
  <c r="AF23" i="8"/>
  <c r="AG23" i="8"/>
  <c r="AJ23" i="8"/>
  <c r="AK23" i="8"/>
  <c r="AL23" i="8"/>
  <c r="AM23" i="8"/>
  <c r="AO23" i="8"/>
  <c r="AP23" i="8"/>
  <c r="N24" i="8"/>
  <c r="T24" i="8"/>
  <c r="AE24" i="8"/>
  <c r="AF24" i="8"/>
  <c r="AG24" i="8"/>
  <c r="AJ24" i="8"/>
  <c r="AK24" i="8"/>
  <c r="AL24" i="8"/>
  <c r="AM24" i="8"/>
  <c r="AO24" i="8"/>
  <c r="AP24" i="8"/>
  <c r="N25" i="8"/>
  <c r="T25" i="8"/>
  <c r="AE25" i="8"/>
  <c r="AF25" i="8"/>
  <c r="AG25" i="8"/>
  <c r="AJ25" i="8"/>
  <c r="AK25" i="8"/>
  <c r="AL25" i="8"/>
  <c r="AM25" i="8"/>
  <c r="AO25" i="8"/>
  <c r="AP25" i="8"/>
  <c r="N26" i="8"/>
  <c r="T26" i="8"/>
  <c r="AE26" i="8"/>
  <c r="AF26" i="8"/>
  <c r="AG26" i="8"/>
  <c r="AJ26" i="8"/>
  <c r="AK26" i="8"/>
  <c r="AL26" i="8"/>
  <c r="AM26" i="8"/>
  <c r="AO26" i="8"/>
  <c r="AP26" i="8"/>
  <c r="N27" i="8"/>
  <c r="T27" i="8"/>
  <c r="AE27" i="8"/>
  <c r="AF27" i="8"/>
  <c r="AG27" i="8"/>
  <c r="AJ27" i="8"/>
  <c r="AK27" i="8"/>
  <c r="AL27" i="8"/>
  <c r="AM27" i="8"/>
  <c r="AO27" i="8"/>
  <c r="AP27" i="8"/>
  <c r="N28" i="8"/>
  <c r="T28" i="8"/>
  <c r="AE28" i="8"/>
  <c r="AF28" i="8"/>
  <c r="AG28" i="8"/>
  <c r="AJ28" i="8"/>
  <c r="AK28" i="8"/>
  <c r="AL28" i="8"/>
  <c r="AM28" i="8"/>
  <c r="AO28" i="8"/>
  <c r="AP28" i="8"/>
  <c r="N29" i="8"/>
  <c r="T29" i="8"/>
  <c r="AE29" i="8"/>
  <c r="AF29" i="8"/>
  <c r="AG29" i="8"/>
  <c r="AJ29" i="8"/>
  <c r="AK29" i="8"/>
  <c r="AL29" i="8"/>
  <c r="AM29" i="8"/>
  <c r="AO29" i="8"/>
  <c r="AP29" i="8"/>
  <c r="N30" i="8"/>
  <c r="T30" i="8"/>
  <c r="AE30" i="8"/>
  <c r="AF30" i="8"/>
  <c r="AG30" i="8"/>
  <c r="AJ30" i="8"/>
  <c r="AK30" i="8"/>
  <c r="AL30" i="8"/>
  <c r="AM30" i="8"/>
  <c r="AO30" i="8"/>
  <c r="AP30" i="8"/>
  <c r="N31" i="8"/>
  <c r="T31" i="8"/>
  <c r="AE31" i="8"/>
  <c r="AF31" i="8"/>
  <c r="AG31" i="8"/>
  <c r="AJ31" i="8"/>
  <c r="AK31" i="8"/>
  <c r="AL31" i="8"/>
  <c r="AM31" i="8"/>
  <c r="AO31" i="8"/>
  <c r="AP31" i="8"/>
  <c r="N32" i="8"/>
  <c r="T32" i="8"/>
  <c r="AE32" i="8"/>
  <c r="AF32" i="8"/>
  <c r="AG32" i="8"/>
  <c r="AJ32" i="8"/>
  <c r="AK32" i="8"/>
  <c r="AL32" i="8"/>
  <c r="AM32" i="8"/>
  <c r="AO32" i="8"/>
  <c r="AP32" i="8"/>
  <c r="N33" i="8"/>
  <c r="T33" i="8"/>
  <c r="AE33" i="8"/>
  <c r="AF33" i="8"/>
  <c r="AG33" i="8"/>
  <c r="AJ33" i="8"/>
  <c r="AK33" i="8"/>
  <c r="AL33" i="8"/>
  <c r="AM33" i="8"/>
  <c r="AO33" i="8"/>
  <c r="AP33" i="8"/>
  <c r="N34" i="8"/>
  <c r="T34" i="8"/>
  <c r="AE34" i="8"/>
  <c r="AF34" i="8"/>
  <c r="AG34" i="8"/>
  <c r="AJ34" i="8"/>
  <c r="AK34" i="8"/>
  <c r="AL34" i="8"/>
  <c r="AM34" i="8"/>
  <c r="AO34" i="8"/>
  <c r="AP34" i="8"/>
  <c r="N35" i="8"/>
  <c r="T35" i="8"/>
  <c r="AE35" i="8"/>
  <c r="AF35" i="8"/>
  <c r="AG35" i="8"/>
  <c r="AJ35" i="8"/>
  <c r="AK35" i="8"/>
  <c r="AL35" i="8"/>
  <c r="AM35" i="8"/>
  <c r="AO35" i="8"/>
  <c r="AP35" i="8"/>
  <c r="N36" i="8"/>
  <c r="T36" i="8"/>
  <c r="AE36" i="8"/>
  <c r="AF36" i="8"/>
  <c r="AG36" i="8"/>
  <c r="AJ36" i="8"/>
  <c r="AK36" i="8"/>
  <c r="AL36" i="8"/>
  <c r="AM36" i="8"/>
  <c r="AO36" i="8"/>
  <c r="AP36" i="8"/>
  <c r="N37" i="8"/>
  <c r="T37" i="8"/>
  <c r="AE37" i="8"/>
  <c r="AF37" i="8"/>
  <c r="AG37" i="8"/>
  <c r="AJ37" i="8"/>
  <c r="AK37" i="8"/>
  <c r="AL37" i="8"/>
  <c r="AM37" i="8"/>
  <c r="AO37" i="8"/>
  <c r="AP37" i="8"/>
  <c r="N38" i="8"/>
  <c r="T38" i="8"/>
  <c r="AE38" i="8"/>
  <c r="AF38" i="8"/>
  <c r="AG38" i="8"/>
  <c r="AJ38" i="8"/>
  <c r="AK38" i="8"/>
  <c r="AL38" i="8"/>
  <c r="AM38" i="8"/>
  <c r="AO38" i="8"/>
  <c r="AP38" i="8"/>
  <c r="N39" i="8"/>
  <c r="T39" i="8"/>
  <c r="AE39" i="8"/>
  <c r="AF39" i="8"/>
  <c r="AG39" i="8"/>
  <c r="AJ39" i="8"/>
  <c r="AK39" i="8"/>
  <c r="AL39" i="8"/>
  <c r="AM39" i="8"/>
  <c r="AO39" i="8"/>
  <c r="AP39" i="8"/>
  <c r="N40" i="8"/>
  <c r="T40" i="8"/>
  <c r="AE40" i="8"/>
  <c r="AF40" i="8"/>
  <c r="AG40" i="8"/>
  <c r="AJ40" i="8"/>
  <c r="AK40" i="8"/>
  <c r="AL40" i="8"/>
  <c r="AM40" i="8"/>
  <c r="AO40" i="8"/>
  <c r="AP40" i="8"/>
  <c r="N41" i="8"/>
  <c r="T41" i="8"/>
  <c r="AE41" i="8"/>
  <c r="AF41" i="8"/>
  <c r="AG41" i="8"/>
  <c r="AJ41" i="8"/>
  <c r="AK41" i="8"/>
  <c r="AL41" i="8"/>
  <c r="AM41" i="8"/>
  <c r="AO41" i="8"/>
  <c r="AP41" i="8"/>
  <c r="N42" i="8"/>
  <c r="T42" i="8"/>
  <c r="AE42" i="8"/>
  <c r="AF42" i="8"/>
  <c r="AG42" i="8"/>
  <c r="AJ42" i="8"/>
  <c r="AK42" i="8"/>
  <c r="AL42" i="8"/>
  <c r="AM42" i="8"/>
  <c r="AO42" i="8"/>
  <c r="AP42" i="8"/>
  <c r="N43" i="8"/>
  <c r="T43" i="8"/>
  <c r="AE43" i="8"/>
  <c r="AF43" i="8"/>
  <c r="AG43" i="8"/>
  <c r="AJ43" i="8"/>
  <c r="AK43" i="8"/>
  <c r="AL43" i="8"/>
  <c r="AM43" i="8"/>
  <c r="AO43" i="8"/>
  <c r="AP43" i="8"/>
  <c r="N44" i="8"/>
  <c r="T44" i="8"/>
  <c r="AE44" i="8"/>
  <c r="AF44" i="8"/>
  <c r="AG44" i="8"/>
  <c r="AJ44" i="8"/>
  <c r="AK44" i="8"/>
  <c r="AL44" i="8"/>
  <c r="AM44" i="8"/>
  <c r="AO44" i="8"/>
  <c r="AP44" i="8"/>
  <c r="N45" i="8"/>
  <c r="T45" i="8"/>
  <c r="AE45" i="8"/>
  <c r="AF45" i="8"/>
  <c r="AG45" i="8"/>
  <c r="AJ45" i="8"/>
  <c r="AK45" i="8"/>
  <c r="AL45" i="8"/>
  <c r="AM45" i="8"/>
  <c r="AO45" i="8"/>
  <c r="AP45" i="8"/>
  <c r="N46" i="8"/>
  <c r="T46" i="8"/>
  <c r="AE46" i="8"/>
  <c r="AF46" i="8"/>
  <c r="AG46" i="8"/>
  <c r="AJ46" i="8"/>
  <c r="AK46" i="8"/>
  <c r="AL46" i="8"/>
  <c r="AM46" i="8"/>
  <c r="AO46" i="8"/>
  <c r="AP46" i="8"/>
  <c r="N47" i="8"/>
  <c r="T47" i="8"/>
  <c r="AE47" i="8"/>
  <c r="AF47" i="8"/>
  <c r="AG47" i="8"/>
  <c r="AJ47" i="8"/>
  <c r="AK47" i="8"/>
  <c r="AL47" i="8"/>
  <c r="AM47" i="8"/>
  <c r="AO47" i="8"/>
  <c r="AP47" i="8"/>
  <c r="N48" i="8"/>
  <c r="T48" i="8"/>
  <c r="AE48" i="8"/>
  <c r="AF48" i="8"/>
  <c r="AG48" i="8"/>
  <c r="AJ48" i="8"/>
  <c r="AK48" i="8"/>
  <c r="AL48" i="8"/>
  <c r="AM48" i="8"/>
  <c r="AO48" i="8"/>
  <c r="AP48" i="8"/>
  <c r="N49" i="8"/>
  <c r="T49" i="8"/>
  <c r="AE49" i="8"/>
  <c r="AF49" i="8"/>
  <c r="AG49" i="8"/>
  <c r="AJ49" i="8"/>
  <c r="AK49" i="8"/>
  <c r="AL49" i="8"/>
  <c r="AM49" i="8"/>
  <c r="AO49" i="8"/>
  <c r="AP49" i="8"/>
  <c r="N50" i="8"/>
  <c r="T50" i="8"/>
  <c r="AE50" i="8"/>
  <c r="AF50" i="8"/>
  <c r="AG50" i="8"/>
  <c r="AJ50" i="8"/>
  <c r="AK50" i="8"/>
  <c r="AL50" i="8"/>
  <c r="AM50" i="8"/>
  <c r="AO50" i="8"/>
  <c r="AP50" i="8"/>
  <c r="N51" i="8"/>
  <c r="T51" i="8"/>
  <c r="AE51" i="8"/>
  <c r="AF51" i="8"/>
  <c r="AG51" i="8"/>
  <c r="AJ51" i="8"/>
  <c r="AK51" i="8"/>
  <c r="AL51" i="8"/>
  <c r="AM51" i="8"/>
  <c r="AO51" i="8"/>
  <c r="AP51" i="8"/>
  <c r="N53" i="8"/>
  <c r="T53" i="8"/>
  <c r="AE53" i="8"/>
  <c r="AF53" i="8"/>
  <c r="AG53" i="8"/>
  <c r="AJ53" i="8"/>
  <c r="AK53" i="8"/>
  <c r="AL53" i="8"/>
  <c r="AM53" i="8"/>
  <c r="AO53" i="8"/>
  <c r="AP53" i="8"/>
  <c r="AO55" i="8"/>
  <c r="AP55" i="8"/>
  <c r="AE58" i="8"/>
  <c r="AF58" i="8"/>
  <c r="N5" i="9"/>
  <c r="T5" i="9"/>
  <c r="AE5" i="9"/>
  <c r="AF5" i="9"/>
  <c r="AG5" i="9"/>
  <c r="AJ5" i="9"/>
  <c r="AK5" i="9"/>
  <c r="AL5" i="9"/>
  <c r="AM5" i="9"/>
  <c r="AO5" i="9"/>
  <c r="AP5" i="9"/>
  <c r="N6" i="9"/>
  <c r="T6" i="9"/>
  <c r="AE6" i="9"/>
  <c r="AF6" i="9"/>
  <c r="AG6" i="9"/>
  <c r="AJ6" i="9"/>
  <c r="AK6" i="9"/>
  <c r="AL6" i="9"/>
  <c r="AM6" i="9"/>
  <c r="AO6" i="9"/>
  <c r="AP6" i="9"/>
  <c r="N7" i="9"/>
  <c r="T7" i="9"/>
  <c r="AE7" i="9"/>
  <c r="AF7" i="9"/>
  <c r="AG7" i="9"/>
  <c r="AJ7" i="9"/>
  <c r="AK7" i="9"/>
  <c r="AL7" i="9"/>
  <c r="AM7" i="9"/>
  <c r="AO7" i="9"/>
  <c r="AP7" i="9"/>
  <c r="N8" i="9"/>
  <c r="T8" i="9"/>
  <c r="AE8" i="9"/>
  <c r="AF8" i="9"/>
  <c r="AG8" i="9"/>
  <c r="AJ8" i="9"/>
  <c r="AK8" i="9"/>
  <c r="AL8" i="9"/>
  <c r="AM8" i="9"/>
  <c r="AO8" i="9"/>
  <c r="AP8" i="9"/>
  <c r="N9" i="9"/>
  <c r="T9" i="9"/>
  <c r="AE9" i="9"/>
  <c r="AF9" i="9"/>
  <c r="AG9" i="9"/>
  <c r="AJ9" i="9"/>
  <c r="AK9" i="9"/>
  <c r="AL9" i="9"/>
  <c r="AM9" i="9"/>
  <c r="AO9" i="9"/>
  <c r="AP9" i="9"/>
  <c r="N10" i="9"/>
  <c r="T10" i="9"/>
  <c r="AE10" i="9"/>
  <c r="AF10" i="9"/>
  <c r="AG10" i="9"/>
  <c r="AJ10" i="9"/>
  <c r="AK10" i="9"/>
  <c r="AL10" i="9"/>
  <c r="AM10" i="9"/>
  <c r="AO10" i="9"/>
  <c r="AP10" i="9"/>
  <c r="N11" i="9"/>
  <c r="T11" i="9"/>
  <c r="AE11" i="9"/>
  <c r="AF11" i="9"/>
  <c r="AG11" i="9"/>
  <c r="AJ11" i="9"/>
  <c r="AK11" i="9"/>
  <c r="AL11" i="9"/>
  <c r="AM11" i="9"/>
  <c r="AO11" i="9"/>
  <c r="AP11" i="9"/>
  <c r="N12" i="9"/>
  <c r="T12" i="9"/>
  <c r="AE12" i="9"/>
  <c r="AF12" i="9"/>
  <c r="AG12" i="9"/>
  <c r="AJ12" i="9"/>
  <c r="AK12" i="9"/>
  <c r="AL12" i="9"/>
  <c r="AM12" i="9"/>
  <c r="AO12" i="9"/>
  <c r="AP12" i="9"/>
  <c r="N13" i="9"/>
  <c r="T13" i="9"/>
  <c r="AE13" i="9"/>
  <c r="AF13" i="9"/>
  <c r="AG13" i="9"/>
  <c r="AJ13" i="9"/>
  <c r="AK13" i="9"/>
  <c r="AL13" i="9"/>
  <c r="AM13" i="9"/>
  <c r="AO13" i="9"/>
  <c r="AP13" i="9"/>
  <c r="N14" i="9"/>
  <c r="T14" i="9"/>
  <c r="AE14" i="9"/>
  <c r="AF14" i="9"/>
  <c r="AG14" i="9"/>
  <c r="AJ14" i="9"/>
  <c r="AK14" i="9"/>
  <c r="AL14" i="9"/>
  <c r="AM14" i="9"/>
  <c r="AO14" i="9"/>
  <c r="AP14" i="9"/>
  <c r="N15" i="9"/>
  <c r="T15" i="9"/>
  <c r="AE15" i="9"/>
  <c r="AF15" i="9"/>
  <c r="AG15" i="9"/>
  <c r="AJ15" i="9"/>
  <c r="AK15" i="9"/>
  <c r="AL15" i="9"/>
  <c r="AM15" i="9"/>
  <c r="AO15" i="9"/>
  <c r="AP15" i="9"/>
  <c r="N16" i="9"/>
  <c r="T16" i="9"/>
  <c r="AE16" i="9"/>
  <c r="AF16" i="9"/>
  <c r="AG16" i="9"/>
  <c r="AJ16" i="9"/>
  <c r="AK16" i="9"/>
  <c r="AL16" i="9"/>
  <c r="AM16" i="9"/>
  <c r="AO16" i="9"/>
  <c r="AP16" i="9"/>
  <c r="N17" i="9"/>
  <c r="T17" i="9"/>
  <c r="AE17" i="9"/>
  <c r="AF17" i="9"/>
  <c r="AG17" i="9"/>
  <c r="AJ17" i="9"/>
  <c r="AK17" i="9"/>
  <c r="AL17" i="9"/>
  <c r="AM17" i="9"/>
  <c r="AO17" i="9"/>
  <c r="AP17" i="9"/>
  <c r="N18" i="9"/>
  <c r="T18" i="9"/>
  <c r="AE18" i="9"/>
  <c r="AF18" i="9"/>
  <c r="AG18" i="9"/>
  <c r="AJ18" i="9"/>
  <c r="AK18" i="9"/>
  <c r="AL18" i="9"/>
  <c r="AM18" i="9"/>
  <c r="AO18" i="9"/>
  <c r="AP18" i="9"/>
  <c r="N19" i="9"/>
  <c r="T19" i="9"/>
  <c r="AE19" i="9"/>
  <c r="AF19" i="9"/>
  <c r="AG19" i="9"/>
  <c r="AJ19" i="9"/>
  <c r="AK19" i="9"/>
  <c r="AL19" i="9"/>
  <c r="AM19" i="9"/>
  <c r="AO19" i="9"/>
  <c r="AP19" i="9"/>
  <c r="N20" i="9"/>
  <c r="T20" i="9"/>
  <c r="AE20" i="9"/>
  <c r="AF20" i="9"/>
  <c r="AG20" i="9"/>
  <c r="AJ20" i="9"/>
  <c r="AK20" i="9"/>
  <c r="AL20" i="9"/>
  <c r="AM20" i="9"/>
  <c r="AO20" i="9"/>
  <c r="AP20" i="9"/>
  <c r="N21" i="9"/>
  <c r="T21" i="9"/>
  <c r="AE21" i="9"/>
  <c r="AF21" i="9"/>
  <c r="AG21" i="9"/>
  <c r="AJ21" i="9"/>
  <c r="AK21" i="9"/>
  <c r="AL21" i="9"/>
  <c r="AM21" i="9"/>
  <c r="AO21" i="9"/>
  <c r="AP21" i="9"/>
  <c r="N22" i="9"/>
  <c r="T22" i="9"/>
  <c r="AE22" i="9"/>
  <c r="AF22" i="9"/>
  <c r="AG22" i="9"/>
  <c r="AJ22" i="9"/>
  <c r="AK22" i="9"/>
  <c r="AL22" i="9"/>
  <c r="AM22" i="9"/>
  <c r="AO22" i="9"/>
  <c r="AP22" i="9"/>
  <c r="N23" i="9"/>
  <c r="T23" i="9"/>
  <c r="AE23" i="9"/>
  <c r="AF23" i="9"/>
  <c r="AG23" i="9"/>
  <c r="AJ23" i="9"/>
  <c r="AK23" i="9"/>
  <c r="AL23" i="9"/>
  <c r="AM23" i="9"/>
  <c r="AO23" i="9"/>
  <c r="AP23" i="9"/>
  <c r="N24" i="9"/>
  <c r="T24" i="9"/>
  <c r="AE24" i="9"/>
  <c r="AF24" i="9"/>
  <c r="AG24" i="9"/>
  <c r="AJ24" i="9"/>
  <c r="AK24" i="9"/>
  <c r="AL24" i="9"/>
  <c r="AM24" i="9"/>
  <c r="AO24" i="9"/>
  <c r="AP24" i="9"/>
  <c r="N25" i="9"/>
  <c r="T25" i="9"/>
  <c r="AE25" i="9"/>
  <c r="AF25" i="9"/>
  <c r="AG25" i="9"/>
  <c r="AJ25" i="9"/>
  <c r="AK25" i="9"/>
  <c r="AL25" i="9"/>
  <c r="AM25" i="9"/>
  <c r="AO25" i="9"/>
  <c r="AP25" i="9"/>
  <c r="N26" i="9"/>
  <c r="T26" i="9"/>
  <c r="AE26" i="9"/>
  <c r="AF26" i="9"/>
  <c r="AG26" i="9"/>
  <c r="AJ26" i="9"/>
  <c r="AK26" i="9"/>
  <c r="AL26" i="9"/>
  <c r="AM26" i="9"/>
  <c r="AO26" i="9"/>
  <c r="AP26" i="9"/>
  <c r="N27" i="9"/>
  <c r="T27" i="9"/>
  <c r="AE27" i="9"/>
  <c r="AF27" i="9"/>
  <c r="AG27" i="9"/>
  <c r="AJ27" i="9"/>
  <c r="AK27" i="9"/>
  <c r="AL27" i="9"/>
  <c r="AM27" i="9"/>
  <c r="AO27" i="9"/>
  <c r="AP27" i="9"/>
  <c r="N28" i="9"/>
  <c r="T28" i="9"/>
  <c r="AE28" i="9"/>
  <c r="AF28" i="9"/>
  <c r="AG28" i="9"/>
  <c r="AJ28" i="9"/>
  <c r="AK28" i="9"/>
  <c r="AL28" i="9"/>
  <c r="AM28" i="9"/>
  <c r="AO28" i="9"/>
  <c r="AP28" i="9"/>
  <c r="N29" i="9"/>
  <c r="T29" i="9"/>
  <c r="AE29" i="9"/>
  <c r="AF29" i="9"/>
  <c r="AG29" i="9"/>
  <c r="AJ29" i="9"/>
  <c r="AK29" i="9"/>
  <c r="AL29" i="9"/>
  <c r="AM29" i="9"/>
  <c r="AO29" i="9"/>
  <c r="AP29" i="9"/>
  <c r="N30" i="9"/>
  <c r="T30" i="9"/>
  <c r="AE30" i="9"/>
  <c r="AF30" i="9"/>
  <c r="AG30" i="9"/>
  <c r="AJ30" i="9"/>
  <c r="AK30" i="9"/>
  <c r="AL30" i="9"/>
  <c r="AM30" i="9"/>
  <c r="AO30" i="9"/>
  <c r="AP30" i="9"/>
  <c r="N31" i="9"/>
  <c r="T31" i="9"/>
  <c r="AE31" i="9"/>
  <c r="AF31" i="9"/>
  <c r="AG31" i="9"/>
  <c r="AJ31" i="9"/>
  <c r="AK31" i="9"/>
  <c r="AL31" i="9"/>
  <c r="AM31" i="9"/>
  <c r="AO31" i="9"/>
  <c r="AP31" i="9"/>
  <c r="N32" i="9"/>
  <c r="T32" i="9"/>
  <c r="AE32" i="9"/>
  <c r="AF32" i="9"/>
  <c r="AG32" i="9"/>
  <c r="AJ32" i="9"/>
  <c r="AK32" i="9"/>
  <c r="AL32" i="9"/>
  <c r="AM32" i="9"/>
  <c r="AO32" i="9"/>
  <c r="AP32" i="9"/>
  <c r="N33" i="9"/>
  <c r="T33" i="9"/>
  <c r="AE33" i="9"/>
  <c r="AF33" i="9"/>
  <c r="AG33" i="9"/>
  <c r="AJ33" i="9"/>
  <c r="AK33" i="9"/>
  <c r="AL33" i="9"/>
  <c r="AM33" i="9"/>
  <c r="AO33" i="9"/>
  <c r="AP33" i="9"/>
  <c r="N34" i="9"/>
  <c r="T34" i="9"/>
  <c r="AE34" i="9"/>
  <c r="AF34" i="9"/>
  <c r="AG34" i="9"/>
  <c r="AJ34" i="9"/>
  <c r="AK34" i="9"/>
  <c r="AL34" i="9"/>
  <c r="AM34" i="9"/>
  <c r="AO34" i="9"/>
  <c r="AP34" i="9"/>
  <c r="N35" i="9"/>
  <c r="T35" i="9"/>
  <c r="AE35" i="9"/>
  <c r="AF35" i="9"/>
  <c r="AG35" i="9"/>
  <c r="AJ35" i="9"/>
  <c r="AK35" i="9"/>
  <c r="AL35" i="9"/>
  <c r="AM35" i="9"/>
  <c r="AO35" i="9"/>
  <c r="AP35" i="9"/>
  <c r="N36" i="9"/>
  <c r="T36" i="9"/>
  <c r="AE36" i="9"/>
  <c r="AF36" i="9"/>
  <c r="AG36" i="9"/>
  <c r="AJ36" i="9"/>
  <c r="AK36" i="9"/>
  <c r="AL36" i="9"/>
  <c r="AM36" i="9"/>
  <c r="AO36" i="9"/>
  <c r="AP36" i="9"/>
  <c r="N37" i="9"/>
  <c r="T37" i="9"/>
  <c r="AE37" i="9"/>
  <c r="AF37" i="9"/>
  <c r="AG37" i="9"/>
  <c r="AJ37" i="9"/>
  <c r="AK37" i="9"/>
  <c r="AL37" i="9"/>
  <c r="AM37" i="9"/>
  <c r="AO37" i="9"/>
  <c r="AP37" i="9"/>
  <c r="N38" i="9"/>
  <c r="T38" i="9"/>
  <c r="AE38" i="9"/>
  <c r="AF38" i="9"/>
  <c r="AG38" i="9"/>
  <c r="AJ38" i="9"/>
  <c r="AK38" i="9"/>
  <c r="AL38" i="9"/>
  <c r="AM38" i="9"/>
  <c r="AO38" i="9"/>
  <c r="AP38" i="9"/>
  <c r="N39" i="9"/>
  <c r="T39" i="9"/>
  <c r="AE39" i="9"/>
  <c r="AF39" i="9"/>
  <c r="AG39" i="9"/>
  <c r="AJ39" i="9"/>
  <c r="AK39" i="9"/>
  <c r="AL39" i="9"/>
  <c r="AM39" i="9"/>
  <c r="AO39" i="9"/>
  <c r="AP39" i="9"/>
  <c r="N40" i="9"/>
  <c r="T40" i="9"/>
  <c r="AE40" i="9"/>
  <c r="AF40" i="9"/>
  <c r="AG40" i="9"/>
  <c r="AJ40" i="9"/>
  <c r="AK40" i="9"/>
  <c r="AL40" i="9"/>
  <c r="AM40" i="9"/>
  <c r="AO40" i="9"/>
  <c r="AP40" i="9"/>
  <c r="N41" i="9"/>
  <c r="T41" i="9"/>
  <c r="AE41" i="9"/>
  <c r="AF41" i="9"/>
  <c r="AG41" i="9"/>
  <c r="AJ41" i="9"/>
  <c r="AK41" i="9"/>
  <c r="AL41" i="9"/>
  <c r="AM41" i="9"/>
  <c r="AO41" i="9"/>
  <c r="AP41" i="9"/>
  <c r="N42" i="9"/>
  <c r="T42" i="9"/>
  <c r="AE42" i="9"/>
  <c r="AF42" i="9"/>
  <c r="AG42" i="9"/>
  <c r="AJ42" i="9"/>
  <c r="AK42" i="9"/>
  <c r="AL42" i="9"/>
  <c r="AM42" i="9"/>
  <c r="AO42" i="9"/>
  <c r="AP42" i="9"/>
  <c r="N43" i="9"/>
  <c r="T43" i="9"/>
  <c r="AE43" i="9"/>
  <c r="AF43" i="9"/>
  <c r="AG43" i="9"/>
  <c r="AJ43" i="9"/>
  <c r="AK43" i="9"/>
  <c r="AL43" i="9"/>
  <c r="AM43" i="9"/>
  <c r="AO43" i="9"/>
  <c r="AP43" i="9"/>
  <c r="N44" i="9"/>
  <c r="T44" i="9"/>
  <c r="AE44" i="9"/>
  <c r="AF44" i="9"/>
  <c r="AG44" i="9"/>
  <c r="AJ44" i="9"/>
  <c r="AK44" i="9"/>
  <c r="AL44" i="9"/>
  <c r="AM44" i="9"/>
  <c r="AO44" i="9"/>
  <c r="AP44" i="9"/>
  <c r="N45" i="9"/>
  <c r="T45" i="9"/>
  <c r="AE45" i="9"/>
  <c r="AF45" i="9"/>
  <c r="AG45" i="9"/>
  <c r="AJ45" i="9"/>
  <c r="AK45" i="9"/>
  <c r="AL45" i="9"/>
  <c r="AM45" i="9"/>
  <c r="AO45" i="9"/>
  <c r="AP45" i="9"/>
  <c r="N46" i="9"/>
  <c r="T46" i="9"/>
  <c r="AE46" i="9"/>
  <c r="AF46" i="9"/>
  <c r="AG46" i="9"/>
  <c r="AJ46" i="9"/>
  <c r="AK46" i="9"/>
  <c r="AL46" i="9"/>
  <c r="AM46" i="9"/>
  <c r="AO46" i="9"/>
  <c r="AP46" i="9"/>
  <c r="N47" i="9"/>
  <c r="T47" i="9"/>
  <c r="AE47" i="9"/>
  <c r="AF47" i="9"/>
  <c r="AG47" i="9"/>
  <c r="AJ47" i="9"/>
  <c r="AK47" i="9"/>
  <c r="AL47" i="9"/>
  <c r="AM47" i="9"/>
  <c r="AO47" i="9"/>
  <c r="AP47" i="9"/>
  <c r="N48" i="9"/>
  <c r="T48" i="9"/>
  <c r="AE48" i="9"/>
  <c r="AF48" i="9"/>
  <c r="AG48" i="9"/>
  <c r="AJ48" i="9"/>
  <c r="AK48" i="9"/>
  <c r="AL48" i="9"/>
  <c r="AM48" i="9"/>
  <c r="AO48" i="9"/>
  <c r="AP48" i="9"/>
  <c r="N49" i="9"/>
  <c r="T49" i="9"/>
  <c r="AE49" i="9"/>
  <c r="AF49" i="9"/>
  <c r="AG49" i="9"/>
  <c r="AJ49" i="9"/>
  <c r="AK49" i="9"/>
  <c r="AL49" i="9"/>
  <c r="AM49" i="9"/>
  <c r="AO49" i="9"/>
  <c r="AP49" i="9"/>
  <c r="N50" i="9"/>
  <c r="T50" i="9"/>
  <c r="AE50" i="9"/>
  <c r="AF50" i="9"/>
  <c r="AG50" i="9"/>
  <c r="AJ50" i="9"/>
  <c r="AK50" i="9"/>
  <c r="AL50" i="9"/>
  <c r="AM50" i="9"/>
  <c r="AO50" i="9"/>
  <c r="AP50" i="9"/>
  <c r="N51" i="9"/>
  <c r="T51" i="9"/>
  <c r="AE51" i="9"/>
  <c r="AF51" i="9"/>
  <c r="AG51" i="9"/>
  <c r="AJ51" i="9"/>
  <c r="AK51" i="9"/>
  <c r="AL51" i="9"/>
  <c r="AM51" i="9"/>
  <c r="AO51" i="9"/>
  <c r="AP51" i="9"/>
  <c r="N53" i="9"/>
  <c r="T53" i="9"/>
  <c r="AE53" i="9"/>
  <c r="AF53" i="9"/>
  <c r="AG53" i="9"/>
  <c r="AJ53" i="9"/>
  <c r="AK53" i="9"/>
  <c r="AL53" i="9"/>
  <c r="AM53" i="9"/>
  <c r="AO53" i="9"/>
  <c r="AP53" i="9"/>
  <c r="AO55" i="9"/>
  <c r="AP5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1937D601-4885-4EEA-997C-6593EEA666AE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360BEB-E72A-41EF-91E3-6D76904AE81A}" name="Conexão" type="7" refreshedVersion="8" background="1" saveData="1"/>
  <connection id="2" xr16:uid="{C44CCE17-C6CE-48D7-B953-78DEEB09055B}" name="Conexão1" type="7" refreshedVersion="8" background="1" saveData="1"/>
  <connection id="3" xr16:uid="{761967BC-B477-4B75-B97D-9A57AED451F6}" name="Conexão2" type="7" refreshedVersion="8" background="1" saveData="1"/>
</connections>
</file>

<file path=xl/sharedStrings.xml><?xml version="1.0" encoding="utf-8"?>
<sst xmlns="http://schemas.openxmlformats.org/spreadsheetml/2006/main" count="25332" uniqueCount="1066">
  <si>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</si>
  <si>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</si>
  <si>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</si>
  <si>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</si>
  <si>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</si>
  <si>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</si>
  <si>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</si>
  <si>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</si>
  <si>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</si>
  <si>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</si>
  <si>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</si>
  <si>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</si>
  <si>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</si>
  <si>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</si>
  <si>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</si>
  <si>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</si>
  <si>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</si>
  <si>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</si>
  <si>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</si>
  <si>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</si>
  <si>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</si>
  <si>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</si>
  <si>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</si>
  <si>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</si>
  <si>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</si>
  <si>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</si>
  <si>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</si>
  <si>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</si>
  <si>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</si>
  <si>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</si>
  <si>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</si>
  <si>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</si>
  <si>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</si>
  <si>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</si>
  <si>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Industrial</t>
  </si>
  <si>
    <t>A4</t>
  </si>
  <si>
    <t>Azul</t>
  </si>
  <si>
    <t>Ponta</t>
  </si>
  <si>
    <t>Fora ponta</t>
  </si>
  <si>
    <t>Verde</t>
  </si>
  <si>
    <t>Comercial</t>
  </si>
  <si>
    <t>B2</t>
  </si>
  <si>
    <t>Rural</t>
  </si>
  <si>
    <t>Poder público</t>
  </si>
  <si>
    <t>B4</t>
  </si>
  <si>
    <t>Iluminação pública</t>
  </si>
  <si>
    <t>Iluminação pública – B4a</t>
  </si>
  <si>
    <t>Serviço público</t>
  </si>
  <si>
    <t>Água, esgoto e saneamento</t>
  </si>
  <si>
    <t>Agropecuária rural</t>
  </si>
  <si>
    <t>IRRIG./AQUIC.</t>
  </si>
  <si>
    <t>IRRIG./AQUIC. PR</t>
  </si>
  <si>
    <t>Aquicultura</t>
  </si>
  <si>
    <t>Geração</t>
  </si>
  <si>
    <t>CGH ABAÚNA</t>
  </si>
  <si>
    <t>GERAÇÃO</t>
  </si>
  <si>
    <t>CGH CASCATDA DAS ANDORINHAS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</si>
  <si>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</si>
  <si>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</si>
  <si>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</si>
  <si>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</si>
  <si>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</si>
  <si>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</si>
  <si>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</si>
  <si>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</si>
  <si>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</si>
  <si>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</si>
  <si>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</si>
  <si>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</si>
  <si>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</si>
  <si>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</si>
  <si>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</si>
  <si>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</si>
  <si>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</si>
  <si>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</si>
  <si>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</si>
  <si>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Energia convencional</t>
  </si>
  <si>
    <t>E</t>
  </si>
  <si>
    <t>kW</t>
  </si>
  <si>
    <t>DP</t>
  </si>
  <si>
    <t>DFP</t>
  </si>
  <si>
    <t>APE</t>
  </si>
  <si>
    <t>B</t>
  </si>
  <si>
    <t>TIPO 01</t>
  </si>
  <si>
    <t>TIPO 02</t>
  </si>
  <si>
    <t>EINT</t>
  </si>
  <si>
    <t>Branca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</si>
  <si>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</si>
  <si>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</si>
  <si>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</si>
  <si>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</si>
  <si>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B4b</t>
  </si>
  <si>
    <t>CHAVE TUSD</t>
  </si>
  <si>
    <t>44378A4AzulNão se aplicaNão se aplicaNão se aplicaNão se aplicaFora ponta</t>
  </si>
  <si>
    <t>44409A4AzulNão se aplicaNão se aplicaNão se aplicaNão se aplicaFora ponta</t>
  </si>
  <si>
    <t>44440A4AzulNão se aplicaNão se aplicaNão se aplicaNão se aplicaFora ponta</t>
  </si>
  <si>
    <t>44470A4AzulNão se aplicaNão se aplicaNão se aplicaNão se aplicaFora ponta</t>
  </si>
  <si>
    <t>44501A4AzulNão se aplicaNão se aplicaNão se aplicaNão se aplicaFora ponta</t>
  </si>
  <si>
    <t>44531A4AzulNão se aplicaNão se aplicaNão se aplicaNão se aplicaFora ponta</t>
  </si>
  <si>
    <t>44562A4AzulNão se aplicaNão se aplicaNão se aplicaNão se aplicaFora ponta</t>
  </si>
  <si>
    <t>44593A4AzulNão se aplicaNão se aplicaNão se aplicaNão se aplicaFora ponta</t>
  </si>
  <si>
    <t>44621A4AzulNão se aplicaNão se aplicaNão se aplicaNão se aplicaFora ponta</t>
  </si>
  <si>
    <t>44652A4AzulNão se aplicaNão se aplicaNão se aplicaNão se aplicaFora ponta</t>
  </si>
  <si>
    <t>44682A4AzulNão se aplicaNão se aplicaNão se aplicaNão se aplicaFora ponta</t>
  </si>
  <si>
    <t>44713A4AzulNão se aplicaNão se aplicaNão se aplicaNão se aplicaFora ponta</t>
  </si>
  <si>
    <t>44378A4AzulNão se aplicaNão se aplicaNão se aplicaNão se aplicaPonta</t>
  </si>
  <si>
    <t>44409A4AzulNão se aplicaNão se aplicaNão se aplicaNão se aplicaPonta</t>
  </si>
  <si>
    <t>44440A4AzulNão se aplicaNão se aplicaNão se aplicaNão se aplicaPonta</t>
  </si>
  <si>
    <t>44470A4AzulNão se aplicaNão se aplicaNão se aplicaNão se aplicaPonta</t>
  </si>
  <si>
    <t>44501A4AzulNão se aplicaNão se aplicaNão se aplicaNão se aplicaPonta</t>
  </si>
  <si>
    <t>44531A4AzulNão se aplicaNão se aplicaNão se aplicaNão se aplicaPonta</t>
  </si>
  <si>
    <t>44562A4AzulNão se aplicaNão se aplicaNão se aplicaNão se aplicaPonta</t>
  </si>
  <si>
    <t>44593A4AzulNão se aplicaNão se aplicaNão se aplicaNão se aplicaPonta</t>
  </si>
  <si>
    <t>44621A4AzulNão se aplicaNão se aplicaNão se aplicaNão se aplicaPonta</t>
  </si>
  <si>
    <t>44652A4AzulNão se aplicaNão se aplicaNão se aplicaNão se aplicaPonta</t>
  </si>
  <si>
    <t>44682A4AzulNão se aplicaNão se aplicaNão se aplicaNão se aplicaPonta</t>
  </si>
  <si>
    <t>44713A4AzulNão se aplicaNão se aplicaNão se aplicaNão se aplicaPonta</t>
  </si>
  <si>
    <t>44378A4GeraçãoNão se aplicaNão se aplicaNão se aplicaNão se aplicaNão se aplica</t>
  </si>
  <si>
    <t>44409A4GeraçãoNão se aplicaNão se aplicaNão se aplicaNão se aplicaNão se aplica</t>
  </si>
  <si>
    <t>44440A4GeraçãoNão se aplicaNão se aplicaNão se aplicaNão se aplicaNão se aplica</t>
  </si>
  <si>
    <t>44470A4GeraçãoNão se aplicaNão se aplicaNão se aplicaNão se aplicaNão se aplica</t>
  </si>
  <si>
    <t>44501A4GeraçãoNão se aplicaNão se aplicaNão se aplicaNão se aplicaNão se aplica</t>
  </si>
  <si>
    <t>44531A4GeraçãoNão se aplicaNão se aplicaNão se aplicaNão se aplicaNão se aplica</t>
  </si>
  <si>
    <t>44562A4GeraçãoNão se aplicaNão se aplicaNão se aplicaNão se aplicaNão se aplica</t>
  </si>
  <si>
    <t>44593A4GeraçãoNão se aplicaNão se aplicaNão se aplicaNão se aplicaNão se aplica</t>
  </si>
  <si>
    <t>44621A4GeraçãoNão se aplicaNão se aplicaNão se aplicaNão se aplicaNão se aplica</t>
  </si>
  <si>
    <t>44652A4GeraçãoNão se aplicaNão se aplicaNão se aplicaNão se aplicaNão se aplica</t>
  </si>
  <si>
    <t>44682A4GeraçãoNão se aplicaNão se aplicaNão se aplicaNão se aplicaNão se aplica</t>
  </si>
  <si>
    <t>44713A4GeraçãoNão se aplicaNão se aplicaNão se aplicaNão se aplicaNão se aplica</t>
  </si>
  <si>
    <t>44378A4VerdeNão se aplicaNão se aplicaNão se aplicaNão se aplicaFora ponta</t>
  </si>
  <si>
    <t>44409A4VerdeNão se aplicaNão se aplicaNão se aplicaNão se aplicaFora ponta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</si>
  <si>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</si>
  <si>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</si>
  <si>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</si>
  <si>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</si>
  <si>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</si>
  <si>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</si>
  <si>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</si>
  <si>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</si>
  <si>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</si>
  <si>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</si>
  <si>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44378A4VerdeNão se aplicaNão se aplicaNão se aplicaNão se aplicaNão se aplica</t>
  </si>
  <si>
    <t>44409A4VerdeNão se aplicaNão se aplicaNão se aplicaNão se aplicaNão se aplica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</si>
  <si>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</si>
  <si>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</si>
  <si>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</si>
  <si>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</si>
  <si>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</si>
  <si>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</si>
  <si>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</si>
  <si>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</si>
  <si>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</si>
  <si>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</si>
  <si>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44378A4VerdeNão se aplicaNão se aplicaNão se aplicaNão se aplicaPonta</t>
  </si>
  <si>
    <t>44409A4VerdeNão se aplicaNão se aplicaNão se aplicaNão se aplicaPonta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</si>
  <si>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</si>
  <si>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</si>
  <si>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</si>
  <si>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</si>
  <si>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</si>
  <si>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</si>
  <si>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</si>
  <si>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</si>
  <si>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</si>
  <si>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</si>
  <si>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44378B1ConvencionalResidencialResidencialNão se aplicaNão se aplicaNão se aplica</t>
  </si>
  <si>
    <t>44409B1ConvencionalResidencialResidencialNão se aplicaNão se aplicaNão se aplica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</si>
  <si>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</si>
  <si>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</si>
  <si>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</si>
  <si>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</si>
  <si>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</si>
  <si>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</si>
  <si>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</si>
  <si>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</si>
  <si>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</si>
  <si>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</si>
  <si>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44378B1ConvencionalResidencialResidencial baixa renda – faixa 01Não se aplicaNão se aplicaNão se aplica</t>
  </si>
  <si>
    <t>44409B1ConvencionalResidencialResidencial baixa renda – faixa 01Não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</si>
  <si>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</si>
  <si>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</si>
  <si>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</si>
  <si>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</si>
  <si>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</si>
  <si>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</si>
  <si>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</si>
  <si>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</si>
  <si>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</si>
  <si>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</si>
  <si>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44378B1ConvencionalResidencialResidencial baixa renda – faixa 02Não se aplicaNão se aplicaNão se aplica</t>
  </si>
  <si>
    <t>44409B1ConvencionalResidencialResidencial baixa renda – faixa 02Não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</si>
  <si>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</si>
  <si>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</si>
  <si>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</si>
  <si>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</si>
  <si>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</si>
  <si>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</si>
  <si>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</si>
  <si>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</si>
  <si>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</si>
  <si>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</si>
  <si>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44378B1ConvencionalResidencialResidencial baixa renda – faixa 03Não se aplicaNão se aplicaNão se aplica</t>
  </si>
  <si>
    <t>44409B1ConvencionalResidencialResidencial baixa renda – faixa 03Não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</si>
  <si>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</si>
  <si>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</si>
  <si>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</si>
  <si>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</si>
  <si>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</si>
  <si>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</si>
  <si>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</si>
  <si>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</si>
  <si>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</si>
  <si>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</si>
  <si>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44378B1ConvencionalResidencialResidencial baixa renda – faixa 04Não se aplicaNão se aplicaNão se aplica</t>
  </si>
  <si>
    <t>44409B1ConvencionalResidencialResidencial baixa renda – faixa 04Não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</si>
  <si>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</si>
  <si>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</si>
  <si>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</si>
  <si>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</si>
  <si>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</si>
  <si>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</si>
  <si>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</si>
  <si>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</si>
  <si>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</si>
  <si>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</si>
  <si>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44378B2ConvencionalRuralNão se aplicaNão se aplicaNão se aplicaNão se aplica</t>
  </si>
  <si>
    <t>44409B2ConvencionalRuralNão se aplicaNão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</si>
  <si>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</si>
  <si>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</si>
  <si>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</si>
  <si>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</si>
  <si>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</si>
  <si>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</si>
  <si>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</si>
  <si>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</si>
  <si>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</si>
  <si>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</si>
  <si>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44378B3ConvencionalNão se aplicaNão se aplicaNão se aplicaNão se aplicaNão se aplica</t>
  </si>
  <si>
    <t>44409B3ConvencionalNão se aplicaNão se aplicaNão se aplicaNão se aplicaNão se aplica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</si>
  <si>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</si>
  <si>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</si>
  <si>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</si>
  <si>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</si>
  <si>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</si>
  <si>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</si>
  <si>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</si>
  <si>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</si>
  <si>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</si>
  <si>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</si>
  <si>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44378B4ConvencionalIluminação públicaIluminação pública – B4aNão se aplicaNão se aplicaNão se aplica</t>
  </si>
  <si>
    <t>44409B4ConvencionalIluminação públicaIluminação pública – B4aNão se aplicaNão se aplicaNão se aplica</t>
  </si>
  <si>
    <t>44440B4ConvencionalIluminação públicaIluminação pública – B4aNão se aplicaNão se aplicaNão se aplica</t>
  </si>
  <si>
    <t>44470B4ConvencionalIluminação públicaIluminação pública – B4aNão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</si>
  <si>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</si>
  <si>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</si>
  <si>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</si>
  <si>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</si>
  <si>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</si>
  <si>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</si>
  <si>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</si>
  <si>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</si>
  <si>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CHAVE TE</t>
  </si>
  <si>
    <t>44378A4Energia horáriaNão se aplicaNão se aplicaNão se aplicaNão se aplicaFora ponta</t>
  </si>
  <si>
    <t>44409A4Energia horáriaNão se aplicaNão se aplicaNão se aplicaNão se aplicaFora ponta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</si>
  <si>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</si>
  <si>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</si>
  <si>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</si>
  <si>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</si>
  <si>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</si>
  <si>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</si>
  <si>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</si>
  <si>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</si>
  <si>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</si>
  <si>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</si>
  <si>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44378A4Energia horáriaNão se aplicaNão se aplicaNão se aplicaNão se aplicaPonta</t>
  </si>
  <si>
    <t>44409A4Energia horáriaNão se aplicaNão se aplicaNão se aplicaNão se aplicaPonta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</si>
  <si>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</si>
  <si>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</si>
  <si>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</si>
  <si>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</si>
  <si>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</si>
  <si>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</si>
  <si>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</si>
  <si>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</si>
  <si>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</si>
  <si>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</si>
  <si>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</si>
  <si>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</si>
  <si>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</si>
  <si>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</si>
  <si>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44378B1Energia convencionalResidencialResidencialNão se aplicaNão se aplicaNão se aplica</t>
  </si>
  <si>
    <t>44409B1Energia convencionalResidencialResidencialNão se aplicaNão se aplicaNão se aplica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</si>
  <si>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</si>
  <si>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</si>
  <si>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</si>
  <si>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</si>
  <si>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</si>
  <si>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</si>
  <si>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</si>
  <si>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</si>
  <si>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</si>
  <si>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</si>
  <si>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44378B1Energia convencionalResidencialResidencial baixa renda – faixa 01Não se aplicaNão se aplicaNão se aplica</t>
  </si>
  <si>
    <t>44409B1Energia convencionalResidencialResidencial baixa renda – faixa 01Não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</si>
  <si>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</si>
  <si>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</si>
  <si>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</si>
  <si>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</si>
  <si>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</si>
  <si>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</si>
  <si>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</si>
  <si>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</si>
  <si>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</si>
  <si>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</si>
  <si>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44378B1Energia convencionalResidencialResidencial baixa renda – faixa 02Não se aplicaNão se aplicaNão se aplica</t>
  </si>
  <si>
    <t>44409B1Energia convencionalResidencialResidencial baixa renda – faixa 02Não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</si>
  <si>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</si>
  <si>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</si>
  <si>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</si>
  <si>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</si>
  <si>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</si>
  <si>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</si>
  <si>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</si>
  <si>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</si>
  <si>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</si>
  <si>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</si>
  <si>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44378B1Energia convencionalResidencialResidencial baixa renda – faixa 03Não se aplicaNão se aplicaNão se aplica</t>
  </si>
  <si>
    <t>44409B1Energia convencionalResidencialResidencial baixa renda – faixa 03Não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</si>
  <si>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</si>
  <si>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</si>
  <si>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</si>
  <si>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</si>
  <si>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</si>
  <si>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</si>
  <si>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</si>
  <si>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</si>
  <si>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</si>
  <si>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</si>
  <si>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44378B1Energia convencionalResidencialResidencial baixa renda – faixa 04Não se aplicaNão se aplicaNão se aplica</t>
  </si>
  <si>
    <t>44409B1Energia convencionalResidencialResidencial baixa renda – faixa 04Não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</si>
  <si>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</si>
  <si>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</si>
  <si>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</si>
  <si>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</si>
  <si>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</si>
  <si>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</si>
  <si>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</si>
  <si>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</si>
  <si>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</si>
  <si>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</si>
  <si>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44378B2Energia convencionalRuralNão se aplicaNão se aplicaNão se aplicaNão se aplica</t>
  </si>
  <si>
    <t>44409B2Energia convencionalRuralNão se aplicaNão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</si>
  <si>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</si>
  <si>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</si>
  <si>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</si>
  <si>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</si>
  <si>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</si>
  <si>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</si>
  <si>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</si>
  <si>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</si>
  <si>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</si>
  <si>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</si>
  <si>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44378B3Energia convencionalNão se aplicaNão se aplicaNão se aplicaNão se aplicaNão se aplica</t>
  </si>
  <si>
    <t>44409B3Energia convencionalNão se aplicaNão se aplicaNão se aplicaNão se aplicaNão se aplica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</si>
  <si>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</si>
  <si>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</si>
  <si>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</si>
  <si>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</si>
  <si>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</si>
  <si>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</si>
  <si>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</si>
  <si>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</si>
  <si>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</si>
  <si>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</si>
  <si>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44378B4Energia convencionalIluminação públicaIluminação pública – B4aNão se aplicaNão se aplicaNão se aplica</t>
  </si>
  <si>
    <t>44409B4Energia convencionalIluminação públicaIluminação pública – B4aNão se aplicaNão se aplicaNão se aplica</t>
  </si>
  <si>
    <t>44440B4Energia convencionalIluminação públicaIluminação pública – B4aNão se aplicaNão se aplicaNão se aplica</t>
  </si>
  <si>
    <t>44470B4Energia convencionalIluminação públicaIluminação pública – B4aNão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</si>
  <si>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</si>
  <si>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</si>
  <si>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</si>
  <si>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</si>
  <si>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</si>
  <si>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</si>
  <si>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</si>
  <si>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</si>
  <si>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</si>
  <si>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</si>
  <si>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</si>
  <si>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</si>
  <si>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</si>
  <si>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</si>
  <si>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</si>
  <si>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</si>
  <si>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</si>
  <si>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</si>
  <si>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</si>
  <si>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</si>
  <si>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</si>
  <si>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</si>
  <si>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</si>
  <si>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</si>
  <si>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</si>
  <si>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</si>
  <si>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</si>
  <si>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</si>
  <si>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</si>
  <si>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</si>
  <si>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</si>
  <si>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</si>
  <si>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</si>
  <si>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</si>
  <si>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</si>
  <si>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</si>
  <si>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</si>
  <si>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</si>
  <si>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</si>
  <si>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</si>
  <si>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</si>
  <si>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</si>
  <si>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</si>
  <si>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</si>
  <si>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</si>
  <si>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</si>
  <si>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</si>
  <si>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</si>
  <si>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</si>
  <si>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</si>
  <si>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</si>
  <si>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</si>
  <si>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</si>
  <si>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</si>
  <si>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</si>
  <si>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</si>
  <si>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</si>
  <si>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</si>
  <si>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</si>
  <si>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</si>
  <si>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</si>
  <si>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</si>
  <si>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</si>
  <si>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</si>
  <si>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</si>
  <si>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</si>
  <si>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</si>
  <si>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</si>
  <si>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</si>
  <si>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</si>
  <si>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</si>
  <si>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</si>
  <si>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</si>
  <si>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</si>
  <si>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</si>
  <si>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</si>
  <si>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</si>
  <si>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</si>
  <si>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</si>
  <si>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</si>
  <si>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</si>
  <si>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</si>
  <si>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</si>
  <si>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</si>
  <si>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</si>
  <si>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</si>
  <si>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</si>
  <si>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</si>
  <si>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</si>
  <si>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</si>
  <si>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</si>
  <si>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</si>
  <si>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</si>
  <si>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</si>
  <si>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</si>
  <si>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</si>
  <si>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</si>
  <si>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</si>
  <si>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</si>
  <si>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</si>
  <si>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</si>
  <si>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</si>
  <si>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</si>
  <si>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</si>
  <si>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</si>
  <si>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</si>
  <si>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</si>
  <si>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</si>
  <si>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</si>
  <si>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2.911, DE 27 DE JULHO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</si>
  <si>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</si>
  <si>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</si>
  <si>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</si>
  <si>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</si>
  <si>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</si>
  <si>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</si>
  <si>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</si>
  <si>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</si>
  <si>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</si>
  <si>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</si>
  <si>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</si>
  <si>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(SUB)GRUPO</t>
  </si>
  <si>
    <t>TUSD (R$)</t>
  </si>
  <si>
    <t>TUSD (MWh)</t>
  </si>
  <si>
    <t>PNT (R$/MWh)</t>
  </si>
  <si>
    <t>VAR. AX01</t>
  </si>
  <si>
    <t>VAR. AX02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</si>
  <si>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</si>
  <si>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</si>
  <si>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</si>
  <si>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</si>
  <si>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</si>
  <si>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</si>
  <si>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</si>
  <si>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</si>
  <si>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</si>
  <si>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</si>
  <si>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</si>
  <si>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</si>
  <si>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</si>
  <si>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</si>
  <si>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</si>
  <si>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</si>
  <si>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</si>
  <si>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</si>
  <si>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</si>
  <si>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</si>
  <si>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</si>
  <si>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</si>
  <si>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</si>
  <si>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</si>
  <si>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</si>
  <si>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</si>
  <si>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</si>
  <si>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Energia</t>
  </si>
  <si>
    <t>Ativa</t>
  </si>
  <si>
    <t>Potência</t>
  </si>
  <si>
    <t>Intermediário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</si>
  <si>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</si>
  <si>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</si>
  <si>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</si>
  <si>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</si>
  <si>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</si>
  <si>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</si>
  <si>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</si>
  <si>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</si>
  <si>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</si>
  <si>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</si>
  <si>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</si>
  <si>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</si>
  <si>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</si>
  <si>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</si>
  <si>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</si>
  <si>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</si>
  <si>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</si>
  <si>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</si>
  <si>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</si>
  <si>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Planilha Custo</t>
  </si>
  <si>
    <t>Planilha CUSTO</t>
  </si>
  <si>
    <t xml:space="preserve">Branca 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</si>
  <si>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</si>
  <si>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</si>
  <si>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</si>
  <si>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</si>
  <si>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</si>
  <si>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</si>
  <si>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</si>
  <si>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</si>
  <si>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</si>
  <si>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</si>
  <si>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</si>
  <si>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</si>
  <si>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</si>
  <si>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</si>
  <si>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</si>
  <si>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</si>
  <si>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</si>
  <si>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</si>
  <si>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</si>
  <si>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</si>
  <si>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</si>
  <si>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</si>
  <si>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</si>
  <si>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</si>
  <si>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</si>
  <si>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</si>
  <si>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</si>
  <si>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</si>
  <si>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</si>
  <si>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</si>
  <si>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GERAÇÃO FONTE INCENTIVADA</t>
  </si>
  <si>
    <t>SUBSIDIO RURAL</t>
  </si>
  <si>
    <t>SUBSIDIO IRRIGANTE/AQUICULTOR</t>
  </si>
  <si>
    <t>SUBSIDIO BAIXA RENDA</t>
  </si>
  <si>
    <t>SUBSIDIO ÁGUA, ESGOTO E SANEAMENTO</t>
  </si>
  <si>
    <t>R$ (TV)</t>
  </si>
  <si>
    <t>R$ (TN)</t>
  </si>
  <si>
    <t>SUBSIDIO CARGA FONTE INCENTIVADA</t>
  </si>
  <si>
    <t>SUBSIDIO DISTRIBUIÇÃO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</si>
  <si>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</si>
  <si>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</si>
  <si>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</si>
  <si>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</si>
  <si>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</si>
  <si>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</si>
  <si>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</si>
  <si>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</si>
  <si>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Convencional1RuralNão se aplicaRuralB2</t>
  </si>
  <si>
    <t>2021</t>
  </si>
  <si>
    <t>Azul1RuralNão se aplicaPlanilha CustoA4</t>
  </si>
  <si>
    <t>Verde1RuralNão se aplicaPlanilha CustoA4</t>
  </si>
  <si>
    <t>Azul1Serviço públicoÁgua, esgoto e saneamentoPlanilha CUSTOA4</t>
  </si>
  <si>
    <t>Verde1Serviço públicoÁgua, esgoto e saneamentoPlanilha CUSTOA4</t>
  </si>
  <si>
    <t>Branca1RuralNão se aplicaRuralB2</t>
  </si>
  <si>
    <t>Convencional1RuralCooperativa de eletrificação ruralPlanilha CUSTOB2</t>
  </si>
  <si>
    <t>Branca 1RuralCooperativa de eletrificação ruralPlanilha CUSTOB2</t>
  </si>
  <si>
    <t>Convencional1RuralServiço público de irrigação ruralPlanilha CUSTOB2</t>
  </si>
  <si>
    <t>Branca 1RuralServiço público de irrigação ruralPlanilha CUSTOB2</t>
  </si>
  <si>
    <t>Convencional1Serviço públicoÁgua, esgoto e saneamentoPlanilha CUSTOB3</t>
  </si>
  <si>
    <t>Branca1Serviço públicoÁgua, esgoto e saneamentoPlanilha CUSTOB3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</si>
  <si>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</si>
  <si>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</si>
  <si>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</si>
  <si>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</si>
  <si>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</si>
  <si>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</si>
  <si>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</si>
  <si>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</si>
  <si>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</si>
  <si>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</si>
  <si>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</si>
  <si>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</si>
  <si>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</si>
  <si>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</si>
  <si>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</si>
  <si>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</si>
  <si>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</si>
  <si>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</si>
  <si>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</si>
  <si>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</si>
  <si>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</si>
  <si>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</si>
  <si>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</si>
  <si>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</si>
  <si>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</si>
  <si>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</si>
  <si>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</si>
  <si>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</si>
  <si>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</si>
  <si>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</si>
  <si>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</si>
  <si>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</si>
  <si>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</si>
  <si>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</si>
  <si>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</si>
  <si>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</si>
  <si>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</si>
  <si>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</si>
  <si>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</si>
  <si>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</si>
  <si>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</si>
  <si>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</si>
  <si>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</si>
  <si>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</si>
  <si>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</si>
  <si>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</si>
  <si>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</si>
  <si>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</si>
  <si>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</si>
  <si>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</si>
  <si>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</si>
  <si>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</si>
  <si>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</si>
  <si>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</si>
  <si>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</si>
  <si>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</si>
  <si>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</si>
  <si>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</si>
  <si>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</si>
  <si>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</si>
  <si>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</si>
  <si>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</si>
  <si>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</si>
  <si>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</si>
  <si>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</si>
  <si>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</si>
  <si>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</si>
  <si>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</si>
  <si>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</si>
  <si>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</si>
  <si>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</si>
  <si>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</si>
  <si>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</si>
  <si>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</si>
  <si>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</si>
  <si>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</si>
  <si>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</si>
  <si>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</si>
  <si>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</si>
  <si>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</si>
  <si>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</si>
  <si>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</si>
  <si>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</si>
  <si>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</si>
  <si>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</si>
  <si>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</si>
  <si>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</si>
  <si>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</si>
  <si>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</si>
  <si>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</si>
  <si>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</si>
  <si>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</si>
  <si>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</si>
  <si>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</si>
  <si>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</si>
  <si>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</si>
  <si>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</si>
  <si>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</si>
  <si>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</si>
  <si>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</si>
  <si>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</si>
  <si>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</si>
  <si>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</si>
  <si>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</si>
  <si>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</si>
  <si>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</si>
  <si>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</si>
  <si>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</si>
  <si>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</si>
  <si>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</si>
  <si>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</si>
  <si>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</si>
  <si>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</si>
  <si>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</si>
  <si>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</si>
  <si>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</si>
  <si>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</si>
  <si>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</si>
  <si>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</si>
  <si>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</si>
  <si>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</si>
  <si>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</si>
  <si>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</si>
  <si>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</si>
  <si>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</si>
  <si>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</si>
  <si>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</si>
  <si>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</si>
  <si>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</si>
  <si>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</si>
  <si>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</si>
  <si>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</si>
  <si>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</si>
  <si>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</si>
  <si>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</si>
  <si>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</si>
  <si>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</si>
  <si>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</si>
  <si>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</si>
  <si>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</si>
  <si>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</si>
  <si>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</si>
  <si>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</si>
  <si>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</si>
  <si>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</si>
  <si>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</si>
  <si>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</si>
  <si>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</si>
  <si>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</si>
  <si>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</si>
  <si>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</si>
  <si>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</si>
  <si>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</si>
  <si>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</si>
  <si>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</si>
  <si>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</si>
  <si>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</si>
  <si>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</si>
  <si>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</si>
  <si>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</si>
  <si>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</si>
  <si>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</si>
  <si>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</si>
  <si>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</si>
  <si>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</si>
  <si>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</si>
  <si>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</si>
  <si>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</si>
  <si>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</si>
  <si>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</si>
  <si>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</si>
  <si>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</si>
  <si>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</si>
  <si>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</si>
  <si>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</si>
  <si>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</si>
  <si>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</si>
  <si>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</si>
  <si>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</si>
  <si>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</si>
  <si>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</si>
  <si>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</si>
  <si>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</si>
  <si>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</si>
  <si>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</si>
  <si>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</si>
  <si>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</si>
  <si>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</si>
  <si>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</si>
  <si>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</si>
  <si>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</si>
  <si>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</si>
  <si>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</si>
  <si>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</si>
  <si>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</si>
  <si>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</si>
  <si>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</si>
  <si>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</si>
  <si>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</si>
  <si>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</si>
  <si>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</si>
  <si>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</si>
  <si>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</si>
  <si>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</si>
  <si>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</si>
  <si>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</si>
  <si>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</si>
  <si>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</si>
  <si>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</si>
  <si>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</si>
  <si>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</si>
  <si>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</si>
  <si>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</si>
  <si>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</si>
  <si>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</si>
  <si>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</si>
  <si>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</si>
  <si>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</si>
  <si>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</si>
  <si>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</si>
  <si>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</si>
  <si>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</si>
  <si>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</si>
  <si>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</si>
  <si>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</si>
  <si>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</si>
  <si>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</si>
  <si>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</si>
  <si>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</si>
  <si>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</si>
  <si>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</si>
  <si>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</si>
  <si>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</si>
  <si>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</si>
  <si>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</si>
  <si>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</si>
  <si>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</si>
  <si>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</si>
  <si>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</si>
  <si>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</si>
  <si>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</si>
  <si>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</si>
  <si>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</si>
  <si>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</si>
  <si>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</si>
  <si>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</si>
  <si>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</si>
  <si>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A4Energia convencional</t>
  </si>
  <si>
    <t>A4Energia convencionalNão se aplica</t>
  </si>
  <si>
    <t>A4Energia convencionalNão se aplicaNão se aplica</t>
  </si>
  <si>
    <t>A4Energia convencionalNão se aplicaNão se aplicaNão se aplica</t>
  </si>
  <si>
    <t>A4Energia convencionalNão se aplicaNão se aplicaNão se aplicaNão se aplica</t>
  </si>
  <si>
    <t>A4Energia convencionalNão se aplicaNão se aplicaNão se aplicaNão se aplicaE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</si>
  <si>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</si>
  <si>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</si>
  <si>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</si>
  <si>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</si>
  <si>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</si>
  <si>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</si>
  <si>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</si>
  <si>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</si>
  <si>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</si>
  <si>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</si>
  <si>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</si>
  <si>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</si>
  <si>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</si>
  <si>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</si>
  <si>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</si>
  <si>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</si>
  <si>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</si>
  <si>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</si>
  <si>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</si>
  <si>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</si>
  <si>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</si>
  <si>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</si>
  <si>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</si>
  <si>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</si>
  <si>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</si>
  <si>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</si>
  <si>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</si>
  <si>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</si>
  <si>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</si>
  <si>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</si>
  <si>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</si>
  <si>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</si>
  <si>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</si>
  <si>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</si>
  <si>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</si>
  <si>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</si>
  <si>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</si>
  <si>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</si>
  <si>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</si>
  <si>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</si>
  <si>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</si>
  <si>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</si>
  <si>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</si>
  <si>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</si>
  <si>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</si>
  <si>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</si>
  <si>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</si>
  <si>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</si>
  <si>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</si>
  <si>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</si>
  <si>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</si>
  <si>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</si>
  <si>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</si>
  <si>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</si>
  <si>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</si>
  <si>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</si>
  <si>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</si>
  <si>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</si>
  <si>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</si>
  <si>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</si>
  <si>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</si>
  <si>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</si>
  <si>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</si>
  <si>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</si>
  <si>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</si>
  <si>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</si>
  <si>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</si>
  <si>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</si>
  <si>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</si>
  <si>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</si>
  <si>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</si>
  <si>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</si>
  <si>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</si>
  <si>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</si>
  <si>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</si>
  <si>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</si>
  <si>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</si>
  <si>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</si>
  <si>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</si>
  <si>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</si>
  <si>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</si>
  <si>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</si>
  <si>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</si>
  <si>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</si>
  <si>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</si>
  <si>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</si>
  <si>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</si>
  <si>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</si>
  <si>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</si>
  <si>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</si>
  <si>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</si>
  <si>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</si>
  <si>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</si>
  <si>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</si>
  <si>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</si>
  <si>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</si>
  <si>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</si>
  <si>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</si>
  <si>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</si>
  <si>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</si>
  <si>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</si>
  <si>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</si>
  <si>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</si>
  <si>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</si>
  <si>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</si>
  <si>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</si>
  <si>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</si>
  <si>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</si>
  <si>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</si>
  <si>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</si>
  <si>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</si>
  <si>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</si>
  <si>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</si>
  <si>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</si>
  <si>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</si>
  <si>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</si>
  <si>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</si>
  <si>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</si>
  <si>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</si>
  <si>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</si>
  <si>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</si>
  <si>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</si>
  <si>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</si>
  <si>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</si>
  <si>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</si>
  <si>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</si>
  <si>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</si>
  <si>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</si>
  <si>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</si>
  <si>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</si>
  <si>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</si>
  <si>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</si>
  <si>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</si>
  <si>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</si>
  <si>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</si>
  <si>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</si>
  <si>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</si>
  <si>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</si>
  <si>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</si>
  <si>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</si>
  <si>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</si>
  <si>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</si>
  <si>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</si>
  <si>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</si>
  <si>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</si>
  <si>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</si>
  <si>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</si>
  <si>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</si>
  <si>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</si>
  <si>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</si>
  <si>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</si>
  <si>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</si>
  <si>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</si>
  <si>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</si>
  <si>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</si>
  <si>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</si>
  <si>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</si>
  <si>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</si>
  <si>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</si>
  <si>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</si>
  <si>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</si>
  <si>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</si>
  <si>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</si>
  <si>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</si>
  <si>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</si>
  <si>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</si>
  <si>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</si>
  <si>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</si>
  <si>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</si>
  <si>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</si>
  <si>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</si>
  <si>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</si>
  <si>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</si>
  <si>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</si>
  <si>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</si>
  <si>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</si>
  <si>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</si>
  <si>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</si>
  <si>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</si>
  <si>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</si>
  <si>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</si>
  <si>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</si>
  <si>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</si>
  <si>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</si>
  <si>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</si>
  <si>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</si>
  <si>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</si>
  <si>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</si>
  <si>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</si>
  <si>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</si>
  <si>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TE_Per_RB</t>
  </si>
  <si>
    <t>Baixa Renda</t>
  </si>
  <si>
    <t>Perdas</t>
  </si>
  <si>
    <t xml:space="preserve">TUSD 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</si>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</sst>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,##0.00%_);[Red]\(#,##0.00%\)"/>
    <numFmt numFmtId="166" formatCode="#0.00%;[Red]#0.00%"/>
    <numFmt numFmtId="167" formatCode="0.00%_);[Red]\(0.00%\)"/>
    <numFmt numFmtId="168" formatCode="#,##0.00_);[Red]\(#,##0.00\)"/>
    <numFmt numFmtId="169" formatCode="#,##0.00;[Red]#,##0.00"/>
  </numFmts>
  <fonts count="1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132">
    <xf numFmtId="0" fontId="0" fillId="0" borderId="0" xfId="0"/>
    <xf numFmtId="0" fontId="2" fillId="0" borderId="0" xfId="0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horizontal="left" vertical="center" indent="1"/>
    </xf>
    <xf numFmtId="40" fontId="3" fillId="0" borderId="1" xfId="0" quotePrefix="1" applyNumberFormat="1" applyFont="1" applyBorder="1" applyAlignment="1">
      <alignment horizontal="left" vertical="center" indent="1"/>
    </xf>
    <xf numFmtId="0" fontId="3" fillId="0" borderId="1" xfId="0" applyFont="1" applyBorder="1"/>
    <xf numFmtId="40" fontId="3" fillId="0" borderId="1" xfId="0" applyNumberFormat="1" applyFont="1" applyBorder="1"/>
    <xf numFmtId="40" fontId="3" fillId="0" borderId="1" xfId="0" applyNumberFormat="1" applyFont="1" applyBorder="1" applyAlignment="1">
      <alignment horizontal="center" vertical="center"/>
    </xf>
    <xf numFmtId="40" fontId="3" fillId="0" borderId="8" xfId="0" applyNumberFormat="1" applyFont="1" applyBorder="1" applyAlignment="1">
      <alignment horizontal="left" vertical="center"/>
    </xf>
    <xf numFmtId="40" fontId="3" fillId="0" borderId="8" xfId="0" applyNumberFormat="1" applyFont="1" applyBorder="1" applyAlignment="1">
      <alignment vertical="center"/>
    </xf>
    <xf numFmtId="40" fontId="4" fillId="0" borderId="8" xfId="0" applyNumberFormat="1" applyFont="1" applyBorder="1" applyAlignment="1">
      <alignment horizontal="center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40" fontId="3" fillId="0" borderId="13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0" fontId="4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0" fontId="1" fillId="0" borderId="13" xfId="0" applyNumberFormat="1" applyFont="1" applyBorder="1" applyAlignment="1">
      <alignment horizontal="center" vertical="center"/>
    </xf>
    <xf numFmtId="166" fontId="1" fillId="0" borderId="13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7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3" xfId="0" applyFont="1" applyBorder="1"/>
    <xf numFmtId="0" fontId="4" fillId="0" borderId="13" xfId="0" applyFont="1" applyBorder="1"/>
    <xf numFmtId="40" fontId="1" fillId="2" borderId="0" xfId="0" applyNumberFormat="1" applyFont="1" applyFill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/>
    <xf numFmtId="40" fontId="2" fillId="0" borderId="13" xfId="0" applyNumberFormat="1" applyFont="1" applyBorder="1" applyAlignment="1">
      <alignment horizontal="center" vertical="center"/>
    </xf>
    <xf numFmtId="165" fontId="3" fillId="0" borderId="0" xfId="0" applyNumberFormat="1" applyFont="1"/>
    <xf numFmtId="164" fontId="1" fillId="0" borderId="0" xfId="1" applyFont="1" applyAlignment="1">
      <alignment horizontal="center" vertical="center"/>
    </xf>
    <xf numFmtId="0" fontId="8" fillId="0" borderId="0" xfId="0" pivotButton="1" applyFont="1"/>
    <xf numFmtId="168" fontId="8" fillId="0" borderId="0" xfId="0" applyNumberFormat="1" applyFont="1"/>
    <xf numFmtId="167" fontId="8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left" indent="2"/>
    </xf>
    <xf numFmtId="40" fontId="3" fillId="2" borderId="13" xfId="0" applyNumberFormat="1" applyFont="1" applyFill="1" applyBorder="1" applyAlignment="1">
      <alignment horizontal="center" vertical="center"/>
    </xf>
    <xf numFmtId="10" fontId="3" fillId="0" borderId="0" xfId="0" applyNumberFormat="1" applyFont="1"/>
    <xf numFmtId="2" fontId="9" fillId="3" borderId="14" xfId="0" applyNumberFormat="1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left" vertical="center" indent="1"/>
    </xf>
    <xf numFmtId="4" fontId="9" fillId="4" borderId="0" xfId="0" applyNumberFormat="1" applyFont="1" applyFill="1" applyAlignment="1">
      <alignment vertical="center"/>
    </xf>
    <xf numFmtId="0" fontId="9" fillId="4" borderId="0" xfId="0" applyFont="1" applyFill="1" applyAlignment="1">
      <alignment horizontal="left" vertical="center" indent="1"/>
    </xf>
    <xf numFmtId="10" fontId="9" fillId="3" borderId="0" xfId="0" applyNumberFormat="1" applyFont="1" applyFill="1" applyAlignment="1">
      <alignment vertical="center"/>
    </xf>
    <xf numFmtId="0" fontId="9" fillId="3" borderId="0" xfId="0" applyFont="1" applyFill="1" applyAlignment="1">
      <alignment horizontal="left" vertical="center" indent="1"/>
    </xf>
    <xf numFmtId="10" fontId="9" fillId="4" borderId="0" xfId="0" applyNumberFormat="1" applyFont="1" applyFill="1" applyAlignment="1">
      <alignment vertical="center"/>
    </xf>
    <xf numFmtId="0" fontId="10" fillId="5" borderId="15" xfId="0" applyFont="1" applyFill="1" applyBorder="1" applyAlignment="1">
      <alignment horizontal="center" vertical="center"/>
    </xf>
    <xf numFmtId="40" fontId="9" fillId="3" borderId="14" xfId="0" applyNumberFormat="1" applyFont="1" applyFill="1" applyBorder="1" applyAlignment="1">
      <alignment horizontal="center" vertical="center"/>
    </xf>
    <xf numFmtId="169" fontId="9" fillId="4" borderId="0" xfId="0" applyNumberFormat="1" applyFont="1" applyFill="1" applyAlignment="1">
      <alignment horizontal="center" vertical="center"/>
    </xf>
    <xf numFmtId="4" fontId="12" fillId="6" borderId="17" xfId="0" applyNumberFormat="1" applyFont="1" applyFill="1" applyBorder="1"/>
    <xf numFmtId="4" fontId="12" fillId="6" borderId="12" xfId="0" applyNumberFormat="1" applyFont="1" applyFill="1" applyBorder="1"/>
    <xf numFmtId="4" fontId="12" fillId="6" borderId="18" xfId="0" applyNumberFormat="1" applyFont="1" applyFill="1" applyBorder="1"/>
    <xf numFmtId="4" fontId="12" fillId="6" borderId="6" xfId="0" applyNumberFormat="1" applyFont="1" applyFill="1" applyBorder="1"/>
    <xf numFmtId="4" fontId="12" fillId="6" borderId="13" xfId="0" applyNumberFormat="1" applyFont="1" applyFill="1" applyBorder="1"/>
    <xf numFmtId="4" fontId="12" fillId="6" borderId="5" xfId="0" applyNumberFormat="1" applyFont="1" applyFill="1" applyBorder="1"/>
    <xf numFmtId="4" fontId="12" fillId="6" borderId="19" xfId="0" applyNumberFormat="1" applyFont="1" applyFill="1" applyBorder="1"/>
    <xf numFmtId="4" fontId="12" fillId="6" borderId="10" xfId="0" applyNumberFormat="1" applyFont="1" applyFill="1" applyBorder="1"/>
    <xf numFmtId="4" fontId="12" fillId="6" borderId="16" xfId="0" applyNumberFormat="1" applyFont="1" applyFill="1" applyBorder="1"/>
    <xf numFmtId="4" fontId="12" fillId="6" borderId="12" xfId="0" applyNumberFormat="1" applyFont="1" applyFill="1" applyBorder="1" applyAlignment="1">
      <alignment horizontal="center"/>
    </xf>
    <xf numFmtId="4" fontId="12" fillId="6" borderId="18" xfId="0" applyNumberFormat="1" applyFont="1" applyFill="1" applyBorder="1" applyAlignment="1">
      <alignment horizont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4" fillId="0" borderId="10" xfId="0" applyNumberFormat="1" applyFont="1" applyBorder="1" applyAlignment="1">
      <alignment horizontal="center" vertical="center"/>
    </xf>
    <xf numFmtId="40" fontId="6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12" fillId="6" borderId="13" xfId="0" applyNumberFormat="1" applyFont="1" applyFill="1" applyBorder="1" applyAlignment="1">
      <alignment horizontal="center"/>
    </xf>
    <xf numFmtId="4" fontId="12" fillId="6" borderId="5" xfId="0" applyNumberFormat="1" applyFont="1" applyFill="1" applyBorder="1" applyAlignment="1">
      <alignment horizontal="center"/>
    </xf>
    <xf numFmtId="4" fontId="12" fillId="6" borderId="12" xfId="0" applyNumberFormat="1" applyFont="1" applyFill="1" applyBorder="1" applyAlignment="1">
      <alignment horizontal="center"/>
    </xf>
    <xf numFmtId="4" fontId="12" fillId="6" borderId="18" xfId="0" applyNumberFormat="1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968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8" formatCode="#,##0.00_);[Red]\(#,##0.00\)"/>
    </dxf>
    <dxf>
      <numFmt numFmtId="168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7" formatCode="0.00%_);[Red]\(0.00%\)"/>
    </dxf>
    <dxf>
      <numFmt numFmtId="167" formatCode="0.00%_);[Red]\(0.00%\)"/>
    </dxf>
    <dxf>
      <numFmt numFmtId="168" formatCode="#,##0.00_);[Red]\(#,##0.00\)"/>
    </dxf>
    <dxf>
      <numFmt numFmtId="168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#,##0.00%_);[Red]\(#,##0.00%\)</c:formatCode>
                <c:ptCount val="22"/>
                <c:pt idx="0">
                  <c:v>0</c:v>
                </c:pt>
                <c:pt idx="1">
                  <c:v>5.5199832215001483E-4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7.5836840697223976E-2</c:v>
                </c:pt>
                <c:pt idx="6">
                  <c:v>1.389585411126007E-2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5.0113095630169663E-2</c:v>
                </c:pt>
                <c:pt idx="13">
                  <c:v>0</c:v>
                </c:pt>
                <c:pt idx="14">
                  <c:v>0</c:v>
                </c:pt>
                <c:pt idx="15">
                  <c:v>4.6848055958846689E-2</c:v>
                </c:pt>
                <c:pt idx="16">
                  <c:v>0</c:v>
                </c:pt>
                <c:pt idx="17">
                  <c:v>0</c:v>
                </c:pt>
                <c:pt idx="18">
                  <c:v>6.9180890048980929E-3</c:v>
                </c:pt>
                <c:pt idx="19">
                  <c:v>1.4132219606913174E-3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6E-4781-9319-19A73874540E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#,##0.00%_);[Red]\(#,##0.00%\)</c:formatCode>
                <c:ptCount val="22"/>
                <c:pt idx="0">
                  <c:v>0</c:v>
                </c:pt>
                <c:pt idx="1">
                  <c:v>7.5431079735002206E-4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7.6019913350823407E-2</c:v>
                </c:pt>
                <c:pt idx="6">
                  <c:v>1.5535354309591524E-2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5.2960735233899187E-2</c:v>
                </c:pt>
                <c:pt idx="13">
                  <c:v>0</c:v>
                </c:pt>
                <c:pt idx="14">
                  <c:v>0</c:v>
                </c:pt>
                <c:pt idx="15">
                  <c:v>3.5024623823540643E-2</c:v>
                </c:pt>
                <c:pt idx="16">
                  <c:v>0</c:v>
                </c:pt>
                <c:pt idx="17">
                  <c:v>0</c:v>
                </c:pt>
                <c:pt idx="18">
                  <c:v>-1.0067790899026312E-2</c:v>
                </c:pt>
                <c:pt idx="19">
                  <c:v>5.8398198722974274E-4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6E-4781-9319-19A73874540E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#,##0.00%_);[Red]\(#,##0.00%\)</c:formatCode>
                <c:ptCount val="22"/>
                <c:pt idx="0">
                  <c:v>0</c:v>
                </c:pt>
                <c:pt idx="1">
                  <c:v>7.5431079735002206E-4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7.6019913350823407E-2</c:v>
                </c:pt>
                <c:pt idx="6">
                  <c:v>1.5535354309591524E-2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5.2960735233899187E-2</c:v>
                </c:pt>
                <c:pt idx="13">
                  <c:v>0</c:v>
                </c:pt>
                <c:pt idx="14">
                  <c:v>0</c:v>
                </c:pt>
                <c:pt idx="15">
                  <c:v>3.5024623823540643E-2</c:v>
                </c:pt>
                <c:pt idx="16">
                  <c:v>0</c:v>
                </c:pt>
                <c:pt idx="17">
                  <c:v>0</c:v>
                </c:pt>
                <c:pt idx="18">
                  <c:v>-1.0067790899026312E-2</c:v>
                </c:pt>
                <c:pt idx="19">
                  <c:v>5.8398198722974274E-4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6E-4781-9319-19A73874540E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A26E-4781-9319-19A73874540E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A26E-4781-9319-19A73874540E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A26E-4781-9319-19A738745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906416"/>
        <c:axId val="856908384"/>
      </c:radarChart>
      <c:catAx>
        <c:axId val="8569064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856908384"/>
        <c:crosses val="autoZero"/>
        <c:auto val="1"/>
        <c:lblAlgn val="ctr"/>
        <c:lblOffset val="100"/>
        <c:noMultiLvlLbl val="0"/>
      </c:catAx>
      <c:valAx>
        <c:axId val="856908384"/>
        <c:scaling>
          <c:orientation val="minMax"/>
        </c:scaling>
        <c:delete val="0"/>
        <c:axPos val="l"/>
        <c:majorGridlines/>
        <c:numFmt formatCode="#,##0.00%_);[Red]\(#,##0.00%\)" sourceLinked="1"/>
        <c:majorTickMark val="out"/>
        <c:minorTickMark val="none"/>
        <c:tickLblPos val="nextTo"/>
        <c:crossAx val="856906416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#,##0.00%_);[Red]\(#,##0.00%\)</c:formatCode>
                <c:ptCount val="11"/>
                <c:pt idx="0">
                  <c:v>0</c:v>
                </c:pt>
                <c:pt idx="1">
                  <c:v>0.11194344990655998</c:v>
                </c:pt>
                <c:pt idx="2">
                  <c:v>0</c:v>
                </c:pt>
                <c:pt idx="3">
                  <c:v>0</c:v>
                </c:pt>
                <c:pt idx="4">
                  <c:v>-7.126070088086997E-2</c:v>
                </c:pt>
                <c:pt idx="5">
                  <c:v>-0.12448048591049998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3.0242854769005387E-2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86-4A63-8906-83A2827CD5D2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#,##0.00%_);[Red]\(#,##0.00%\)</c:formatCode>
                <c:ptCount val="11"/>
                <c:pt idx="0">
                  <c:v>0</c:v>
                </c:pt>
                <c:pt idx="1">
                  <c:v>0.10966073136880541</c:v>
                </c:pt>
                <c:pt idx="2">
                  <c:v>0</c:v>
                </c:pt>
                <c:pt idx="3">
                  <c:v>0</c:v>
                </c:pt>
                <c:pt idx="4">
                  <c:v>-6.9963174687242169E-2</c:v>
                </c:pt>
                <c:pt idx="5">
                  <c:v>-0.14017765032624299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2.9692188051616979E-2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86-4A63-8906-83A2827CD5D2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#,##0.00%_);[Red]\(#,##0.00%\)</c:formatCode>
                <c:ptCount val="11"/>
                <c:pt idx="0">
                  <c:v>0</c:v>
                </c:pt>
                <c:pt idx="1">
                  <c:v>0.10966073136880541</c:v>
                </c:pt>
                <c:pt idx="2">
                  <c:v>0</c:v>
                </c:pt>
                <c:pt idx="3">
                  <c:v>0</c:v>
                </c:pt>
                <c:pt idx="4">
                  <c:v>-6.9963174687242169E-2</c:v>
                </c:pt>
                <c:pt idx="5">
                  <c:v>-0.14017765032624299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2.9692188051616979E-2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86-4A63-8906-83A2827CD5D2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FD86-4A63-8906-83A2827CD5D2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FD86-4A63-8906-83A2827CD5D2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FD86-4A63-8906-83A2827CD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750408"/>
        <c:axId val="858750736"/>
      </c:radarChart>
      <c:catAx>
        <c:axId val="85875040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858750736"/>
        <c:crosses val="autoZero"/>
        <c:auto val="1"/>
        <c:lblAlgn val="ctr"/>
        <c:lblOffset val="100"/>
        <c:noMultiLvlLbl val="0"/>
      </c:catAx>
      <c:valAx>
        <c:axId val="858750736"/>
        <c:scaling>
          <c:orientation val="minMax"/>
        </c:scaling>
        <c:delete val="0"/>
        <c:axPos val="l"/>
        <c:majorGridlines/>
        <c:numFmt formatCode="#,##0.00%_);[Red]\(#,##0.00%\)" sourceLinked="1"/>
        <c:majorTickMark val="out"/>
        <c:minorTickMark val="none"/>
        <c:tickLblPos val="nextTo"/>
        <c:crossAx val="858750408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466726</xdr:colOff>
      <xdr:row>16</xdr:row>
      <xdr:rowOff>0</xdr:rowOff>
    </xdr:from>
    <xdr:to>
      <xdr:col>12</xdr:col>
      <xdr:colOff>304801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B507CD0-F5C1-074B-A7C1-0F555BCB3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466726</xdr:colOff>
      <xdr:row>16</xdr:row>
      <xdr:rowOff>0</xdr:rowOff>
    </xdr:from>
    <xdr:to>
      <xdr:col>12</xdr:col>
      <xdr:colOff>123826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331E9D-7B9B-ADCF-A499-A90167D44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763.607432986108" createdVersion="5" refreshedVersion="8" minRefreshableVersion="3" recordCount="271" xr:uid="{E9F630E1-1E03-46FD-AF10-04B5A53BAF4C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3">
        <s v="Geração"/>
        <s v="Verde"/>
        <s v="Convencional"/>
      </sharedItems>
    </cacheField>
    <cacheField name="Classe" numFmtId="0">
      <sharedItems count="4">
        <s v="Não se aplica"/>
        <s v="Rural"/>
        <s v="Residencial"/>
        <s v="Serviço público"/>
      </sharedItems>
    </cacheField>
    <cacheField name="Subclasse" numFmtId="0">
      <sharedItems count="9">
        <s v="Não se aplica"/>
        <s v="Agropecuária rural"/>
        <s v="Residencial"/>
        <s v="Residencial baixa renda – faixa 01"/>
        <s v="Residencial baixa renda – faixa 02"/>
        <s v="Residencial baixa renda – faixa 03"/>
        <s v="Residencial baixa renda – faixa 04"/>
        <s v="Aquicultura"/>
        <s v="Água, esgoto e saneamento"/>
      </sharedItems>
    </cacheField>
    <cacheField name="Detalhe" numFmtId="0">
      <sharedItems count="3">
        <s v="Não se aplica"/>
        <s v="IRRIG./AQUIC. PR"/>
        <s v="IRRIG./AQUIC."/>
      </sharedItems>
    </cacheField>
    <cacheField name="Agente" numFmtId="0">
      <sharedItems count="3">
        <s v="CGH ABAÚNA"/>
        <s v="CGH CASCATDA DAS ANDORINHAS"/>
        <s v="Não se aplica"/>
      </sharedItems>
    </cacheField>
    <cacheField name="Posto" numFmtId="0">
      <sharedItems count="3">
        <s v="Não se aplica"/>
        <s v="Fora ponta"/>
        <s v="Ponta"/>
      </sharedItems>
    </cacheField>
    <cacheField name="AnoMes" numFmtId="14">
      <sharedItems containsSemiMixedTypes="0" containsNonDate="0" containsDate="1" containsString="0" minDate="2021-07-01T00:00:00" maxDate="2022-06-02T00:00:00" count="12"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</sharedItems>
    </cacheField>
    <cacheField name="D" numFmtId="40">
      <sharedItems containsSemiMixedTypes="0" containsString="0" containsNumber="1" containsInteger="1" minValue="0" maxValue="1000"/>
    </cacheField>
    <cacheField name="Daj" numFmtId="40">
      <sharedItems containsSemiMixedTypes="0" containsString="0" containsNumber="1" minValue="0" maxValue="910.08"/>
    </cacheField>
    <cacheField name="TUSD_E" numFmtId="40">
      <sharedItems containsSemiMixedTypes="0" containsString="0" containsNumber="1" minValue="-30.838999999999999" maxValue="1907.8"/>
    </cacheField>
    <cacheField name="TUSD_Eaj" numFmtId="40">
      <sharedItems containsSemiMixedTypes="0" containsString="0" containsNumber="1" minValue="-30.838999999999999" maxValue="1907.8"/>
    </cacheField>
    <cacheField name="TE_E" numFmtId="40">
      <sharedItems containsSemiMixedTypes="0" containsString="0" containsNumber="1" minValue="-30.838999999999999" maxValue="1907.8"/>
    </cacheField>
    <cacheField name="TE_Eaj" numFmtId="40">
      <sharedItems containsSemiMixedTypes="0" containsString="0" containsNumber="1" minValue="-30.838999999999999" maxValue="1907.8"/>
    </cacheField>
    <cacheField name="UC" numFmtId="40">
      <sharedItems containsSemiMixedTypes="0" containsString="0" containsNumber="1" containsInteger="1" minValue="0" maxValue="4633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28240"/>
    </cacheField>
    <cacheField name="CóD. AUX. TUSD R$/kW" numFmtId="0">
      <sharedItems containsSemiMixedTypes="0" containsString="0" containsNumber="1" containsInteger="1" minValue="0" maxValue="31"/>
    </cacheField>
    <cacheField name="CóD. AUX. TUSD R$/MWh" numFmtId="0">
      <sharedItems containsSemiMixedTypes="0" containsString="0" containsNumber="1" containsInteger="1" minValue="0" maxValue="42"/>
    </cacheField>
    <cacheField name="CóD. AUX. TE R$/MWh" numFmtId="0">
      <sharedItems containsSemiMixedTypes="0" containsString="0" containsNumber="1" containsInteger="1" minValue="0" maxValue="83"/>
    </cacheField>
    <cacheField name="TUSD (R$/kW)" numFmtId="40">
      <sharedItems containsSemiMixedTypes="0" containsString="0" containsNumber="1" minValue="0" maxValue="38.520000000000003"/>
    </cacheField>
    <cacheField name="TUSD (R$/MWh)" numFmtId="40">
      <sharedItems containsSemiMixedTypes="0" containsString="0" containsNumber="1" minValue="0" maxValue="2115.38"/>
    </cacheField>
    <cacheField name="TE (R$/MWh)" numFmtId="40">
      <sharedItems containsSemiMixedTypes="0" containsString="0" containsNumber="1" minValue="0" maxValue="211.54"/>
    </cacheField>
    <cacheField name="TUSD (R$/kW) NOVA" numFmtId="40">
      <sharedItems containsString="0" containsBlank="1" containsNumber="1" minValue="23.644011269761791" maxValue="43.914614031138306"/>
    </cacheField>
    <cacheField name="TUSD (R$/MWh) NOVA" numFmtId="40">
      <sharedItems containsString="0" containsBlank="1" containsNumber="1" minValue="96.693682586652571" maxValue="2265.9490503759016"/>
    </cacheField>
    <cacheField name="TE (R$/MWh) NOVA" numFmtId="40">
      <sharedItems containsString="0" containsBlank="1" containsNumber="1" minValue="68.799066610307392" maxValue="196.56876174373542"/>
    </cacheField>
    <cacheField name="SUBSIDIO kW - TV" numFmtId="40">
      <sharedItems containsSemiMixedTypes="0" containsString="0" containsNumber="1" minValue="0" maxValue="4550"/>
    </cacheField>
    <cacheField name="SUBSIDIO MWh - TV" numFmtId="40">
      <sharedItems containsSemiMixedTypes="0" containsString="0" containsNumber="1" minValue="-2592.3263399999973" maxValue="160369.66799999983"/>
    </cacheField>
    <cacheField name="SUBSIDIO kW - TN" numFmtId="40">
      <sharedItems containsSemiMixedTypes="0" containsString="0" containsNumber="1" minValue="0" maxValue="11822.005634880896"/>
    </cacheField>
    <cacheField name="SUBSIDIO MWh - TN" numFmtId="40">
      <sharedItems containsSemiMixedTypes="0" containsString="0" containsNumber="1" minValue="-1411.4422715487876" maxValue="87316.371012703938"/>
    </cacheField>
    <cacheField name="TIPO" numFmtId="0">
      <sharedItems containsBlank="1" count="6">
        <s v="SUBSIDIO GERAÇÃO FONTE INCENTIVADA"/>
        <s v="SUBSIDIO IRRIGANTE/AQUICULTOR"/>
        <s v="SUBSIDIO RURAL"/>
        <m/>
        <s v="SUBSIDIO BAIXA RENDA"/>
        <s v="SUBSIDIO ÁGUA, ESGOTO E SANEAMENTO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763.615351388886" createdVersion="5" refreshedVersion="8" minRefreshableVersion="3" recordCount="544" xr:uid="{9F700A31-7BB1-42AC-B2A1-153CF469B668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4">
        <s v="Azul"/>
        <s v="Geração"/>
        <s v="Verde"/>
        <s v="Convencional"/>
      </sharedItems>
    </cacheField>
    <cacheField name="Classe" numFmtId="0">
      <sharedItems count="8">
        <s v="Industrial"/>
        <s v="Não se aplica"/>
        <s v="Comercial"/>
        <s v="Poder público"/>
        <s v="Rural"/>
        <s v="Residencial"/>
        <s v="Serviço público"/>
        <s v="Iluminação pública"/>
      </sharedItems>
    </cacheField>
    <cacheField name="Subclasse" numFmtId="0">
      <sharedItems count="10">
        <s v="Não se aplica"/>
        <s v="Agropecuária rural"/>
        <s v="Residencial"/>
        <s v="Residencial baixa renda – faixa 01"/>
        <s v="Residencial baixa renda – faixa 02"/>
        <s v="Residencial baixa renda – faixa 03"/>
        <s v="Residencial baixa renda – faixa 04"/>
        <s v="Aquicultura"/>
        <s v="Água, esgoto e saneamento"/>
        <s v="Iluminação pública – B4a"/>
      </sharedItems>
    </cacheField>
    <cacheField name="Detalhe" numFmtId="0">
      <sharedItems count="3">
        <s v="Não se aplica"/>
        <s v="IRRIG./AQUIC. PR"/>
        <s v="IRRIG./AQUIC."/>
      </sharedItems>
    </cacheField>
    <cacheField name="Agente" numFmtId="0">
      <sharedItems count="3">
        <s v="Não se aplica"/>
        <s v="CGH ABAÚNA"/>
        <s v="CGH CASCATDA DAS ANDORINHAS"/>
      </sharedItems>
    </cacheField>
    <cacheField name="Posto" numFmtId="0">
      <sharedItems count="3">
        <s v="Fora ponta"/>
        <s v="Ponta"/>
        <s v="Não se aplica"/>
      </sharedItems>
    </cacheField>
    <cacheField name="AnoMes" numFmtId="14">
      <sharedItems containsSemiMixedTypes="0" containsNonDate="0" containsDate="1" containsString="0" minDate="2021-07-01T00:00:00" maxDate="2022-06-02T00:00:00" count="12"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</sharedItems>
    </cacheField>
    <cacheField name="D" numFmtId="40">
      <sharedItems containsSemiMixedTypes="0" containsString="0" containsNumber="1" containsInteger="1" minValue="-107" maxValue="6637"/>
    </cacheField>
    <cacheField name="Daj" numFmtId="40">
      <sharedItems containsSemiMixedTypes="0" containsString="0" containsNumber="1" containsInteger="1" minValue="-107" maxValue="6637"/>
    </cacheField>
    <cacheField name="TUSD_E" numFmtId="40">
      <sharedItems containsSemiMixedTypes="0" containsString="0" containsNumber="1" minValue="-30.838999999999999" maxValue="2236.8580000000002"/>
    </cacheField>
    <cacheField name="TUSD_Eaj" numFmtId="40">
      <sharedItems containsSemiMixedTypes="0" containsString="0" containsNumber="1" minValue="-30.838999999999999" maxValue="2236.8580000000002"/>
    </cacheField>
    <cacheField name="TE_E" numFmtId="40">
      <sharedItems containsSemiMixedTypes="0" containsString="0" containsNumber="1" minValue="-30.838999999999999" maxValue="2236.8580000000002"/>
    </cacheField>
    <cacheField name="TE_Eaj" numFmtId="40">
      <sharedItems containsSemiMixedTypes="0" containsString="0" containsNumber="1" minValue="-30.838999999999999" maxValue="2236.8580000000002"/>
    </cacheField>
    <cacheField name="UC" numFmtId="40">
      <sharedItems containsSemiMixedTypes="0" containsString="0" containsNumber="1" containsInteger="1" minValue="0" maxValue="4633"/>
    </cacheField>
    <cacheField name="OPÇÃO" numFmtId="0">
      <sharedItems count="2">
        <s v="CATIVO"/>
        <s v="GERAÇÃO"/>
      </sharedItems>
    </cacheField>
    <cacheField name="CóD. AUX." numFmtId="0">
      <sharedItems containsSemiMixedTypes="0" containsString="0" containsNumber="1" containsInteger="1" minValue="0" maxValue="28240"/>
    </cacheField>
    <cacheField name="CóD. AUX. TUSD R$/kW" numFmtId="40">
      <sharedItems containsSemiMixedTypes="0" containsString="0" containsNumber="1" containsInteger="1" minValue="0" maxValue="31"/>
    </cacheField>
    <cacheField name="CóD. AUX. TUSD R$/MWh" numFmtId="40">
      <sharedItems containsSemiMixedTypes="0" containsString="0" containsNumber="1" containsInteger="1" minValue="0" maxValue="43"/>
    </cacheField>
    <cacheField name="CóD. AUX. TE R$/MWh" numFmtId="40">
      <sharedItems containsSemiMixedTypes="0" containsString="0" containsNumber="1" containsInteger="1" minValue="0" maxValue="83"/>
    </cacheField>
    <cacheField name="TUSD (R$/kW)" numFmtId="40">
      <sharedItems containsSemiMixedTypes="0" containsString="0" containsNumber="1" minValue="0" maxValue="85.11"/>
    </cacheField>
    <cacheField name="TUSD (R$/MWh)" numFmtId="40">
      <sharedItems containsSemiMixedTypes="0" containsString="0" containsNumber="1" minValue="0" maxValue="2115.38"/>
    </cacheField>
    <cacheField name="TE (R$/MWh)" numFmtId="40">
      <sharedItems containsSemiMixedTypes="0" containsString="0" containsNumber="1" minValue="0" maxValue="211.54"/>
    </cacheField>
    <cacheField name="TUSD (R$/kW) NOVA" numFmtId="40">
      <sharedItems containsString="0" containsBlank="1" containsNumber="1" minValue="12.091758575263867" maxValue="90.957179261343782"/>
    </cacheField>
    <cacheField name="TUSD (R$/MWh) NOVA" numFmtId="40">
      <sharedItems containsString="0" containsBlank="1" containsNumber="1" minValue="94.759808934919519" maxValue="2284.2159351470723"/>
    </cacheField>
    <cacheField name="TE (R$/MWh) NOVA" numFmtId="40">
      <sharedItems containsString="0" containsBlank="1" containsNumber="1" minValue="68.799066610307392" maxValue="196.56876174373542"/>
    </cacheField>
    <cacheField name="RA0 ou RV - TUSD (kW)" numFmtId="40">
      <sharedItems containsSemiMixedTypes="0" containsString="0" containsNumber="1" minValue="-4121.6400000000003" maxValue="539597.4"/>
    </cacheField>
    <cacheField name="RA0 ou RV - TUSD (MWh)" numFmtId="40">
      <sharedItems containsSemiMixedTypes="0" containsString="0" containsNumber="1" minValue="-13271.56365" maxValue="821021.73"/>
    </cacheField>
    <cacheField name="RA0 ou RV - TE (MWh)" numFmtId="40">
      <sharedItems containsSemiMixedTypes="0" containsString="0" containsNumber="1" minValue="-5740.9882399999997" maxValue="473184.94132000004"/>
    </cacheField>
    <cacheField name="RA1 ou RRD - TUSD (kW)" numFmtId="40">
      <sharedItems containsSemiMixedTypes="0" containsString="0" containsNumber="1" minValue="-4735.3078494632819" maxValue="576668.5165169196"/>
    </cacheField>
    <cacheField name="RA1 ou RRD - TUSD (MWh)" numFmtId="40">
      <sharedItems containsSemiMixedTypes="0" containsString="0" containsNumber="1" minValue="-16549.266451613905" maxValue="1023790.9963484228"/>
    </cacheField>
    <cacheField name="RA1 ou RRD - TE (MWh)" numFmtId="40">
      <sharedItems containsSemiMixedTypes="0" containsString="0" containsNumber="1" minValue="-5698.2650008101527" maxValue="439696.40725656855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s v="Regular"/>
    <x v="0"/>
    <x v="0"/>
    <x v="0"/>
    <x v="0"/>
    <x v="0"/>
    <x v="0"/>
    <x v="0"/>
    <x v="0"/>
    <n v="720"/>
    <n v="360"/>
    <n v="0"/>
    <n v="0"/>
    <n v="0"/>
    <n v="0"/>
    <n v="0"/>
    <s v="GERAÇÃO"/>
    <n v="15"/>
    <n v="25"/>
    <n v="0"/>
    <n v="0"/>
    <n v="9.1"/>
    <n v="0"/>
    <n v="0"/>
    <n v="23.644011269761791"/>
    <m/>
    <m/>
    <n v="3276"/>
    <n v="0"/>
    <n v="8511.8440571142455"/>
    <n v="0"/>
    <x v="0"/>
  </r>
  <r>
    <s v="Regular"/>
    <x v="0"/>
    <x v="0"/>
    <x v="0"/>
    <x v="0"/>
    <x v="0"/>
    <x v="1"/>
    <x v="0"/>
    <x v="0"/>
    <n v="1000"/>
    <n v="500"/>
    <n v="0"/>
    <n v="0"/>
    <n v="0"/>
    <n v="0"/>
    <n v="0"/>
    <s v="GERAÇÃO"/>
    <n v="28240"/>
    <n v="25"/>
    <n v="0"/>
    <n v="0"/>
    <n v="9.1"/>
    <n v="0"/>
    <n v="0"/>
    <n v="23.644011269761791"/>
    <m/>
    <m/>
    <n v="4550"/>
    <n v="0"/>
    <n v="11822.005634880896"/>
    <n v="0"/>
    <x v="0"/>
  </r>
  <r>
    <s v="Regular"/>
    <x v="0"/>
    <x v="0"/>
    <x v="0"/>
    <x v="0"/>
    <x v="0"/>
    <x v="0"/>
    <x v="0"/>
    <x v="1"/>
    <n v="720"/>
    <n v="360"/>
    <n v="0"/>
    <n v="0"/>
    <n v="0"/>
    <n v="0"/>
    <n v="0"/>
    <s v="GERAÇÃO"/>
    <n v="15"/>
    <n v="25"/>
    <n v="0"/>
    <n v="0"/>
    <n v="9.1"/>
    <n v="0"/>
    <n v="0"/>
    <n v="23.644011269761791"/>
    <m/>
    <m/>
    <n v="3276"/>
    <n v="0"/>
    <n v="8511.8440571142455"/>
    <n v="0"/>
    <x v="0"/>
  </r>
  <r>
    <s v="Regular"/>
    <x v="0"/>
    <x v="0"/>
    <x v="0"/>
    <x v="0"/>
    <x v="0"/>
    <x v="1"/>
    <x v="0"/>
    <x v="1"/>
    <n v="1000"/>
    <n v="500"/>
    <n v="0"/>
    <n v="0"/>
    <n v="0"/>
    <n v="0"/>
    <n v="0"/>
    <s v="GERAÇÃO"/>
    <n v="28240"/>
    <n v="25"/>
    <n v="0"/>
    <n v="0"/>
    <n v="9.1"/>
    <n v="0"/>
    <n v="0"/>
    <n v="23.644011269761791"/>
    <m/>
    <m/>
    <n v="4550"/>
    <n v="0"/>
    <n v="11822.005634880896"/>
    <n v="0"/>
    <x v="0"/>
  </r>
  <r>
    <s v="Regular"/>
    <x v="0"/>
    <x v="0"/>
    <x v="0"/>
    <x v="0"/>
    <x v="0"/>
    <x v="0"/>
    <x v="0"/>
    <x v="2"/>
    <n v="720"/>
    <n v="360"/>
    <n v="0"/>
    <n v="0"/>
    <n v="0"/>
    <n v="0"/>
    <n v="0"/>
    <s v="GERAÇÃO"/>
    <n v="15"/>
    <n v="25"/>
    <n v="0"/>
    <n v="0"/>
    <n v="9.1"/>
    <n v="0"/>
    <n v="0"/>
    <n v="23.644011269761791"/>
    <m/>
    <m/>
    <n v="3276"/>
    <n v="0"/>
    <n v="8511.8440571142455"/>
    <n v="0"/>
    <x v="0"/>
  </r>
  <r>
    <s v="Regular"/>
    <x v="0"/>
    <x v="0"/>
    <x v="0"/>
    <x v="0"/>
    <x v="0"/>
    <x v="1"/>
    <x v="0"/>
    <x v="2"/>
    <n v="1000"/>
    <n v="500"/>
    <n v="0"/>
    <n v="0"/>
    <n v="0"/>
    <n v="0"/>
    <n v="0"/>
    <s v="GERAÇÃO"/>
    <n v="28240"/>
    <n v="25"/>
    <n v="0"/>
    <n v="0"/>
    <n v="9.1"/>
    <n v="0"/>
    <n v="0"/>
    <n v="23.644011269761791"/>
    <m/>
    <m/>
    <n v="4550"/>
    <n v="0"/>
    <n v="11822.005634880896"/>
    <n v="0"/>
    <x v="0"/>
  </r>
  <r>
    <s v="Regular"/>
    <x v="0"/>
    <x v="0"/>
    <x v="0"/>
    <x v="0"/>
    <x v="0"/>
    <x v="0"/>
    <x v="0"/>
    <x v="3"/>
    <n v="720"/>
    <n v="360"/>
    <n v="0"/>
    <n v="0"/>
    <n v="0"/>
    <n v="0"/>
    <n v="0"/>
    <s v="GERAÇÃO"/>
    <n v="15"/>
    <n v="25"/>
    <n v="0"/>
    <n v="0"/>
    <n v="9.1"/>
    <n v="0"/>
    <n v="0"/>
    <n v="23.644011269761791"/>
    <m/>
    <m/>
    <n v="3276"/>
    <n v="0"/>
    <n v="8511.8440571142455"/>
    <n v="0"/>
    <x v="0"/>
  </r>
  <r>
    <s v="Regular"/>
    <x v="0"/>
    <x v="0"/>
    <x v="0"/>
    <x v="0"/>
    <x v="0"/>
    <x v="1"/>
    <x v="0"/>
    <x v="3"/>
    <n v="1000"/>
    <n v="500"/>
    <n v="0"/>
    <n v="0"/>
    <n v="0"/>
    <n v="0"/>
    <n v="0"/>
    <s v="GERAÇÃO"/>
    <n v="28240"/>
    <n v="25"/>
    <n v="0"/>
    <n v="0"/>
    <n v="9.1"/>
    <n v="0"/>
    <n v="0"/>
    <n v="23.644011269761791"/>
    <m/>
    <m/>
    <n v="4550"/>
    <n v="0"/>
    <n v="11822.005634880896"/>
    <n v="0"/>
    <x v="0"/>
  </r>
  <r>
    <s v="Regular"/>
    <x v="0"/>
    <x v="0"/>
    <x v="0"/>
    <x v="0"/>
    <x v="0"/>
    <x v="0"/>
    <x v="0"/>
    <x v="4"/>
    <n v="720"/>
    <n v="360"/>
    <n v="0"/>
    <n v="0"/>
    <n v="0"/>
    <n v="0"/>
    <n v="0"/>
    <s v="GERAÇÃO"/>
    <n v="15"/>
    <n v="25"/>
    <n v="0"/>
    <n v="0"/>
    <n v="9.1"/>
    <n v="0"/>
    <n v="0"/>
    <n v="23.644011269761791"/>
    <m/>
    <m/>
    <n v="3276"/>
    <n v="0"/>
    <n v="8511.8440571142455"/>
    <n v="0"/>
    <x v="0"/>
  </r>
  <r>
    <s v="Regular"/>
    <x v="0"/>
    <x v="0"/>
    <x v="0"/>
    <x v="0"/>
    <x v="0"/>
    <x v="1"/>
    <x v="0"/>
    <x v="4"/>
    <n v="1000"/>
    <n v="500"/>
    <n v="0"/>
    <n v="0"/>
    <n v="0"/>
    <n v="0"/>
    <n v="0"/>
    <s v="GERAÇÃO"/>
    <n v="28240"/>
    <n v="25"/>
    <n v="0"/>
    <n v="0"/>
    <n v="9.1"/>
    <n v="0"/>
    <n v="0"/>
    <n v="23.644011269761791"/>
    <m/>
    <m/>
    <n v="4550"/>
    <n v="0"/>
    <n v="11822.005634880896"/>
    <n v="0"/>
    <x v="0"/>
  </r>
  <r>
    <s v="Regular"/>
    <x v="0"/>
    <x v="0"/>
    <x v="0"/>
    <x v="0"/>
    <x v="0"/>
    <x v="0"/>
    <x v="0"/>
    <x v="5"/>
    <n v="720"/>
    <n v="360"/>
    <n v="0"/>
    <n v="0"/>
    <n v="0"/>
    <n v="0"/>
    <n v="0"/>
    <s v="GERAÇÃO"/>
    <n v="15"/>
    <n v="25"/>
    <n v="0"/>
    <n v="0"/>
    <n v="9.1"/>
    <n v="0"/>
    <n v="0"/>
    <n v="23.644011269761791"/>
    <m/>
    <m/>
    <n v="3276"/>
    <n v="0"/>
    <n v="8511.8440571142455"/>
    <n v="0"/>
    <x v="0"/>
  </r>
  <r>
    <s v="Regular"/>
    <x v="0"/>
    <x v="0"/>
    <x v="0"/>
    <x v="0"/>
    <x v="0"/>
    <x v="1"/>
    <x v="0"/>
    <x v="5"/>
    <n v="1000"/>
    <n v="500"/>
    <n v="0"/>
    <n v="0"/>
    <n v="0"/>
    <n v="0"/>
    <n v="0"/>
    <s v="GERAÇÃO"/>
    <n v="28240"/>
    <n v="25"/>
    <n v="0"/>
    <n v="0"/>
    <n v="9.1"/>
    <n v="0"/>
    <n v="0"/>
    <n v="23.644011269761791"/>
    <m/>
    <m/>
    <n v="4550"/>
    <n v="0"/>
    <n v="11822.005634880896"/>
    <n v="0"/>
    <x v="0"/>
  </r>
  <r>
    <s v="Regular"/>
    <x v="0"/>
    <x v="0"/>
    <x v="0"/>
    <x v="0"/>
    <x v="0"/>
    <x v="0"/>
    <x v="0"/>
    <x v="6"/>
    <n v="720"/>
    <n v="360"/>
    <n v="0"/>
    <n v="0"/>
    <n v="0"/>
    <n v="0"/>
    <n v="0"/>
    <s v="GERAÇÃO"/>
    <n v="15"/>
    <n v="25"/>
    <n v="0"/>
    <n v="0"/>
    <n v="9.1"/>
    <n v="0"/>
    <n v="0"/>
    <n v="23.644011269761791"/>
    <m/>
    <m/>
    <n v="3276"/>
    <n v="0"/>
    <n v="8511.8440571142455"/>
    <n v="0"/>
    <x v="0"/>
  </r>
  <r>
    <s v="Regular"/>
    <x v="0"/>
    <x v="0"/>
    <x v="0"/>
    <x v="0"/>
    <x v="0"/>
    <x v="1"/>
    <x v="0"/>
    <x v="6"/>
    <n v="1000"/>
    <n v="500"/>
    <n v="0"/>
    <n v="0"/>
    <n v="0"/>
    <n v="0"/>
    <n v="0"/>
    <s v="GERAÇÃO"/>
    <n v="28240"/>
    <n v="25"/>
    <n v="0"/>
    <n v="0"/>
    <n v="9.1"/>
    <n v="0"/>
    <n v="0"/>
    <n v="23.644011269761791"/>
    <m/>
    <m/>
    <n v="4550"/>
    <n v="0"/>
    <n v="11822.005634880896"/>
    <n v="0"/>
    <x v="0"/>
  </r>
  <r>
    <s v="Regular"/>
    <x v="0"/>
    <x v="0"/>
    <x v="0"/>
    <x v="0"/>
    <x v="0"/>
    <x v="0"/>
    <x v="0"/>
    <x v="7"/>
    <n v="720"/>
    <n v="360"/>
    <n v="0"/>
    <n v="0"/>
    <n v="0"/>
    <n v="0"/>
    <n v="0"/>
    <s v="GERAÇÃO"/>
    <n v="15"/>
    <n v="25"/>
    <n v="0"/>
    <n v="0"/>
    <n v="9.1"/>
    <n v="0"/>
    <n v="0"/>
    <n v="23.644011269761791"/>
    <m/>
    <m/>
    <n v="3276"/>
    <n v="0"/>
    <n v="8511.8440571142455"/>
    <n v="0"/>
    <x v="0"/>
  </r>
  <r>
    <s v="Regular"/>
    <x v="0"/>
    <x v="0"/>
    <x v="0"/>
    <x v="0"/>
    <x v="0"/>
    <x v="1"/>
    <x v="0"/>
    <x v="7"/>
    <n v="1000"/>
    <n v="500"/>
    <n v="0"/>
    <n v="0"/>
    <n v="0"/>
    <n v="0"/>
    <n v="0"/>
    <s v="GERAÇÃO"/>
    <n v="28240"/>
    <n v="25"/>
    <n v="0"/>
    <n v="0"/>
    <n v="9.1"/>
    <n v="0"/>
    <n v="0"/>
    <n v="23.644011269761791"/>
    <m/>
    <m/>
    <n v="4550"/>
    <n v="0"/>
    <n v="11822.005634880896"/>
    <n v="0"/>
    <x v="0"/>
  </r>
  <r>
    <s v="Regular"/>
    <x v="0"/>
    <x v="0"/>
    <x v="0"/>
    <x v="0"/>
    <x v="0"/>
    <x v="0"/>
    <x v="0"/>
    <x v="8"/>
    <n v="720"/>
    <n v="360"/>
    <n v="0"/>
    <n v="0"/>
    <n v="0"/>
    <n v="0"/>
    <n v="0"/>
    <s v="GERAÇÃO"/>
    <n v="15"/>
    <n v="25"/>
    <n v="0"/>
    <n v="0"/>
    <n v="9.1"/>
    <n v="0"/>
    <n v="0"/>
    <n v="23.644011269761791"/>
    <m/>
    <m/>
    <n v="3276"/>
    <n v="0"/>
    <n v="8511.8440571142455"/>
    <n v="0"/>
    <x v="0"/>
  </r>
  <r>
    <s v="Regular"/>
    <x v="0"/>
    <x v="0"/>
    <x v="0"/>
    <x v="0"/>
    <x v="0"/>
    <x v="1"/>
    <x v="0"/>
    <x v="8"/>
    <n v="1000"/>
    <n v="500"/>
    <n v="0"/>
    <n v="0"/>
    <n v="0"/>
    <n v="0"/>
    <n v="0"/>
    <s v="GERAÇÃO"/>
    <n v="28240"/>
    <n v="25"/>
    <n v="0"/>
    <n v="0"/>
    <n v="9.1"/>
    <n v="0"/>
    <n v="0"/>
    <n v="23.644011269761791"/>
    <m/>
    <m/>
    <n v="4550"/>
    <n v="0"/>
    <n v="11822.005634880896"/>
    <n v="0"/>
    <x v="0"/>
  </r>
  <r>
    <s v="Regular"/>
    <x v="0"/>
    <x v="0"/>
    <x v="0"/>
    <x v="0"/>
    <x v="0"/>
    <x v="0"/>
    <x v="0"/>
    <x v="9"/>
    <n v="720"/>
    <n v="360"/>
    <n v="0"/>
    <n v="0"/>
    <n v="0"/>
    <n v="0"/>
    <n v="0"/>
    <s v="GERAÇÃO"/>
    <n v="15"/>
    <n v="25"/>
    <n v="0"/>
    <n v="0"/>
    <n v="9.1"/>
    <n v="0"/>
    <n v="0"/>
    <n v="23.644011269761791"/>
    <m/>
    <m/>
    <n v="3276"/>
    <n v="0"/>
    <n v="8511.8440571142455"/>
    <n v="0"/>
    <x v="0"/>
  </r>
  <r>
    <s v="Regular"/>
    <x v="0"/>
    <x v="0"/>
    <x v="0"/>
    <x v="0"/>
    <x v="0"/>
    <x v="1"/>
    <x v="0"/>
    <x v="9"/>
    <n v="1000"/>
    <n v="500"/>
    <n v="0"/>
    <n v="0"/>
    <n v="0"/>
    <n v="0"/>
    <n v="0"/>
    <s v="GERAÇÃO"/>
    <n v="28240"/>
    <n v="25"/>
    <n v="0"/>
    <n v="0"/>
    <n v="9.1"/>
    <n v="0"/>
    <n v="0"/>
    <n v="23.644011269761791"/>
    <m/>
    <m/>
    <n v="4550"/>
    <n v="0"/>
    <n v="11822.005634880896"/>
    <n v="0"/>
    <x v="0"/>
  </r>
  <r>
    <s v="Regular"/>
    <x v="0"/>
    <x v="0"/>
    <x v="0"/>
    <x v="0"/>
    <x v="0"/>
    <x v="0"/>
    <x v="0"/>
    <x v="10"/>
    <n v="720"/>
    <n v="360"/>
    <n v="0"/>
    <n v="0"/>
    <n v="0"/>
    <n v="0"/>
    <n v="0"/>
    <s v="GERAÇÃO"/>
    <n v="15"/>
    <n v="25"/>
    <n v="0"/>
    <n v="0"/>
    <n v="9.1"/>
    <n v="0"/>
    <n v="0"/>
    <n v="23.644011269761791"/>
    <m/>
    <m/>
    <n v="3276"/>
    <n v="0"/>
    <n v="8511.8440571142455"/>
    <n v="0"/>
    <x v="0"/>
  </r>
  <r>
    <s v="Regular"/>
    <x v="0"/>
    <x v="0"/>
    <x v="0"/>
    <x v="0"/>
    <x v="0"/>
    <x v="1"/>
    <x v="0"/>
    <x v="10"/>
    <n v="1000"/>
    <n v="500"/>
    <n v="0"/>
    <n v="0"/>
    <n v="0"/>
    <n v="0"/>
    <n v="0"/>
    <s v="GERAÇÃO"/>
    <n v="28240"/>
    <n v="25"/>
    <n v="0"/>
    <n v="0"/>
    <n v="9.1"/>
    <n v="0"/>
    <n v="0"/>
    <n v="23.644011269761791"/>
    <m/>
    <m/>
    <n v="4550"/>
    <n v="0"/>
    <n v="11822.005634880896"/>
    <n v="0"/>
    <x v="0"/>
  </r>
  <r>
    <s v="Regular"/>
    <x v="0"/>
    <x v="0"/>
    <x v="0"/>
    <x v="0"/>
    <x v="0"/>
    <x v="0"/>
    <x v="0"/>
    <x v="11"/>
    <n v="720"/>
    <n v="360"/>
    <n v="0"/>
    <n v="0"/>
    <n v="0"/>
    <n v="0"/>
    <n v="0"/>
    <s v="GERAÇÃO"/>
    <n v="15"/>
    <n v="25"/>
    <n v="0"/>
    <n v="0"/>
    <n v="9.1"/>
    <n v="0"/>
    <n v="0"/>
    <n v="23.644011269761791"/>
    <m/>
    <m/>
    <n v="3276"/>
    <n v="0"/>
    <n v="8511.8440571142455"/>
    <n v="0"/>
    <x v="0"/>
  </r>
  <r>
    <s v="Regular"/>
    <x v="0"/>
    <x v="0"/>
    <x v="0"/>
    <x v="0"/>
    <x v="0"/>
    <x v="1"/>
    <x v="0"/>
    <x v="11"/>
    <n v="1000"/>
    <n v="500"/>
    <n v="0"/>
    <n v="0"/>
    <n v="0"/>
    <n v="0"/>
    <n v="0"/>
    <s v="GERAÇÃO"/>
    <n v="28240"/>
    <n v="25"/>
    <n v="0"/>
    <n v="0"/>
    <n v="9.1"/>
    <n v="0"/>
    <n v="0"/>
    <n v="23.644011269761791"/>
    <m/>
    <m/>
    <n v="4550"/>
    <n v="0"/>
    <n v="11822.005634880896"/>
    <n v="0"/>
    <x v="0"/>
  </r>
  <r>
    <s v="Regular"/>
    <x v="0"/>
    <x v="1"/>
    <x v="1"/>
    <x v="1"/>
    <x v="1"/>
    <x v="2"/>
    <x v="1"/>
    <x v="0"/>
    <n v="0"/>
    <n v="0"/>
    <n v="6.8289999999999997"/>
    <n v="2.0487000000000002"/>
    <n v="6.8289999999999997"/>
    <n v="2.0487000000000002"/>
    <n v="0"/>
    <s v="CATIVO"/>
    <n v="0"/>
    <n v="0"/>
    <n v="3"/>
    <n v="48"/>
    <n v="0"/>
    <n v="68.55"/>
    <n v="211.54"/>
    <m/>
    <n v="96.693682586652571"/>
    <n v="196.56876174373542"/>
    <n v="0"/>
    <n v="1338.9142269999998"/>
    <n v="0"/>
    <n v="1401.8824626325536"/>
    <x v="1"/>
  </r>
  <r>
    <s v="Regular"/>
    <x v="0"/>
    <x v="1"/>
    <x v="1"/>
    <x v="1"/>
    <x v="1"/>
    <x v="2"/>
    <x v="1"/>
    <x v="1"/>
    <n v="0"/>
    <n v="0"/>
    <n v="10.128"/>
    <n v="3.0384000000000002"/>
    <n v="10.128"/>
    <n v="3.0384000000000002"/>
    <n v="0"/>
    <s v="CATIVO"/>
    <n v="0"/>
    <n v="0"/>
    <n v="3"/>
    <n v="48"/>
    <n v="0"/>
    <n v="68.55"/>
    <n v="211.54"/>
    <m/>
    <n v="96.693682586652571"/>
    <n v="196.56876174373542"/>
    <n v="0"/>
    <n v="1985.726064"/>
    <n v="0"/>
    <n v="2079.1134253247187"/>
    <x v="1"/>
  </r>
  <r>
    <s v="Regular"/>
    <x v="0"/>
    <x v="1"/>
    <x v="1"/>
    <x v="1"/>
    <x v="1"/>
    <x v="2"/>
    <x v="1"/>
    <x v="2"/>
    <n v="0"/>
    <n v="0"/>
    <n v="14.759"/>
    <n v="4.4276999999999997"/>
    <n v="14.759"/>
    <n v="4.4276999999999997"/>
    <n v="0"/>
    <s v="CATIVO"/>
    <n v="0"/>
    <n v="0"/>
    <n v="3"/>
    <n v="48"/>
    <n v="0"/>
    <n v="68.55"/>
    <n v="211.54"/>
    <m/>
    <n v="96.693682586652571"/>
    <n v="196.56876174373542"/>
    <n v="0"/>
    <n v="2893.6938169999999"/>
    <n v="0"/>
    <n v="3029.7822911105377"/>
    <x v="1"/>
  </r>
  <r>
    <s v="Regular"/>
    <x v="0"/>
    <x v="1"/>
    <x v="1"/>
    <x v="1"/>
    <x v="1"/>
    <x v="2"/>
    <x v="1"/>
    <x v="3"/>
    <n v="0"/>
    <n v="0"/>
    <n v="29.698"/>
    <n v="8.9093999999999998"/>
    <n v="29.698"/>
    <n v="8.9093999999999998"/>
    <n v="0"/>
    <s v="CATIVO"/>
    <n v="0"/>
    <n v="0"/>
    <n v="3"/>
    <n v="48"/>
    <n v="0"/>
    <n v="68.55"/>
    <n v="211.54"/>
    <m/>
    <n v="96.693682586652571"/>
    <n v="196.56876174373542"/>
    <n v="0"/>
    <n v="5822.6789740000004"/>
    <n v="0"/>
    <n v="6096.5156502067048"/>
    <x v="1"/>
  </r>
  <r>
    <s v="Regular"/>
    <x v="0"/>
    <x v="1"/>
    <x v="1"/>
    <x v="1"/>
    <x v="1"/>
    <x v="2"/>
    <x v="1"/>
    <x v="4"/>
    <n v="0"/>
    <n v="0"/>
    <n v="118.98"/>
    <n v="35.694000000000003"/>
    <n v="118.98"/>
    <n v="35.694000000000003"/>
    <n v="0"/>
    <s v="CATIVO"/>
    <n v="0"/>
    <n v="0"/>
    <n v="3"/>
    <n v="48"/>
    <n v="0"/>
    <n v="68.55"/>
    <n v="211.54"/>
    <m/>
    <n v="96.693682586652571"/>
    <n v="196.56876174373542"/>
    <n v="0"/>
    <n v="23327.57574"/>
    <n v="0"/>
    <n v="24424.655938500695"/>
    <x v="1"/>
  </r>
  <r>
    <s v="Regular"/>
    <x v="0"/>
    <x v="1"/>
    <x v="1"/>
    <x v="1"/>
    <x v="1"/>
    <x v="2"/>
    <x v="1"/>
    <x v="5"/>
    <n v="0"/>
    <n v="0"/>
    <n v="132.64500000000001"/>
    <n v="39.793500000000002"/>
    <n v="132.64500000000001"/>
    <n v="39.793500000000002"/>
    <n v="0"/>
    <s v="CATIVO"/>
    <n v="0"/>
    <n v="0"/>
    <n v="3"/>
    <n v="48"/>
    <n v="0"/>
    <n v="68.55"/>
    <n v="211.54"/>
    <m/>
    <n v="96.693682586652571"/>
    <n v="196.56876174373542"/>
    <n v="0"/>
    <n v="26006.776635000006"/>
    <n v="0"/>
    <n v="27229.857849743028"/>
    <x v="1"/>
  </r>
  <r>
    <s v="Regular"/>
    <x v="0"/>
    <x v="1"/>
    <x v="1"/>
    <x v="1"/>
    <x v="1"/>
    <x v="2"/>
    <x v="1"/>
    <x v="6"/>
    <n v="0"/>
    <n v="0"/>
    <n v="39.817"/>
    <n v="11.9451"/>
    <n v="39.817"/>
    <n v="11.9451"/>
    <n v="0"/>
    <s v="CATIVO"/>
    <n v="0"/>
    <n v="0"/>
    <n v="3"/>
    <n v="48"/>
    <n v="0"/>
    <n v="68.55"/>
    <n v="211.54"/>
    <m/>
    <n v="96.693682586652571"/>
    <n v="196.56876174373542"/>
    <n v="0"/>
    <n v="7806.6404709999997"/>
    <n v="0"/>
    <n v="8173.7815221321407"/>
    <x v="1"/>
  </r>
  <r>
    <s v="Regular"/>
    <x v="0"/>
    <x v="1"/>
    <x v="1"/>
    <x v="1"/>
    <x v="1"/>
    <x v="2"/>
    <x v="1"/>
    <x v="7"/>
    <n v="0"/>
    <n v="0"/>
    <n v="56.661999999999999"/>
    <n v="16.9986"/>
    <n v="56.661999999999999"/>
    <n v="16.9986"/>
    <n v="0"/>
    <s v="CATIVO"/>
    <n v="0"/>
    <n v="0"/>
    <n v="3"/>
    <n v="48"/>
    <n v="0"/>
    <n v="68.55"/>
    <n v="211.54"/>
    <m/>
    <n v="96.693682586652571"/>
    <n v="196.56876174373542"/>
    <n v="0"/>
    <n v="11109.321705999999"/>
    <n v="0"/>
    <n v="11631.78563445391"/>
    <x v="1"/>
  </r>
  <r>
    <s v="Regular"/>
    <x v="0"/>
    <x v="1"/>
    <x v="1"/>
    <x v="1"/>
    <x v="1"/>
    <x v="2"/>
    <x v="1"/>
    <x v="8"/>
    <n v="0"/>
    <n v="0"/>
    <n v="29.236000000000001"/>
    <n v="8.7707999999999995"/>
    <n v="29.236000000000001"/>
    <n v="8.7707999999999995"/>
    <n v="0"/>
    <s v="CATIVO"/>
    <n v="0"/>
    <n v="0"/>
    <n v="3"/>
    <n v="48"/>
    <n v="0"/>
    <n v="68.55"/>
    <n v="211.54"/>
    <m/>
    <n v="96.693682586652571"/>
    <n v="196.56876174373542"/>
    <n v="0"/>
    <n v="5732.0978680000007"/>
    <n v="0"/>
    <n v="6001.6745757102572"/>
    <x v="1"/>
  </r>
  <r>
    <s v="Regular"/>
    <x v="0"/>
    <x v="1"/>
    <x v="1"/>
    <x v="1"/>
    <x v="1"/>
    <x v="2"/>
    <x v="1"/>
    <x v="9"/>
    <n v="0"/>
    <n v="0"/>
    <n v="17.074000000000002"/>
    <n v="5.1222000000000003"/>
    <n v="17.074000000000002"/>
    <n v="5.1222000000000003"/>
    <n v="0"/>
    <s v="CATIVO"/>
    <n v="0"/>
    <n v="0"/>
    <n v="3"/>
    <n v="48"/>
    <n v="0"/>
    <n v="68.55"/>
    <n v="211.54"/>
    <m/>
    <n v="96.693682586652571"/>
    <n v="196.56876174373542"/>
    <n v="0"/>
    <n v="3347.5796620000001"/>
    <n v="0"/>
    <n v="3505.0140821479317"/>
    <x v="1"/>
  </r>
  <r>
    <s v="Regular"/>
    <x v="0"/>
    <x v="1"/>
    <x v="1"/>
    <x v="1"/>
    <x v="1"/>
    <x v="2"/>
    <x v="1"/>
    <x v="10"/>
    <n v="0"/>
    <n v="0"/>
    <n v="1.331"/>
    <n v="0.39929999999999999"/>
    <n v="1.331"/>
    <n v="0.39929999999999999"/>
    <n v="0"/>
    <s v="CATIVO"/>
    <n v="0"/>
    <n v="0"/>
    <n v="3"/>
    <n v="48"/>
    <n v="0"/>
    <n v="68.55"/>
    <n v="211.54"/>
    <m/>
    <n v="96.693682586652571"/>
    <n v="196.56876174373542"/>
    <n v="0"/>
    <n v="260.95985300000001"/>
    <n v="0"/>
    <n v="273.23261938262249"/>
    <x v="1"/>
  </r>
  <r>
    <s v="Regular"/>
    <x v="0"/>
    <x v="1"/>
    <x v="1"/>
    <x v="1"/>
    <x v="1"/>
    <x v="2"/>
    <x v="1"/>
    <x v="11"/>
    <n v="0"/>
    <n v="0"/>
    <n v="1.8080000000000001"/>
    <n v="0.54239999999999999"/>
    <n v="1.8080000000000001"/>
    <n v="0.54239999999999999"/>
    <n v="0"/>
    <s v="CATIVO"/>
    <n v="0"/>
    <n v="0"/>
    <n v="3"/>
    <n v="48"/>
    <n v="0"/>
    <n v="68.55"/>
    <n v="211.54"/>
    <m/>
    <n v="96.693682586652571"/>
    <n v="196.56876174373542"/>
    <n v="0"/>
    <n v="354.48190399999999"/>
    <n v="0"/>
    <n v="371.15294954453907"/>
    <x v="1"/>
  </r>
  <r>
    <s v="Regular"/>
    <x v="0"/>
    <x v="1"/>
    <x v="1"/>
    <x v="1"/>
    <x v="0"/>
    <x v="2"/>
    <x v="1"/>
    <x v="0"/>
    <n v="0"/>
    <n v="0"/>
    <n v="0.82499999999999996"/>
    <n v="0.79200000000000004"/>
    <n v="0.82499999999999996"/>
    <n v="0.79200000000000004"/>
    <n v="0"/>
    <s v="CATIVO"/>
    <n v="0"/>
    <n v="0"/>
    <n v="3"/>
    <n v="48"/>
    <n v="0"/>
    <n v="68.55"/>
    <n v="211.54"/>
    <m/>
    <n v="96.693682586652571"/>
    <n v="196.56876174373542"/>
    <n v="0"/>
    <n v="9.2429699999999766"/>
    <n v="0"/>
    <n v="9.677660662902781"/>
    <x v="2"/>
  </r>
  <r>
    <s v="Regular"/>
    <x v="0"/>
    <x v="1"/>
    <x v="1"/>
    <x v="1"/>
    <x v="0"/>
    <x v="2"/>
    <x v="1"/>
    <x v="1"/>
    <n v="0"/>
    <n v="0"/>
    <n v="1.7729999999999999"/>
    <n v="1.70208"/>
    <n v="1.7729999999999999"/>
    <n v="1.70208"/>
    <n v="0"/>
    <s v="CATIVO"/>
    <n v="0"/>
    <n v="0"/>
    <n v="3"/>
    <n v="48"/>
    <n v="0"/>
    <n v="68.55"/>
    <n v="211.54"/>
    <m/>
    <n v="96.693682586652571"/>
    <n v="196.56876174373542"/>
    <n v="0"/>
    <n v="19.863982799999963"/>
    <n v="0"/>
    <n v="20.79817255191108"/>
    <x v="2"/>
  </r>
  <r>
    <s v="Regular"/>
    <x v="0"/>
    <x v="1"/>
    <x v="1"/>
    <x v="1"/>
    <x v="0"/>
    <x v="2"/>
    <x v="1"/>
    <x v="2"/>
    <n v="0"/>
    <n v="0"/>
    <n v="1.4330000000000001"/>
    <n v="1.37568"/>
    <n v="1.4330000000000001"/>
    <n v="1.37568"/>
    <n v="0"/>
    <s v="CATIVO"/>
    <n v="0"/>
    <n v="0"/>
    <n v="3"/>
    <n v="48"/>
    <n v="0"/>
    <n v="68.55"/>
    <n v="211.54"/>
    <m/>
    <n v="96.693682586652571"/>
    <n v="196.56876174373542"/>
    <n v="0"/>
    <n v="16.054758800000009"/>
    <n v="0"/>
    <n v="16.809803309017852"/>
    <x v="2"/>
  </r>
  <r>
    <s v="Regular"/>
    <x v="0"/>
    <x v="1"/>
    <x v="1"/>
    <x v="1"/>
    <x v="0"/>
    <x v="2"/>
    <x v="1"/>
    <x v="3"/>
    <n v="0"/>
    <n v="0"/>
    <n v="4.4059999999999997"/>
    <n v="4.2297599999999997"/>
    <n v="4.4059999999999997"/>
    <n v="4.2297599999999997"/>
    <n v="0"/>
    <s v="CATIVO"/>
    <n v="0"/>
    <n v="0"/>
    <n v="3"/>
    <n v="48"/>
    <n v="0"/>
    <n v="68.55"/>
    <n v="211.54"/>
    <m/>
    <n v="96.693682586652571"/>
    <n v="196.56876174373542"/>
    <n v="0"/>
    <n v="49.36306159999998"/>
    <n v="0"/>
    <n v="51.684573188787567"/>
    <x v="2"/>
  </r>
  <r>
    <s v="Regular"/>
    <x v="0"/>
    <x v="1"/>
    <x v="1"/>
    <x v="1"/>
    <x v="0"/>
    <x v="2"/>
    <x v="1"/>
    <x v="4"/>
    <n v="0"/>
    <n v="0"/>
    <n v="122.294"/>
    <n v="117.40224000000001"/>
    <n v="122.294"/>
    <n v="117.40224000000001"/>
    <n v="0"/>
    <s v="CATIVO"/>
    <n v="0"/>
    <n v="0"/>
    <n v="3"/>
    <n v="48"/>
    <n v="0"/>
    <n v="68.55"/>
    <n v="211.54"/>
    <m/>
    <n v="96.693682586652571"/>
    <n v="196.56876174373542"/>
    <n v="0"/>
    <n v="1370.1330583999973"/>
    <n v="0"/>
    <n v="1434.5694946776161"/>
    <x v="2"/>
  </r>
  <r>
    <s v="Regular"/>
    <x v="0"/>
    <x v="1"/>
    <x v="1"/>
    <x v="1"/>
    <x v="0"/>
    <x v="2"/>
    <x v="1"/>
    <x v="5"/>
    <n v="0"/>
    <n v="0"/>
    <n v="125.315"/>
    <n v="120.30240000000001"/>
    <n v="125.315"/>
    <n v="120.30240000000001"/>
    <n v="0"/>
    <s v="CATIVO"/>
    <n v="0"/>
    <n v="0"/>
    <n v="3"/>
    <n v="48"/>
    <n v="0"/>
    <n v="68.55"/>
    <n v="211.54"/>
    <m/>
    <n v="96.693682586652571"/>
    <n v="196.56876174373542"/>
    <n v="0"/>
    <n v="1403.9791339999977"/>
    <n v="0"/>
    <n v="1470.0073284505006"/>
    <x v="2"/>
  </r>
  <r>
    <s v="Regular"/>
    <x v="0"/>
    <x v="1"/>
    <x v="1"/>
    <x v="1"/>
    <x v="0"/>
    <x v="2"/>
    <x v="1"/>
    <x v="6"/>
    <n v="0"/>
    <n v="0"/>
    <n v="24.373999999999999"/>
    <n v="23.399039999999999"/>
    <n v="24.373999999999999"/>
    <n v="23.399039999999999"/>
    <n v="0"/>
    <s v="CATIVO"/>
    <n v="0"/>
    <n v="0"/>
    <n v="3"/>
    <n v="48"/>
    <n v="0"/>
    <n v="68.55"/>
    <n v="211.54"/>
    <m/>
    <n v="96.693682586652571"/>
    <n v="196.56876174373542"/>
    <n v="0"/>
    <n v="273.07654639999981"/>
    <n v="0"/>
    <n v="285.91915272435489"/>
    <x v="2"/>
  </r>
  <r>
    <s v="Regular"/>
    <x v="0"/>
    <x v="1"/>
    <x v="1"/>
    <x v="1"/>
    <x v="0"/>
    <x v="2"/>
    <x v="1"/>
    <x v="7"/>
    <n v="0"/>
    <n v="0"/>
    <n v="24.561"/>
    <n v="23.57856"/>
    <n v="24.561"/>
    <n v="23.57856"/>
    <n v="0"/>
    <s v="CATIVO"/>
    <n v="0"/>
    <n v="0"/>
    <n v="3"/>
    <n v="48"/>
    <n v="0"/>
    <n v="68.55"/>
    <n v="211.54"/>
    <m/>
    <n v="96.693682586652571"/>
    <n v="196.56876174373542"/>
    <n v="0"/>
    <n v="275.1716196000001"/>
    <n v="0"/>
    <n v="288.11275580794648"/>
    <x v="2"/>
  </r>
  <r>
    <s v="Regular"/>
    <x v="0"/>
    <x v="1"/>
    <x v="1"/>
    <x v="1"/>
    <x v="0"/>
    <x v="2"/>
    <x v="1"/>
    <x v="8"/>
    <n v="0"/>
    <n v="0"/>
    <n v="10.833"/>
    <n v="10.39968"/>
    <n v="10.833"/>
    <n v="10.39968"/>
    <n v="0"/>
    <s v="CATIVO"/>
    <n v="0"/>
    <n v="0"/>
    <n v="3"/>
    <n v="48"/>
    <n v="0"/>
    <n v="68.55"/>
    <n v="211.54"/>
    <m/>
    <n v="96.693682586652571"/>
    <n v="196.56876174373542"/>
    <n v="0"/>
    <n v="121.36859880000003"/>
    <n v="0"/>
    <n v="127.07648237724376"/>
    <x v="2"/>
  </r>
  <r>
    <s v="Regular"/>
    <x v="0"/>
    <x v="1"/>
    <x v="1"/>
    <x v="1"/>
    <x v="0"/>
    <x v="2"/>
    <x v="1"/>
    <x v="9"/>
    <n v="0"/>
    <n v="0"/>
    <n v="9.4120000000000008"/>
    <n v="9.03552"/>
    <n v="9.4120000000000008"/>
    <n v="9.03552"/>
    <n v="0"/>
    <s v="CATIVO"/>
    <n v="0"/>
    <n v="0"/>
    <n v="3"/>
    <n v="48"/>
    <n v="0"/>
    <n v="68.55"/>
    <n v="211.54"/>
    <m/>
    <n v="96.693682586652571"/>
    <n v="196.56876174373542"/>
    <n v="0"/>
    <n v="105.44828320000023"/>
    <n v="0"/>
    <n v="110.40744504150472"/>
    <x v="2"/>
  </r>
  <r>
    <s v="Regular"/>
    <x v="0"/>
    <x v="1"/>
    <x v="1"/>
    <x v="1"/>
    <x v="0"/>
    <x v="2"/>
    <x v="1"/>
    <x v="10"/>
    <n v="0"/>
    <n v="0"/>
    <n v="3.2890000000000001"/>
    <n v="3.1574399999999998"/>
    <n v="3.2890000000000001"/>
    <n v="3.1574399999999998"/>
    <n v="0"/>
    <s v="CATIVO"/>
    <n v="0"/>
    <n v="0"/>
    <n v="3"/>
    <n v="48"/>
    <n v="0"/>
    <n v="68.55"/>
    <n v="211.54"/>
    <m/>
    <n v="96.693682586652571"/>
    <n v="196.56876174373542"/>
    <n v="0"/>
    <n v="36.848640400000093"/>
    <n v="0"/>
    <n v="38.581607176105948"/>
    <x v="2"/>
  </r>
  <r>
    <s v="Regular"/>
    <x v="0"/>
    <x v="1"/>
    <x v="1"/>
    <x v="1"/>
    <x v="0"/>
    <x v="2"/>
    <x v="1"/>
    <x v="11"/>
    <n v="0"/>
    <n v="0"/>
    <n v="4.3490000000000002"/>
    <n v="4.1750400000000001"/>
    <n v="4.3490000000000002"/>
    <n v="4.1750400000000001"/>
    <n v="0"/>
    <s v="CATIVO"/>
    <n v="0"/>
    <n v="0"/>
    <n v="3"/>
    <n v="48"/>
    <n v="0"/>
    <n v="68.55"/>
    <n v="211.54"/>
    <m/>
    <n v="96.693682586652571"/>
    <n v="196.56876174373542"/>
    <n v="0"/>
    <n v="48.724456400000037"/>
    <n v="0"/>
    <n v="51.015934815714331"/>
    <x v="2"/>
  </r>
  <r>
    <s v="Regular"/>
    <x v="0"/>
    <x v="1"/>
    <x v="1"/>
    <x v="1"/>
    <x v="0"/>
    <x v="2"/>
    <x v="0"/>
    <x v="0"/>
    <n v="234"/>
    <n v="224.64"/>
    <n v="0"/>
    <n v="0"/>
    <n v="0"/>
    <n v="0"/>
    <n v="3"/>
    <s v="CATIVO"/>
    <n v="0"/>
    <n v="31"/>
    <n v="0"/>
    <n v="0"/>
    <n v="38.520000000000003"/>
    <n v="0"/>
    <n v="0"/>
    <n v="43.914614031138306"/>
    <m/>
    <m/>
    <n v="360.54720000000054"/>
    <n v="0"/>
    <n v="411.04078733145514"/>
    <n v="0"/>
    <x v="2"/>
  </r>
  <r>
    <s v="Regular"/>
    <x v="0"/>
    <x v="1"/>
    <x v="1"/>
    <x v="1"/>
    <x v="0"/>
    <x v="2"/>
    <x v="0"/>
    <x v="1"/>
    <n v="363"/>
    <n v="348.48"/>
    <n v="0"/>
    <n v="0"/>
    <n v="0"/>
    <n v="0"/>
    <n v="3"/>
    <s v="CATIVO"/>
    <n v="0"/>
    <n v="31"/>
    <n v="0"/>
    <n v="0"/>
    <n v="38.520000000000003"/>
    <n v="0"/>
    <n v="0"/>
    <n v="43.914614031138306"/>
    <m/>
    <m/>
    <n v="559.31039999999939"/>
    <n v="0"/>
    <n v="637.64019573212738"/>
    <n v="0"/>
    <x v="2"/>
  </r>
  <r>
    <s v="Regular"/>
    <x v="0"/>
    <x v="1"/>
    <x v="1"/>
    <x v="1"/>
    <x v="0"/>
    <x v="2"/>
    <x v="0"/>
    <x v="2"/>
    <n v="705"/>
    <n v="676.8"/>
    <n v="0"/>
    <n v="0"/>
    <n v="0"/>
    <n v="0"/>
    <n v="3"/>
    <s v="CATIVO"/>
    <n v="0"/>
    <n v="31"/>
    <n v="0"/>
    <n v="0"/>
    <n v="38.520000000000003"/>
    <n v="0"/>
    <n v="0"/>
    <n v="43.914614031138306"/>
    <m/>
    <m/>
    <n v="1086.2640000000019"/>
    <n v="0"/>
    <n v="1238.3921156781023"/>
    <n v="0"/>
    <x v="2"/>
  </r>
  <r>
    <s v="Regular"/>
    <x v="0"/>
    <x v="1"/>
    <x v="1"/>
    <x v="1"/>
    <x v="0"/>
    <x v="2"/>
    <x v="0"/>
    <x v="3"/>
    <n v="637"/>
    <n v="611.52"/>
    <n v="0"/>
    <n v="0"/>
    <n v="0"/>
    <n v="0"/>
    <n v="3"/>
    <s v="CATIVO"/>
    <n v="0"/>
    <n v="31"/>
    <n v="0"/>
    <n v="0"/>
    <n v="38.520000000000003"/>
    <n v="0"/>
    <n v="0"/>
    <n v="43.914614031138306"/>
    <m/>
    <m/>
    <n v="981.48960000000079"/>
    <n v="0"/>
    <n v="1118.9443655134048"/>
    <n v="0"/>
    <x v="2"/>
  </r>
  <r>
    <s v="Regular"/>
    <x v="0"/>
    <x v="1"/>
    <x v="1"/>
    <x v="1"/>
    <x v="0"/>
    <x v="2"/>
    <x v="0"/>
    <x v="4"/>
    <n v="818"/>
    <n v="785.28"/>
    <n v="0"/>
    <n v="0"/>
    <n v="0"/>
    <n v="0"/>
    <n v="3"/>
    <s v="CATIVO"/>
    <n v="0"/>
    <n v="31"/>
    <n v="0"/>
    <n v="0"/>
    <n v="38.520000000000003"/>
    <n v="0"/>
    <n v="0"/>
    <n v="43.914614031138306"/>
    <m/>
    <m/>
    <n v="1260.3744000000011"/>
    <n v="0"/>
    <n v="1436.8861710988465"/>
    <n v="0"/>
    <x v="2"/>
  </r>
  <r>
    <s v="Regular"/>
    <x v="0"/>
    <x v="1"/>
    <x v="1"/>
    <x v="1"/>
    <x v="0"/>
    <x v="2"/>
    <x v="0"/>
    <x v="5"/>
    <n v="802"/>
    <n v="769.92"/>
    <n v="0"/>
    <n v="0"/>
    <n v="0"/>
    <n v="0"/>
    <n v="3"/>
    <s v="CATIVO"/>
    <n v="0"/>
    <n v="31"/>
    <n v="0"/>
    <n v="0"/>
    <n v="38.520000000000003"/>
    <n v="0"/>
    <n v="0"/>
    <n v="43.914614031138306"/>
    <m/>
    <m/>
    <n v="1235.7216000000017"/>
    <n v="0"/>
    <n v="1408.7808181189187"/>
    <n v="0"/>
    <x v="2"/>
  </r>
  <r>
    <s v="Regular"/>
    <x v="0"/>
    <x v="1"/>
    <x v="1"/>
    <x v="1"/>
    <x v="0"/>
    <x v="2"/>
    <x v="0"/>
    <x v="6"/>
    <n v="674"/>
    <n v="647.04"/>
    <n v="0"/>
    <n v="0"/>
    <n v="0"/>
    <n v="0"/>
    <n v="3"/>
    <s v="CATIVO"/>
    <n v="0"/>
    <n v="31"/>
    <n v="0"/>
    <n v="0"/>
    <n v="38.520000000000003"/>
    <n v="0"/>
    <n v="0"/>
    <n v="43.914614031138306"/>
    <m/>
    <m/>
    <n v="1038.4992000000016"/>
    <n v="0"/>
    <n v="1183.9379942794903"/>
    <n v="0"/>
    <x v="2"/>
  </r>
  <r>
    <s v="Regular"/>
    <x v="0"/>
    <x v="1"/>
    <x v="1"/>
    <x v="1"/>
    <x v="0"/>
    <x v="2"/>
    <x v="0"/>
    <x v="7"/>
    <n v="697"/>
    <n v="669.12"/>
    <n v="0"/>
    <n v="0"/>
    <n v="0"/>
    <n v="0"/>
    <n v="3"/>
    <s v="CATIVO"/>
    <n v="0"/>
    <n v="31"/>
    <n v="0"/>
    <n v="0"/>
    <n v="38.520000000000003"/>
    <n v="0"/>
    <n v="0"/>
    <n v="43.914614031138306"/>
    <m/>
    <m/>
    <n v="1073.9376"/>
    <n v="0"/>
    <n v="1224.3394391881359"/>
    <n v="0"/>
    <x v="2"/>
  </r>
  <r>
    <s v="Regular"/>
    <x v="0"/>
    <x v="1"/>
    <x v="1"/>
    <x v="1"/>
    <x v="0"/>
    <x v="2"/>
    <x v="0"/>
    <x v="8"/>
    <n v="695"/>
    <n v="667.2"/>
    <n v="0"/>
    <n v="0"/>
    <n v="0"/>
    <n v="0"/>
    <n v="3"/>
    <s v="CATIVO"/>
    <n v="0"/>
    <n v="31"/>
    <n v="0"/>
    <n v="0"/>
    <n v="38.520000000000003"/>
    <n v="0"/>
    <n v="0"/>
    <n v="43.914614031138306"/>
    <m/>
    <m/>
    <n v="1070.8559999999984"/>
    <n v="0"/>
    <n v="1220.826270065643"/>
    <n v="0"/>
    <x v="2"/>
  </r>
  <r>
    <s v="Regular"/>
    <x v="0"/>
    <x v="1"/>
    <x v="1"/>
    <x v="1"/>
    <x v="0"/>
    <x v="2"/>
    <x v="0"/>
    <x v="9"/>
    <n v="692"/>
    <n v="664.32"/>
    <n v="0"/>
    <n v="0"/>
    <n v="0"/>
    <n v="0"/>
    <n v="3"/>
    <s v="CATIVO"/>
    <n v="0"/>
    <n v="31"/>
    <n v="0"/>
    <n v="0"/>
    <n v="38.520000000000003"/>
    <n v="0"/>
    <n v="0"/>
    <n v="43.914614031138306"/>
    <m/>
    <m/>
    <n v="1066.2335999999982"/>
    <n v="0"/>
    <n v="1215.556516381906"/>
    <n v="0"/>
    <x v="2"/>
  </r>
  <r>
    <s v="Regular"/>
    <x v="0"/>
    <x v="1"/>
    <x v="1"/>
    <x v="1"/>
    <x v="0"/>
    <x v="2"/>
    <x v="0"/>
    <x v="10"/>
    <n v="208"/>
    <n v="199.68"/>
    <n v="0"/>
    <n v="0"/>
    <n v="0"/>
    <n v="0"/>
    <n v="3"/>
    <s v="CATIVO"/>
    <n v="0"/>
    <n v="31"/>
    <n v="0"/>
    <n v="0"/>
    <n v="38.520000000000003"/>
    <n v="0"/>
    <n v="0"/>
    <n v="43.914614031138306"/>
    <m/>
    <m/>
    <n v="320.48639999999978"/>
    <n v="0"/>
    <n v="365.36958873907042"/>
    <n v="0"/>
    <x v="2"/>
  </r>
  <r>
    <s v="Regular"/>
    <x v="0"/>
    <x v="1"/>
    <x v="1"/>
    <x v="1"/>
    <x v="0"/>
    <x v="2"/>
    <x v="0"/>
    <x v="11"/>
    <n v="948"/>
    <n v="910.08"/>
    <n v="0"/>
    <n v="0"/>
    <n v="0"/>
    <n v="0"/>
    <n v="3"/>
    <s v="CATIVO"/>
    <n v="0"/>
    <n v="31"/>
    <n v="0"/>
    <n v="0"/>
    <n v="38.520000000000003"/>
    <n v="0"/>
    <n v="0"/>
    <n v="43.914614031138306"/>
    <m/>
    <m/>
    <n v="1460.6783999999986"/>
    <n v="0"/>
    <n v="1665.2421640607629"/>
    <n v="0"/>
    <x v="2"/>
  </r>
  <r>
    <s v="Regular"/>
    <x v="0"/>
    <x v="1"/>
    <x v="1"/>
    <x v="1"/>
    <x v="0"/>
    <x v="2"/>
    <x v="2"/>
    <x v="0"/>
    <n v="0"/>
    <n v="0"/>
    <n v="0.124"/>
    <n v="0.11904000000000001"/>
    <n v="0.124"/>
    <n v="0.11904000000000001"/>
    <n v="0"/>
    <s v="CATIVO"/>
    <n v="0"/>
    <n v="0"/>
    <n v="15"/>
    <n v="24"/>
    <n v="0"/>
    <n v="2115.38"/>
    <n v="211.54"/>
    <m/>
    <n v="2265.9490503759016"/>
    <n v="196.56876174373542"/>
    <n v="0"/>
    <n v="11.541523199999983"/>
    <n v="0"/>
    <n v="12.21408834811338"/>
    <x v="2"/>
  </r>
  <r>
    <s v="Regular"/>
    <x v="0"/>
    <x v="1"/>
    <x v="1"/>
    <x v="1"/>
    <x v="0"/>
    <x v="2"/>
    <x v="2"/>
    <x v="1"/>
    <n v="0"/>
    <n v="0"/>
    <n v="2.7E-2"/>
    <n v="2.5919999999999999E-2"/>
    <n v="2.7E-2"/>
    <n v="2.5919999999999999E-2"/>
    <n v="0"/>
    <s v="CATIVO"/>
    <n v="0"/>
    <n v="0"/>
    <n v="15"/>
    <n v="24"/>
    <n v="0"/>
    <n v="2115.38"/>
    <n v="211.54"/>
    <m/>
    <n v="2265.9490503759016"/>
    <n v="196.56876174373542"/>
    <n v="0"/>
    <n v="2.5130736000000025"/>
    <n v="0"/>
    <n v="2.6595192370892109"/>
    <x v="2"/>
  </r>
  <r>
    <s v="Regular"/>
    <x v="0"/>
    <x v="1"/>
    <x v="1"/>
    <x v="1"/>
    <x v="0"/>
    <x v="2"/>
    <x v="2"/>
    <x v="2"/>
    <n v="0"/>
    <n v="0"/>
    <n v="0.14599999999999999"/>
    <n v="0.14016000000000001"/>
    <n v="0.14599999999999999"/>
    <n v="0.14016000000000001"/>
    <n v="0"/>
    <s v="CATIVO"/>
    <n v="0"/>
    <n v="0"/>
    <n v="15"/>
    <n v="24"/>
    <n v="0"/>
    <n v="2115.38"/>
    <n v="211.54"/>
    <m/>
    <n v="2265.9490503759016"/>
    <n v="196.56876174373542"/>
    <n v="0"/>
    <n v="13.589212799999963"/>
    <n v="0"/>
    <n v="14.381104022778642"/>
    <x v="2"/>
  </r>
  <r>
    <s v="Regular"/>
    <x v="0"/>
    <x v="1"/>
    <x v="1"/>
    <x v="1"/>
    <x v="0"/>
    <x v="2"/>
    <x v="2"/>
    <x v="3"/>
    <n v="0"/>
    <n v="0"/>
    <n v="0.158"/>
    <n v="0.15168000000000001"/>
    <n v="0.158"/>
    <n v="0.15168000000000001"/>
    <n v="0"/>
    <s v="CATIVO"/>
    <n v="0"/>
    <n v="0"/>
    <n v="15"/>
    <n v="24"/>
    <n v="0"/>
    <n v="2115.38"/>
    <n v="211.54"/>
    <m/>
    <n v="2265.9490503759016"/>
    <n v="196.56876174373542"/>
    <n v="0"/>
    <n v="14.706134399999982"/>
    <n v="0"/>
    <n v="15.563112572596088"/>
    <x v="2"/>
  </r>
  <r>
    <s v="Regular"/>
    <x v="0"/>
    <x v="1"/>
    <x v="1"/>
    <x v="1"/>
    <x v="0"/>
    <x v="2"/>
    <x v="2"/>
    <x v="4"/>
    <n v="0"/>
    <n v="0"/>
    <n v="0.41399999999999998"/>
    <n v="0.39744000000000002"/>
    <n v="0.41399999999999998"/>
    <n v="0.39744000000000002"/>
    <n v="0"/>
    <s v="CATIVO"/>
    <n v="0"/>
    <n v="0"/>
    <n v="15"/>
    <n v="24"/>
    <n v="0"/>
    <n v="2115.38"/>
    <n v="211.54"/>
    <m/>
    <n v="2265.9490503759016"/>
    <n v="196.56876174373542"/>
    <n v="0"/>
    <n v="38.533795199999915"/>
    <n v="0"/>
    <n v="40.779294968701095"/>
    <x v="2"/>
  </r>
  <r>
    <s v="Regular"/>
    <x v="0"/>
    <x v="1"/>
    <x v="1"/>
    <x v="1"/>
    <x v="0"/>
    <x v="2"/>
    <x v="2"/>
    <x v="5"/>
    <n v="0"/>
    <n v="0"/>
    <n v="0.77700000000000002"/>
    <n v="0.74592000000000003"/>
    <n v="0.77700000000000002"/>
    <n v="0.74592000000000003"/>
    <n v="0"/>
    <s v="CATIVO"/>
    <n v="0"/>
    <n v="0"/>
    <n v="15"/>
    <n v="24"/>
    <n v="0"/>
    <n v="2115.38"/>
    <n v="211.54"/>
    <m/>
    <n v="2265.9490503759016"/>
    <n v="196.56876174373542"/>
    <n v="0"/>
    <n v="72.320673600000006"/>
    <n v="0"/>
    <n v="76.53505360067831"/>
    <x v="2"/>
  </r>
  <r>
    <s v="Regular"/>
    <x v="0"/>
    <x v="1"/>
    <x v="1"/>
    <x v="1"/>
    <x v="0"/>
    <x v="2"/>
    <x v="2"/>
    <x v="6"/>
    <n v="0"/>
    <n v="0"/>
    <n v="0.247"/>
    <n v="0.23712"/>
    <n v="0.247"/>
    <n v="0.23712"/>
    <n v="0"/>
    <s v="CATIVO"/>
    <n v="0"/>
    <n v="0"/>
    <n v="15"/>
    <n v="24"/>
    <n v="0"/>
    <n v="2115.38"/>
    <n v="211.54"/>
    <m/>
    <n v="2265.9490503759016"/>
    <n v="196.56876174373542"/>
    <n v="0"/>
    <n v="22.989969600000002"/>
    <n v="0"/>
    <n v="24.329675983742014"/>
    <x v="2"/>
  </r>
  <r>
    <s v="Regular"/>
    <x v="0"/>
    <x v="1"/>
    <x v="1"/>
    <x v="1"/>
    <x v="0"/>
    <x v="2"/>
    <x v="2"/>
    <x v="7"/>
    <n v="0"/>
    <n v="0"/>
    <n v="1.0189999999999999"/>
    <n v="0.97824"/>
    <n v="1.0189999999999999"/>
    <n v="0.97824"/>
    <n v="0"/>
    <s v="CATIVO"/>
    <n v="0"/>
    <n v="0"/>
    <n v="15"/>
    <n v="24"/>
    <n v="0"/>
    <n v="2115.38"/>
    <n v="211.54"/>
    <m/>
    <n v="2265.9490503759016"/>
    <n v="196.56876174373542"/>
    <n v="0"/>
    <n v="94.845259199999788"/>
    <n v="0"/>
    <n v="100.37222602199617"/>
    <x v="2"/>
  </r>
  <r>
    <s v="Regular"/>
    <x v="0"/>
    <x v="1"/>
    <x v="1"/>
    <x v="1"/>
    <x v="0"/>
    <x v="2"/>
    <x v="2"/>
    <x v="8"/>
    <n v="0"/>
    <n v="0"/>
    <n v="1.1459999999999999"/>
    <n v="1.10016"/>
    <n v="1.1459999999999999"/>
    <n v="1.10016"/>
    <n v="0"/>
    <s v="CATIVO"/>
    <n v="0"/>
    <n v="0"/>
    <n v="15"/>
    <n v="24"/>
    <n v="0"/>
    <n v="2115.38"/>
    <n v="211.54"/>
    <m/>
    <n v="2265.9490503759016"/>
    <n v="196.56876174373542"/>
    <n v="0"/>
    <n v="106.66601279999972"/>
    <n v="0"/>
    <n v="112.88181650756387"/>
    <x v="2"/>
  </r>
  <r>
    <s v="Regular"/>
    <x v="0"/>
    <x v="1"/>
    <x v="1"/>
    <x v="1"/>
    <x v="0"/>
    <x v="2"/>
    <x v="2"/>
    <x v="9"/>
    <n v="0"/>
    <n v="0"/>
    <n v="0.46500000000000002"/>
    <n v="0.44640000000000002"/>
    <n v="0.46500000000000002"/>
    <n v="0.44640000000000002"/>
    <n v="0"/>
    <s v="CATIVO"/>
    <n v="0"/>
    <n v="0"/>
    <n v="15"/>
    <n v="24"/>
    <n v="0"/>
    <n v="2115.38"/>
    <n v="211.54"/>
    <m/>
    <n v="2265.9490503759016"/>
    <n v="196.56876174373542"/>
    <n v="0"/>
    <n v="43.280712000000015"/>
    <n v="0"/>
    <n v="45.802831305425265"/>
    <x v="2"/>
  </r>
  <r>
    <s v="Regular"/>
    <x v="0"/>
    <x v="1"/>
    <x v="1"/>
    <x v="1"/>
    <x v="0"/>
    <x v="2"/>
    <x v="2"/>
    <x v="10"/>
    <n v="0"/>
    <n v="0"/>
    <n v="6.2E-2"/>
    <n v="5.9520000000000003E-2"/>
    <n v="6.2E-2"/>
    <n v="5.9520000000000003E-2"/>
    <n v="0"/>
    <s v="CATIVO"/>
    <n v="0"/>
    <n v="0"/>
    <n v="15"/>
    <n v="24"/>
    <n v="0"/>
    <n v="2115.38"/>
    <n v="211.54"/>
    <m/>
    <n v="2265.9490503759016"/>
    <n v="196.56876174373542"/>
    <n v="0"/>
    <n v="5.7707615999999913"/>
    <n v="0"/>
    <n v="6.1070441740566901"/>
    <x v="2"/>
  </r>
  <r>
    <s v="Regular"/>
    <x v="0"/>
    <x v="1"/>
    <x v="1"/>
    <x v="1"/>
    <x v="0"/>
    <x v="2"/>
    <x v="2"/>
    <x v="11"/>
    <n v="0"/>
    <n v="0"/>
    <n v="9.6000000000000002E-2"/>
    <n v="9.2160000000000006E-2"/>
    <n v="9.6000000000000002E-2"/>
    <n v="9.2160000000000006E-2"/>
    <n v="0"/>
    <s v="CATIVO"/>
    <n v="0"/>
    <n v="0"/>
    <n v="15"/>
    <n v="24"/>
    <n v="0"/>
    <n v="2115.38"/>
    <n v="211.54"/>
    <m/>
    <n v="2265.9490503759016"/>
    <n v="196.56876174373542"/>
    <n v="0"/>
    <n v="8.9353727999999926"/>
    <n v="0"/>
    <n v="9.4560683985393972"/>
    <x v="2"/>
  </r>
  <r>
    <s v="Regular"/>
    <x v="0"/>
    <x v="1"/>
    <x v="1"/>
    <x v="0"/>
    <x v="0"/>
    <x v="2"/>
    <x v="1"/>
    <x v="0"/>
    <n v="0"/>
    <n v="0"/>
    <n v="8.3209999999999997"/>
    <n v="7.9881599999999997"/>
    <n v="8.3209999999999997"/>
    <n v="7.9881599999999997"/>
    <n v="0"/>
    <s v="CATIVO"/>
    <n v="0"/>
    <n v="0"/>
    <n v="3"/>
    <n v="48"/>
    <n v="0"/>
    <n v="68.55"/>
    <n v="211.54"/>
    <m/>
    <n v="96.693682586652571"/>
    <n v="196.56876174373542"/>
    <n v="0"/>
    <n v="93.225155599999994"/>
    <n v="0"/>
    <n v="97.60947197092635"/>
    <x v="2"/>
  </r>
  <r>
    <s v="Regular"/>
    <x v="0"/>
    <x v="1"/>
    <x v="1"/>
    <x v="0"/>
    <x v="0"/>
    <x v="2"/>
    <x v="1"/>
    <x v="1"/>
    <n v="0"/>
    <n v="0"/>
    <n v="1.4419999999999999"/>
    <n v="1.38432"/>
    <n v="1.4419999999999999"/>
    <n v="1.38432"/>
    <n v="0"/>
    <s v="CATIVO"/>
    <n v="0"/>
    <n v="0"/>
    <n v="3"/>
    <n v="48"/>
    <n v="0"/>
    <n v="68.55"/>
    <n v="211.54"/>
    <m/>
    <n v="96.693682586652571"/>
    <n v="196.56876174373542"/>
    <n v="0"/>
    <n v="16.155591199999986"/>
    <n v="0"/>
    <n v="16.915377788976766"/>
    <x v="2"/>
  </r>
  <r>
    <s v="Regular"/>
    <x v="0"/>
    <x v="1"/>
    <x v="1"/>
    <x v="0"/>
    <x v="0"/>
    <x v="2"/>
    <x v="1"/>
    <x v="2"/>
    <n v="0"/>
    <n v="0"/>
    <n v="2.9969999999999999"/>
    <n v="2.8771200000000001"/>
    <n v="2.9969999999999999"/>
    <n v="2.8771200000000001"/>
    <n v="0"/>
    <s v="CATIVO"/>
    <n v="0"/>
    <n v="0"/>
    <n v="3"/>
    <n v="48"/>
    <n v="0"/>
    <n v="68.55"/>
    <n v="211.54"/>
    <m/>
    <n v="96.693682586652571"/>
    <n v="196.56876174373542"/>
    <n v="0"/>
    <n v="33.577189199999935"/>
    <n v="0"/>
    <n v="35.156301826326846"/>
    <x v="2"/>
  </r>
  <r>
    <s v="Regular"/>
    <x v="0"/>
    <x v="1"/>
    <x v="1"/>
    <x v="0"/>
    <x v="0"/>
    <x v="2"/>
    <x v="1"/>
    <x v="3"/>
    <n v="0"/>
    <n v="0"/>
    <n v="17.882000000000001"/>
    <n v="17.166720000000002"/>
    <n v="17.882000000000001"/>
    <n v="17.166720000000002"/>
    <n v="0"/>
    <s v="CATIVO"/>
    <n v="0"/>
    <n v="0"/>
    <n v="3"/>
    <n v="48"/>
    <n v="0"/>
    <n v="68.55"/>
    <n v="211.54"/>
    <m/>
    <n v="96.693682586652571"/>
    <n v="196.56876174373542"/>
    <n v="0"/>
    <n v="200.34277519999998"/>
    <n v="0"/>
    <n v="209.76476118063988"/>
    <x v="2"/>
  </r>
  <r>
    <s v="Regular"/>
    <x v="0"/>
    <x v="1"/>
    <x v="1"/>
    <x v="0"/>
    <x v="0"/>
    <x v="2"/>
    <x v="1"/>
    <x v="4"/>
    <n v="0"/>
    <n v="0"/>
    <n v="29.914000000000001"/>
    <n v="28.71744"/>
    <n v="29.914000000000001"/>
    <n v="28.71744"/>
    <n v="0"/>
    <s v="CATIVO"/>
    <n v="0"/>
    <n v="0"/>
    <n v="3"/>
    <n v="48"/>
    <n v="0"/>
    <n v="68.55"/>
    <n v="211.54"/>
    <m/>
    <n v="96.693682586652571"/>
    <n v="196.56876174373542"/>
    <n v="0"/>
    <n v="335.14449040000045"/>
    <n v="0"/>
    <n v="350.90611038796953"/>
    <x v="2"/>
  </r>
  <r>
    <s v="Regular"/>
    <x v="0"/>
    <x v="1"/>
    <x v="1"/>
    <x v="0"/>
    <x v="0"/>
    <x v="2"/>
    <x v="1"/>
    <x v="5"/>
    <n v="0"/>
    <n v="0"/>
    <n v="35.438000000000002"/>
    <n v="34.020479999999999"/>
    <n v="35.438000000000002"/>
    <n v="34.020479999999999"/>
    <n v="0"/>
    <s v="CATIVO"/>
    <n v="0"/>
    <n v="0"/>
    <n v="3"/>
    <n v="48"/>
    <n v="0"/>
    <n v="68.55"/>
    <n v="211.54"/>
    <m/>
    <n v="96.693682586652571"/>
    <n v="196.56876174373542"/>
    <n v="0"/>
    <n v="397.03317680000089"/>
    <n v="0"/>
    <n v="415.70538008721257"/>
    <x v="2"/>
  </r>
  <r>
    <s v="Regular"/>
    <x v="0"/>
    <x v="1"/>
    <x v="1"/>
    <x v="0"/>
    <x v="0"/>
    <x v="2"/>
    <x v="1"/>
    <x v="6"/>
    <n v="0"/>
    <n v="0"/>
    <n v="67.201999999999998"/>
    <n v="64.513919999999999"/>
    <n v="67.201999999999998"/>
    <n v="64.513919999999999"/>
    <n v="0"/>
    <s v="CATIVO"/>
    <n v="0"/>
    <n v="0"/>
    <n v="3"/>
    <n v="48"/>
    <n v="0"/>
    <n v="68.55"/>
    <n v="211.54"/>
    <m/>
    <n v="96.693682586652571"/>
    <n v="196.56876174373542"/>
    <n v="0"/>
    <n v="752.90432719999978"/>
    <n v="0"/>
    <n v="788.31291135562913"/>
    <x v="2"/>
  </r>
  <r>
    <s v="Regular"/>
    <x v="0"/>
    <x v="1"/>
    <x v="1"/>
    <x v="0"/>
    <x v="0"/>
    <x v="2"/>
    <x v="1"/>
    <x v="7"/>
    <n v="0"/>
    <n v="0"/>
    <n v="33.357999999999997"/>
    <n v="32.023679999999999"/>
    <n v="33.357999999999997"/>
    <n v="32.023679999999999"/>
    <n v="0"/>
    <s v="CATIVO"/>
    <n v="0"/>
    <n v="0"/>
    <n v="3"/>
    <n v="48"/>
    <n v="0"/>
    <n v="68.55"/>
    <n v="211.54"/>
    <m/>
    <n v="96.693682586652571"/>
    <n v="196.56876174373542"/>
    <n v="0"/>
    <n v="373.72968879999945"/>
    <n v="0"/>
    <n v="391.30594471892277"/>
    <x v="2"/>
  </r>
  <r>
    <s v="Regular"/>
    <x v="0"/>
    <x v="1"/>
    <x v="1"/>
    <x v="0"/>
    <x v="0"/>
    <x v="2"/>
    <x v="1"/>
    <x v="8"/>
    <n v="0"/>
    <n v="0"/>
    <n v="31.106000000000002"/>
    <n v="29.86176"/>
    <n v="31.106000000000002"/>
    <n v="29.86176"/>
    <n v="0"/>
    <s v="CATIVO"/>
    <n v="0"/>
    <n v="0"/>
    <n v="3"/>
    <n v="48"/>
    <n v="0"/>
    <n v="68.55"/>
    <n v="211.54"/>
    <m/>
    <n v="96.693682586652571"/>
    <n v="196.56876174373542"/>
    <n v="0"/>
    <n v="348.49918160000038"/>
    <n v="0"/>
    <n v="364.88886373364232"/>
    <x v="2"/>
  </r>
  <r>
    <s v="Regular"/>
    <x v="0"/>
    <x v="1"/>
    <x v="1"/>
    <x v="0"/>
    <x v="0"/>
    <x v="2"/>
    <x v="1"/>
    <x v="9"/>
    <n v="0"/>
    <n v="0"/>
    <n v="23.597999999999999"/>
    <n v="22.65408"/>
    <n v="23.597999999999999"/>
    <n v="22.65408"/>
    <n v="0"/>
    <s v="CATIVO"/>
    <n v="0"/>
    <n v="0"/>
    <n v="3"/>
    <n v="48"/>
    <n v="0"/>
    <n v="68.55"/>
    <n v="211.54"/>
    <m/>
    <n v="96.693682586652571"/>
    <n v="196.56876174373542"/>
    <n v="0"/>
    <n v="264.38255279999959"/>
    <n v="0"/>
    <n v="276.8162864523394"/>
    <x v="2"/>
  </r>
  <r>
    <s v="Regular"/>
    <x v="0"/>
    <x v="1"/>
    <x v="1"/>
    <x v="0"/>
    <x v="0"/>
    <x v="2"/>
    <x v="1"/>
    <x v="10"/>
    <n v="0"/>
    <n v="0"/>
    <n v="19.457999999999998"/>
    <n v="18.679680000000001"/>
    <n v="19.457999999999998"/>
    <n v="18.679680000000001"/>
    <n v="0"/>
    <s v="CATIVO"/>
    <n v="0"/>
    <n v="0"/>
    <n v="3"/>
    <n v="48"/>
    <n v="0"/>
    <n v="68.55"/>
    <n v="211.54"/>
    <m/>
    <n v="96.693682586652571"/>
    <n v="196.56876174373542"/>
    <n v="0"/>
    <n v="217.99964879999922"/>
    <n v="0"/>
    <n v="228.25202567122676"/>
    <x v="2"/>
  </r>
  <r>
    <s v="Regular"/>
    <x v="0"/>
    <x v="1"/>
    <x v="1"/>
    <x v="0"/>
    <x v="0"/>
    <x v="2"/>
    <x v="1"/>
    <x v="11"/>
    <n v="0"/>
    <n v="0"/>
    <n v="18.079000000000001"/>
    <n v="17.355840000000001"/>
    <n v="18.079000000000001"/>
    <n v="17.355840000000001"/>
    <n v="0"/>
    <s v="CATIVO"/>
    <n v="0"/>
    <n v="0"/>
    <n v="3"/>
    <n v="48"/>
    <n v="0"/>
    <n v="68.55"/>
    <n v="211.54"/>
    <m/>
    <n v="96.693682586652571"/>
    <n v="196.56876174373542"/>
    <n v="0"/>
    <n v="202.5498844"/>
    <n v="0"/>
    <n v="212.07566924196337"/>
    <x v="2"/>
  </r>
  <r>
    <s v="Regular"/>
    <x v="0"/>
    <x v="1"/>
    <x v="1"/>
    <x v="0"/>
    <x v="0"/>
    <x v="2"/>
    <x v="0"/>
    <x v="0"/>
    <n v="110"/>
    <n v="105.6"/>
    <n v="0"/>
    <n v="0"/>
    <n v="0"/>
    <n v="0"/>
    <n v="1"/>
    <s v="CATIVO"/>
    <n v="0"/>
    <n v="31"/>
    <n v="0"/>
    <n v="0"/>
    <n v="38.520000000000003"/>
    <n v="0"/>
    <n v="0"/>
    <n v="43.914614031138306"/>
    <m/>
    <m/>
    <n v="169.48800000000023"/>
    <n v="0"/>
    <n v="193.2243017370088"/>
    <n v="0"/>
    <x v="2"/>
  </r>
  <r>
    <s v="Regular"/>
    <x v="0"/>
    <x v="1"/>
    <x v="1"/>
    <x v="0"/>
    <x v="0"/>
    <x v="2"/>
    <x v="0"/>
    <x v="1"/>
    <n v="110"/>
    <n v="105.6"/>
    <n v="0"/>
    <n v="0"/>
    <n v="0"/>
    <n v="0"/>
    <n v="1"/>
    <s v="CATIVO"/>
    <n v="0"/>
    <n v="31"/>
    <n v="0"/>
    <n v="0"/>
    <n v="38.520000000000003"/>
    <n v="0"/>
    <n v="0"/>
    <n v="43.914614031138306"/>
    <m/>
    <m/>
    <n v="169.48800000000023"/>
    <n v="0"/>
    <n v="193.2243017370088"/>
    <n v="0"/>
    <x v="2"/>
  </r>
  <r>
    <s v="Regular"/>
    <x v="0"/>
    <x v="1"/>
    <x v="1"/>
    <x v="0"/>
    <x v="0"/>
    <x v="2"/>
    <x v="0"/>
    <x v="2"/>
    <n v="110"/>
    <n v="105.6"/>
    <n v="0"/>
    <n v="0"/>
    <n v="0"/>
    <n v="0"/>
    <n v="1"/>
    <s v="CATIVO"/>
    <n v="0"/>
    <n v="31"/>
    <n v="0"/>
    <n v="0"/>
    <n v="38.520000000000003"/>
    <n v="0"/>
    <n v="0"/>
    <n v="43.914614031138306"/>
    <m/>
    <m/>
    <n v="169.48800000000023"/>
    <n v="0"/>
    <n v="193.2243017370088"/>
    <n v="0"/>
    <x v="2"/>
  </r>
  <r>
    <s v="Regular"/>
    <x v="0"/>
    <x v="1"/>
    <x v="1"/>
    <x v="0"/>
    <x v="0"/>
    <x v="2"/>
    <x v="0"/>
    <x v="3"/>
    <n v="110"/>
    <n v="105.6"/>
    <n v="0"/>
    <n v="0"/>
    <n v="0"/>
    <n v="0"/>
    <n v="1"/>
    <s v="CATIVO"/>
    <n v="0"/>
    <n v="31"/>
    <n v="0"/>
    <n v="0"/>
    <n v="38.520000000000003"/>
    <n v="0"/>
    <n v="0"/>
    <n v="43.914614031138306"/>
    <m/>
    <m/>
    <n v="169.48800000000023"/>
    <n v="0"/>
    <n v="193.2243017370088"/>
    <n v="0"/>
    <x v="2"/>
  </r>
  <r>
    <s v="Regular"/>
    <x v="0"/>
    <x v="1"/>
    <x v="1"/>
    <x v="0"/>
    <x v="0"/>
    <x v="2"/>
    <x v="0"/>
    <x v="4"/>
    <n v="119"/>
    <n v="114.24"/>
    <n v="0"/>
    <n v="0"/>
    <n v="0"/>
    <n v="0"/>
    <n v="1"/>
    <s v="CATIVO"/>
    <n v="0"/>
    <n v="31"/>
    <n v="0"/>
    <n v="0"/>
    <n v="38.520000000000003"/>
    <n v="0"/>
    <n v="0"/>
    <n v="43.914614031138306"/>
    <m/>
    <m/>
    <n v="183.35520000000022"/>
    <n v="0"/>
    <n v="209.03356278821857"/>
    <n v="0"/>
    <x v="2"/>
  </r>
  <r>
    <s v="Regular"/>
    <x v="0"/>
    <x v="1"/>
    <x v="1"/>
    <x v="0"/>
    <x v="0"/>
    <x v="2"/>
    <x v="0"/>
    <x v="5"/>
    <n v="116"/>
    <n v="111.36"/>
    <n v="0"/>
    <n v="0"/>
    <n v="0"/>
    <n v="0"/>
    <n v="1"/>
    <s v="CATIVO"/>
    <n v="0"/>
    <n v="31"/>
    <n v="0"/>
    <n v="0"/>
    <n v="38.520000000000003"/>
    <n v="0"/>
    <n v="0"/>
    <n v="43.914614031138306"/>
    <m/>
    <m/>
    <n v="178.73280000000003"/>
    <n v="0"/>
    <n v="203.76380910448177"/>
    <n v="0"/>
    <x v="2"/>
  </r>
  <r>
    <s v="Regular"/>
    <x v="0"/>
    <x v="1"/>
    <x v="1"/>
    <x v="0"/>
    <x v="0"/>
    <x v="2"/>
    <x v="0"/>
    <x v="6"/>
    <n v="119"/>
    <n v="114.24"/>
    <n v="0"/>
    <n v="0"/>
    <n v="0"/>
    <n v="0"/>
    <n v="1"/>
    <s v="CATIVO"/>
    <n v="0"/>
    <n v="31"/>
    <n v="0"/>
    <n v="0"/>
    <n v="38.520000000000003"/>
    <n v="0"/>
    <n v="0"/>
    <n v="43.914614031138306"/>
    <m/>
    <m/>
    <n v="183.35520000000022"/>
    <n v="0"/>
    <n v="209.03356278821857"/>
    <n v="0"/>
    <x v="2"/>
  </r>
  <r>
    <s v="Regular"/>
    <x v="0"/>
    <x v="1"/>
    <x v="1"/>
    <x v="0"/>
    <x v="0"/>
    <x v="2"/>
    <x v="0"/>
    <x v="7"/>
    <n v="117"/>
    <n v="112.32"/>
    <n v="0"/>
    <n v="0"/>
    <n v="0"/>
    <n v="0"/>
    <n v="1"/>
    <s v="CATIVO"/>
    <n v="0"/>
    <n v="31"/>
    <n v="0"/>
    <n v="0"/>
    <n v="38.520000000000003"/>
    <n v="0"/>
    <n v="0"/>
    <n v="43.914614031138306"/>
    <m/>
    <m/>
    <n v="180.27360000000027"/>
    <n v="0"/>
    <n v="205.52039366572757"/>
    <n v="0"/>
    <x v="2"/>
  </r>
  <r>
    <s v="Regular"/>
    <x v="0"/>
    <x v="1"/>
    <x v="1"/>
    <x v="0"/>
    <x v="0"/>
    <x v="2"/>
    <x v="0"/>
    <x v="8"/>
    <n v="118"/>
    <n v="113.28"/>
    <n v="0"/>
    <n v="0"/>
    <n v="0"/>
    <n v="0"/>
    <n v="1"/>
    <s v="CATIVO"/>
    <n v="0"/>
    <n v="31"/>
    <n v="0"/>
    <n v="0"/>
    <n v="38.520000000000003"/>
    <n v="0"/>
    <n v="0"/>
    <n v="43.914614031138306"/>
    <m/>
    <m/>
    <n v="181.81439999999998"/>
    <n v="0"/>
    <n v="207.27697822697274"/>
    <n v="0"/>
    <x v="2"/>
  </r>
  <r>
    <s v="Regular"/>
    <x v="0"/>
    <x v="1"/>
    <x v="1"/>
    <x v="0"/>
    <x v="0"/>
    <x v="2"/>
    <x v="0"/>
    <x v="9"/>
    <n v="111"/>
    <n v="106.56"/>
    <n v="0"/>
    <n v="0"/>
    <n v="0"/>
    <n v="0"/>
    <n v="1"/>
    <s v="CATIVO"/>
    <n v="0"/>
    <n v="31"/>
    <n v="0"/>
    <n v="0"/>
    <n v="38.520000000000003"/>
    <n v="0"/>
    <n v="0"/>
    <n v="43.914614031138306"/>
    <m/>
    <m/>
    <n v="171.02879999999993"/>
    <n v="0"/>
    <n v="194.98088629825398"/>
    <n v="0"/>
    <x v="2"/>
  </r>
  <r>
    <s v="Regular"/>
    <x v="0"/>
    <x v="1"/>
    <x v="1"/>
    <x v="0"/>
    <x v="0"/>
    <x v="2"/>
    <x v="0"/>
    <x v="10"/>
    <n v="110"/>
    <n v="105.6"/>
    <n v="0"/>
    <n v="0"/>
    <n v="0"/>
    <n v="0"/>
    <n v="1"/>
    <s v="CATIVO"/>
    <n v="0"/>
    <n v="31"/>
    <n v="0"/>
    <n v="0"/>
    <n v="38.520000000000003"/>
    <n v="0"/>
    <n v="0"/>
    <n v="43.914614031138306"/>
    <m/>
    <m/>
    <n v="169.48800000000023"/>
    <n v="0"/>
    <n v="193.2243017370088"/>
    <n v="0"/>
    <x v="2"/>
  </r>
  <r>
    <s v="Regular"/>
    <x v="0"/>
    <x v="1"/>
    <x v="1"/>
    <x v="0"/>
    <x v="0"/>
    <x v="2"/>
    <x v="0"/>
    <x v="11"/>
    <n v="110"/>
    <n v="105.6"/>
    <n v="0"/>
    <n v="0"/>
    <n v="0"/>
    <n v="0"/>
    <n v="1"/>
    <s v="CATIVO"/>
    <n v="0"/>
    <n v="31"/>
    <n v="0"/>
    <n v="0"/>
    <n v="38.520000000000003"/>
    <n v="0"/>
    <n v="0"/>
    <n v="43.914614031138306"/>
    <m/>
    <m/>
    <n v="169.48800000000023"/>
    <n v="0"/>
    <n v="193.2243017370088"/>
    <n v="0"/>
    <x v="2"/>
  </r>
  <r>
    <s v="Regular"/>
    <x v="0"/>
    <x v="1"/>
    <x v="1"/>
    <x v="0"/>
    <x v="0"/>
    <x v="2"/>
    <x v="2"/>
    <x v="0"/>
    <n v="0"/>
    <n v="0"/>
    <n v="0.60699999999999998"/>
    <n v="0.58272000000000002"/>
    <n v="0.60699999999999998"/>
    <n v="0.58272000000000002"/>
    <n v="0"/>
    <s v="CATIVO"/>
    <n v="0"/>
    <n v="0"/>
    <n v="15"/>
    <n v="24"/>
    <n v="0"/>
    <n v="2115.38"/>
    <n v="211.54"/>
    <m/>
    <n v="2265.9490503759016"/>
    <n v="196.56876174373542"/>
    <n v="0"/>
    <n v="56.497617599999927"/>
    <n v="0"/>
    <n v="59.78993247826471"/>
    <x v="2"/>
  </r>
  <r>
    <s v="Regular"/>
    <x v="0"/>
    <x v="1"/>
    <x v="1"/>
    <x v="0"/>
    <x v="0"/>
    <x v="2"/>
    <x v="2"/>
    <x v="1"/>
    <n v="0"/>
    <n v="0"/>
    <n v="0.193"/>
    <n v="0.18528"/>
    <n v="0.193"/>
    <n v="0.18528"/>
    <n v="0"/>
    <s v="CATIVO"/>
    <n v="0"/>
    <n v="0"/>
    <n v="15"/>
    <n v="24"/>
    <n v="0"/>
    <n v="2115.38"/>
    <n v="211.54"/>
    <m/>
    <n v="2265.9490503759016"/>
    <n v="196.56876174373542"/>
    <n v="0"/>
    <n v="17.963822400000009"/>
    <n v="0"/>
    <n v="19.010637509563612"/>
    <x v="2"/>
  </r>
  <r>
    <s v="Regular"/>
    <x v="0"/>
    <x v="1"/>
    <x v="1"/>
    <x v="0"/>
    <x v="0"/>
    <x v="2"/>
    <x v="2"/>
    <x v="2"/>
    <n v="0"/>
    <n v="0"/>
    <n v="0.314"/>
    <n v="0.30143999999999999"/>
    <n v="0.314"/>
    <n v="0.30143999999999999"/>
    <n v="0"/>
    <s v="CATIVO"/>
    <n v="0"/>
    <n v="0"/>
    <n v="15"/>
    <n v="24"/>
    <n v="0"/>
    <n v="2115.38"/>
    <n v="211.54"/>
    <m/>
    <n v="2265.9490503759016"/>
    <n v="196.56876174373542"/>
    <n v="0"/>
    <n v="29.226115200000038"/>
    <n v="0"/>
    <n v="30.92922372022268"/>
    <x v="2"/>
  </r>
  <r>
    <s v="Regular"/>
    <x v="0"/>
    <x v="1"/>
    <x v="1"/>
    <x v="0"/>
    <x v="0"/>
    <x v="2"/>
    <x v="2"/>
    <x v="3"/>
    <n v="0"/>
    <n v="0"/>
    <n v="1.246"/>
    <n v="1.1961599999999999"/>
    <n v="1.246"/>
    <n v="1.1961599999999999"/>
    <n v="0"/>
    <s v="CATIVO"/>
    <n v="0"/>
    <n v="0"/>
    <n v="15"/>
    <n v="24"/>
    <n v="0"/>
    <n v="2115.38"/>
    <n v="211.54"/>
    <m/>
    <n v="2265.9490503759016"/>
    <n v="196.56876174373542"/>
    <n v="0"/>
    <n v="115.97369280000025"/>
    <n v="0"/>
    <n v="122.73188775604297"/>
    <x v="2"/>
  </r>
  <r>
    <s v="Regular"/>
    <x v="0"/>
    <x v="1"/>
    <x v="1"/>
    <x v="0"/>
    <x v="0"/>
    <x v="2"/>
    <x v="2"/>
    <x v="4"/>
    <n v="0"/>
    <n v="0"/>
    <n v="2.6160000000000001"/>
    <n v="2.5113599999999998"/>
    <n v="2.6160000000000001"/>
    <n v="2.5113599999999998"/>
    <n v="0"/>
    <s v="CATIVO"/>
    <n v="0"/>
    <n v="0"/>
    <n v="15"/>
    <n v="24"/>
    <n v="0"/>
    <n v="2115.38"/>
    <n v="211.54"/>
    <m/>
    <n v="2265.9490503759016"/>
    <n v="196.56876174373542"/>
    <n v="0"/>
    <n v="243.48890880000067"/>
    <n v="0"/>
    <n v="257.67786386019952"/>
    <x v="2"/>
  </r>
  <r>
    <s v="Regular"/>
    <x v="0"/>
    <x v="1"/>
    <x v="1"/>
    <x v="0"/>
    <x v="0"/>
    <x v="2"/>
    <x v="2"/>
    <x v="5"/>
    <n v="0"/>
    <n v="0"/>
    <n v="3.5259999999999998"/>
    <n v="3.38496"/>
    <n v="3.5259999999999998"/>
    <n v="3.38496"/>
    <n v="0"/>
    <s v="CATIVO"/>
    <n v="0"/>
    <n v="0"/>
    <n v="15"/>
    <n v="24"/>
    <n v="0"/>
    <n v="2115.38"/>
    <n v="211.54"/>
    <m/>
    <n v="2265.9490503759016"/>
    <n v="196.56876174373542"/>
    <n v="0"/>
    <n v="328.18879679999964"/>
    <n v="0"/>
    <n v="347.31351222135322"/>
    <x v="2"/>
  </r>
  <r>
    <s v="Regular"/>
    <x v="0"/>
    <x v="1"/>
    <x v="1"/>
    <x v="0"/>
    <x v="0"/>
    <x v="2"/>
    <x v="2"/>
    <x v="6"/>
    <n v="0"/>
    <n v="0"/>
    <n v="3.8039999999999998"/>
    <n v="3.65184"/>
    <n v="3.8039999999999998"/>
    <n v="3.65184"/>
    <n v="0"/>
    <s v="CATIVO"/>
    <n v="0"/>
    <n v="0"/>
    <n v="15"/>
    <n v="24"/>
    <n v="0"/>
    <n v="2115.38"/>
    <n v="211.54"/>
    <m/>
    <n v="2265.9490503759016"/>
    <n v="196.56876174373542"/>
    <n v="0"/>
    <n v="354.0641471999997"/>
    <n v="0"/>
    <n v="374.69671029212361"/>
    <x v="2"/>
  </r>
  <r>
    <s v="Regular"/>
    <x v="0"/>
    <x v="1"/>
    <x v="1"/>
    <x v="0"/>
    <x v="0"/>
    <x v="2"/>
    <x v="2"/>
    <x v="7"/>
    <n v="0"/>
    <n v="0"/>
    <n v="3.0819999999999999"/>
    <n v="2.95872"/>
    <n v="3.0819999999999999"/>
    <n v="2.95872"/>
    <n v="0"/>
    <s v="CATIVO"/>
    <n v="0"/>
    <n v="0"/>
    <n v="15"/>
    <n v="24"/>
    <n v="0"/>
    <n v="2115.38"/>
    <n v="211.54"/>
    <m/>
    <n v="2265.9490503759016"/>
    <n v="196.56876174373542"/>
    <n v="0"/>
    <n v="286.86269759999965"/>
    <n v="0"/>
    <n v="303.57919587810846"/>
    <x v="2"/>
  </r>
  <r>
    <s v="Regular"/>
    <x v="0"/>
    <x v="1"/>
    <x v="1"/>
    <x v="0"/>
    <x v="0"/>
    <x v="2"/>
    <x v="2"/>
    <x v="8"/>
    <n v="0"/>
    <n v="0"/>
    <n v="2.762"/>
    <n v="2.6515200000000001"/>
    <n v="2.762"/>
    <n v="2.6515200000000001"/>
    <n v="0"/>
    <s v="CATIVO"/>
    <n v="0"/>
    <n v="0"/>
    <n v="15"/>
    <n v="24"/>
    <n v="0"/>
    <n v="2115.38"/>
    <n v="211.54"/>
    <m/>
    <n v="2265.9490503759016"/>
    <n v="196.56876174373542"/>
    <n v="0"/>
    <n v="257.0781215999998"/>
    <n v="0"/>
    <n v="272.0589678829773"/>
    <x v="2"/>
  </r>
  <r>
    <s v="Regular"/>
    <x v="0"/>
    <x v="1"/>
    <x v="1"/>
    <x v="0"/>
    <x v="0"/>
    <x v="2"/>
    <x v="2"/>
    <x v="9"/>
    <n v="0"/>
    <n v="0"/>
    <n v="1.7370000000000001"/>
    <n v="1.6675199999999999"/>
    <n v="1.7370000000000001"/>
    <n v="1.6675199999999999"/>
    <n v="0"/>
    <s v="CATIVO"/>
    <n v="0"/>
    <n v="0"/>
    <n v="15"/>
    <n v="24"/>
    <n v="0"/>
    <n v="2115.38"/>
    <n v="211.54"/>
    <m/>
    <n v="2265.9490503759016"/>
    <n v="196.56876174373542"/>
    <n v="0"/>
    <n v="161.67440160000049"/>
    <n v="0"/>
    <n v="171.09573758607289"/>
    <x v="2"/>
  </r>
  <r>
    <s v="Regular"/>
    <x v="0"/>
    <x v="1"/>
    <x v="1"/>
    <x v="0"/>
    <x v="0"/>
    <x v="2"/>
    <x v="2"/>
    <x v="10"/>
    <n v="0"/>
    <n v="0"/>
    <n v="1.429"/>
    <n v="1.3718399999999999"/>
    <n v="1.429"/>
    <n v="1.3718399999999999"/>
    <n v="0"/>
    <s v="CATIVO"/>
    <n v="0"/>
    <n v="0"/>
    <n v="15"/>
    <n v="24"/>
    <n v="0"/>
    <n v="2115.38"/>
    <n v="211.54"/>
    <m/>
    <n v="2265.9490503759016"/>
    <n v="196.56876174373542"/>
    <n v="0"/>
    <n v="133.00674720000023"/>
    <n v="0"/>
    <n v="140.75751814075869"/>
    <x v="2"/>
  </r>
  <r>
    <s v="Regular"/>
    <x v="0"/>
    <x v="1"/>
    <x v="1"/>
    <x v="0"/>
    <x v="0"/>
    <x v="2"/>
    <x v="2"/>
    <x v="11"/>
    <n v="0"/>
    <n v="0"/>
    <n v="1.288"/>
    <n v="1.23648"/>
    <n v="1.288"/>
    <n v="1.23648"/>
    <n v="0"/>
    <s v="CATIVO"/>
    <n v="0"/>
    <n v="0"/>
    <n v="15"/>
    <n v="24"/>
    <n v="0"/>
    <n v="2115.38"/>
    <n v="211.54"/>
    <m/>
    <n v="2265.9490503759016"/>
    <n v="196.56876174373542"/>
    <n v="0"/>
    <n v="119.88291840000004"/>
    <n v="0"/>
    <n v="126.86891768040373"/>
    <x v="2"/>
  </r>
  <r>
    <s v="Regular"/>
    <x v="1"/>
    <x v="2"/>
    <x v="2"/>
    <x v="2"/>
    <x v="0"/>
    <x v="2"/>
    <x v="0"/>
    <x v="0"/>
    <n v="0"/>
    <n v="0"/>
    <n v="373.61099999999999"/>
    <n v="373.61099999999999"/>
    <n v="373.61099999999999"/>
    <n v="373.61099999999999"/>
    <n v="2299"/>
    <s v="CATIVO"/>
    <n v="0"/>
    <n v="0"/>
    <n v="20"/>
    <n v="62"/>
    <n v="0"/>
    <n v="489.03"/>
    <n v="211.54"/>
    <m/>
    <n v="566.23281610076094"/>
    <n v="196.56876174373542"/>
    <n v="0"/>
    <n v="0"/>
    <n v="0"/>
    <n v="0"/>
    <x v="3"/>
  </r>
  <r>
    <s v="Regular"/>
    <x v="1"/>
    <x v="2"/>
    <x v="2"/>
    <x v="3"/>
    <x v="0"/>
    <x v="2"/>
    <x v="0"/>
    <x v="0"/>
    <n v="0"/>
    <n v="0"/>
    <n v="0.69"/>
    <n v="0.69"/>
    <n v="0.69"/>
    <n v="0.69"/>
    <n v="4"/>
    <s v="CATIVO"/>
    <n v="0"/>
    <n v="0"/>
    <n v="11"/>
    <n v="71"/>
    <n v="0"/>
    <n v="148.09"/>
    <n v="74.040000000000006"/>
    <m/>
    <n v="161.75250756899899"/>
    <n v="68.799066610307392"/>
    <n v="0"/>
    <n v="284.63879999999995"/>
    <n v="0"/>
    <n v="295.4353743411969"/>
    <x v="4"/>
  </r>
  <r>
    <s v="Regular"/>
    <x v="1"/>
    <x v="2"/>
    <x v="2"/>
    <x v="3"/>
    <x v="0"/>
    <x v="2"/>
    <x v="0"/>
    <x v="1"/>
    <n v="0"/>
    <n v="0"/>
    <n v="0.69"/>
    <n v="0.69"/>
    <n v="0.69"/>
    <n v="0.69"/>
    <n v="2"/>
    <s v="CATIVO"/>
    <n v="0"/>
    <n v="0"/>
    <n v="11"/>
    <n v="71"/>
    <n v="0"/>
    <n v="148.09"/>
    <n v="74.040000000000006"/>
    <m/>
    <n v="161.75250756899899"/>
    <n v="68.799066610307392"/>
    <n v="0"/>
    <n v="284.63879999999995"/>
    <n v="0"/>
    <n v="295.4353743411969"/>
    <x v="4"/>
  </r>
  <r>
    <s v="Regular"/>
    <x v="1"/>
    <x v="2"/>
    <x v="2"/>
    <x v="3"/>
    <x v="0"/>
    <x v="2"/>
    <x v="0"/>
    <x v="2"/>
    <n v="0"/>
    <n v="0"/>
    <n v="0.69"/>
    <n v="0.69"/>
    <n v="0.69"/>
    <n v="0.69"/>
    <n v="2"/>
    <s v="CATIVO"/>
    <n v="0"/>
    <n v="0"/>
    <n v="11"/>
    <n v="71"/>
    <n v="0"/>
    <n v="148.09"/>
    <n v="74.040000000000006"/>
    <m/>
    <n v="161.75250756899899"/>
    <n v="68.799066610307392"/>
    <n v="0"/>
    <n v="284.63879999999995"/>
    <n v="0"/>
    <n v="295.4353743411969"/>
    <x v="4"/>
  </r>
  <r>
    <s v="Regular"/>
    <x v="1"/>
    <x v="2"/>
    <x v="2"/>
    <x v="3"/>
    <x v="0"/>
    <x v="2"/>
    <x v="0"/>
    <x v="3"/>
    <n v="0"/>
    <n v="0"/>
    <n v="0.69"/>
    <n v="0.69"/>
    <n v="0.69"/>
    <n v="0.69"/>
    <n v="2"/>
    <s v="CATIVO"/>
    <n v="0"/>
    <n v="0"/>
    <n v="11"/>
    <n v="71"/>
    <n v="0"/>
    <n v="148.09"/>
    <n v="74.040000000000006"/>
    <m/>
    <n v="161.75250756899899"/>
    <n v="68.799066610307392"/>
    <n v="0"/>
    <n v="284.63879999999995"/>
    <n v="0"/>
    <n v="295.4353743411969"/>
    <x v="4"/>
  </r>
  <r>
    <s v="Regular"/>
    <x v="1"/>
    <x v="2"/>
    <x v="2"/>
    <x v="3"/>
    <x v="0"/>
    <x v="2"/>
    <x v="0"/>
    <x v="4"/>
    <n v="0"/>
    <n v="0"/>
    <n v="0.69"/>
    <n v="0.69"/>
    <n v="0.69"/>
    <n v="0.69"/>
    <n v="3"/>
    <s v="CATIVO"/>
    <n v="0"/>
    <n v="0"/>
    <n v="11"/>
    <n v="71"/>
    <n v="0"/>
    <n v="148.09"/>
    <n v="74.040000000000006"/>
    <m/>
    <n v="161.75250756899899"/>
    <n v="68.799066610307392"/>
    <n v="0"/>
    <n v="284.63879999999995"/>
    <n v="0"/>
    <n v="295.4353743411969"/>
    <x v="4"/>
  </r>
  <r>
    <s v="Regular"/>
    <x v="1"/>
    <x v="2"/>
    <x v="2"/>
    <x v="3"/>
    <x v="0"/>
    <x v="2"/>
    <x v="0"/>
    <x v="5"/>
    <n v="0"/>
    <n v="0"/>
    <n v="0.69"/>
    <n v="0.69"/>
    <n v="0.69"/>
    <n v="0.69"/>
    <n v="3"/>
    <s v="CATIVO"/>
    <n v="0"/>
    <n v="0"/>
    <n v="11"/>
    <n v="71"/>
    <n v="0"/>
    <n v="148.09"/>
    <n v="74.040000000000006"/>
    <m/>
    <n v="161.75250756899899"/>
    <n v="68.799066610307392"/>
    <n v="0"/>
    <n v="284.63879999999995"/>
    <n v="0"/>
    <n v="295.4353743411969"/>
    <x v="4"/>
  </r>
  <r>
    <s v="Regular"/>
    <x v="1"/>
    <x v="2"/>
    <x v="2"/>
    <x v="3"/>
    <x v="0"/>
    <x v="2"/>
    <x v="0"/>
    <x v="6"/>
    <n v="0"/>
    <n v="0"/>
    <n v="1.29"/>
    <n v="1.29"/>
    <n v="1.29"/>
    <n v="1.29"/>
    <n v="5"/>
    <s v="CATIVO"/>
    <n v="0"/>
    <n v="0"/>
    <n v="11"/>
    <n v="71"/>
    <n v="0"/>
    <n v="148.09"/>
    <n v="74.040000000000006"/>
    <m/>
    <n v="161.75250756899899"/>
    <n v="68.799066610307392"/>
    <n v="0"/>
    <n v="532.15079999999989"/>
    <n v="0"/>
    <n v="552.33569985528129"/>
    <x v="4"/>
  </r>
  <r>
    <s v="Regular"/>
    <x v="1"/>
    <x v="2"/>
    <x v="2"/>
    <x v="3"/>
    <x v="0"/>
    <x v="2"/>
    <x v="0"/>
    <x v="7"/>
    <n v="0"/>
    <n v="0"/>
    <n v="4.62"/>
    <n v="4.62"/>
    <n v="4.62"/>
    <n v="4.62"/>
    <n v="7"/>
    <s v="CATIVO"/>
    <n v="0"/>
    <n v="0"/>
    <n v="11"/>
    <n v="71"/>
    <n v="0"/>
    <n v="148.09"/>
    <n v="74.040000000000006"/>
    <m/>
    <n v="161.75250756899899"/>
    <n v="68.799066610307392"/>
    <n v="0"/>
    <n v="1905.8423999999998"/>
    <n v="0"/>
    <n v="1978.1325064584491"/>
    <x v="4"/>
  </r>
  <r>
    <s v="Regular"/>
    <x v="1"/>
    <x v="2"/>
    <x v="2"/>
    <x v="3"/>
    <x v="0"/>
    <x v="2"/>
    <x v="0"/>
    <x v="8"/>
    <n v="0"/>
    <n v="0"/>
    <n v="6.45"/>
    <n v="6.45"/>
    <n v="6.45"/>
    <n v="6.45"/>
    <n v="16"/>
    <s v="CATIVO"/>
    <n v="0"/>
    <n v="0"/>
    <n v="11"/>
    <n v="71"/>
    <n v="0"/>
    <n v="148.09"/>
    <n v="74.040000000000006"/>
    <m/>
    <n v="161.75250756899899"/>
    <n v="68.799066610307392"/>
    <n v="0"/>
    <n v="2660.7539999999995"/>
    <n v="0"/>
    <n v="2761.6784992764065"/>
    <x v="4"/>
  </r>
  <r>
    <s v="Regular"/>
    <x v="1"/>
    <x v="2"/>
    <x v="2"/>
    <x v="3"/>
    <x v="0"/>
    <x v="2"/>
    <x v="0"/>
    <x v="9"/>
    <n v="0"/>
    <n v="0"/>
    <n v="6.57"/>
    <n v="6.57"/>
    <n v="6.57"/>
    <n v="6.57"/>
    <n v="20"/>
    <s v="CATIVO"/>
    <n v="0"/>
    <n v="0"/>
    <n v="11"/>
    <n v="71"/>
    <n v="0"/>
    <n v="148.09"/>
    <n v="74.040000000000006"/>
    <m/>
    <n v="161.75250756899899"/>
    <n v="68.799066610307392"/>
    <n v="0"/>
    <n v="2710.2563999999998"/>
    <n v="0"/>
    <n v="2813.0585643792233"/>
    <x v="4"/>
  </r>
  <r>
    <s v="Regular"/>
    <x v="1"/>
    <x v="2"/>
    <x v="2"/>
    <x v="3"/>
    <x v="0"/>
    <x v="2"/>
    <x v="0"/>
    <x v="10"/>
    <n v="0"/>
    <n v="0"/>
    <n v="2.64"/>
    <n v="2.64"/>
    <n v="2.64"/>
    <n v="2.64"/>
    <n v="11"/>
    <s v="CATIVO"/>
    <n v="0"/>
    <n v="0"/>
    <n v="11"/>
    <n v="71"/>
    <n v="0"/>
    <n v="148.09"/>
    <n v="74.040000000000006"/>
    <m/>
    <n v="161.75250756899899"/>
    <n v="68.799066610307392"/>
    <n v="0"/>
    <n v="1089.0527999999999"/>
    <n v="0"/>
    <n v="1130.361432261971"/>
    <x v="4"/>
  </r>
  <r>
    <s v="Regular"/>
    <x v="1"/>
    <x v="2"/>
    <x v="2"/>
    <x v="3"/>
    <x v="0"/>
    <x v="2"/>
    <x v="0"/>
    <x v="11"/>
    <n v="0"/>
    <n v="0"/>
    <n v="2.58"/>
    <n v="2.58"/>
    <n v="2.58"/>
    <n v="2.58"/>
    <n v="9"/>
    <s v="CATIVO"/>
    <n v="0"/>
    <n v="0"/>
    <n v="11"/>
    <n v="71"/>
    <n v="0"/>
    <n v="148.09"/>
    <n v="74.040000000000006"/>
    <m/>
    <n v="161.75250756899899"/>
    <n v="68.799066610307392"/>
    <n v="0"/>
    <n v="1064.3015999999998"/>
    <n v="0"/>
    <n v="1104.6713997105626"/>
    <x v="4"/>
  </r>
  <r>
    <s v="Regular"/>
    <x v="1"/>
    <x v="2"/>
    <x v="2"/>
    <x v="4"/>
    <x v="0"/>
    <x v="2"/>
    <x v="0"/>
    <x v="0"/>
    <n v="0"/>
    <n v="0"/>
    <n v="1.113"/>
    <n v="1.113"/>
    <n v="1.113"/>
    <n v="1.113"/>
    <n v="8"/>
    <s v="CATIVO"/>
    <n v="0"/>
    <n v="0"/>
    <n v="40"/>
    <n v="55"/>
    <n v="0"/>
    <n v="253.87"/>
    <n v="126.93"/>
    <m/>
    <n v="277.29001297542686"/>
    <n v="117.94125704624125"/>
    <n v="0"/>
    <n v="282.53504999999996"/>
    <n v="0"/>
    <n v="293.26160235607773"/>
    <x v="4"/>
  </r>
  <r>
    <s v="Regular"/>
    <x v="1"/>
    <x v="2"/>
    <x v="2"/>
    <x v="4"/>
    <x v="0"/>
    <x v="2"/>
    <x v="0"/>
    <x v="1"/>
    <n v="0"/>
    <n v="0"/>
    <n v="1.236"/>
    <n v="1.236"/>
    <n v="1.236"/>
    <n v="1.236"/>
    <n v="6"/>
    <s v="CATIVO"/>
    <n v="0"/>
    <n v="0"/>
    <n v="40"/>
    <n v="55"/>
    <n v="0"/>
    <n v="253.87"/>
    <n v="126.93"/>
    <m/>
    <n v="277.29001297542686"/>
    <n v="117.94125704624125"/>
    <n v="0"/>
    <n v="313.75859999999994"/>
    <n v="0"/>
    <n v="325.67056649785457"/>
    <x v="4"/>
  </r>
  <r>
    <s v="Regular"/>
    <x v="1"/>
    <x v="2"/>
    <x v="2"/>
    <x v="4"/>
    <x v="0"/>
    <x v="2"/>
    <x v="0"/>
    <x v="2"/>
    <n v="0"/>
    <n v="0"/>
    <n v="1.165"/>
    <n v="1.165"/>
    <n v="1.165"/>
    <n v="1.165"/>
    <n v="8"/>
    <s v="CATIVO"/>
    <n v="0"/>
    <n v="0"/>
    <n v="40"/>
    <n v="55"/>
    <n v="0"/>
    <n v="253.87"/>
    <n v="126.93"/>
    <m/>
    <n v="277.29001297542686"/>
    <n v="117.94125704624125"/>
    <n v="0"/>
    <n v="295.73524999999995"/>
    <n v="0"/>
    <n v="306.96295305016224"/>
    <x v="4"/>
  </r>
  <r>
    <s v="Regular"/>
    <x v="1"/>
    <x v="2"/>
    <x v="2"/>
    <x v="4"/>
    <x v="0"/>
    <x v="2"/>
    <x v="0"/>
    <x v="3"/>
    <n v="0"/>
    <n v="0"/>
    <n v="1.2390000000000001"/>
    <n v="1.2390000000000001"/>
    <n v="1.2390000000000001"/>
    <n v="1.2390000000000001"/>
    <n v="6"/>
    <s v="CATIVO"/>
    <n v="0"/>
    <n v="0"/>
    <n v="40"/>
    <n v="55"/>
    <n v="0"/>
    <n v="253.87"/>
    <n v="126.93"/>
    <m/>
    <n v="277.29001297542686"/>
    <n v="117.94125704624125"/>
    <n v="0"/>
    <n v="314.52015"/>
    <n v="0"/>
    <n v="326.4610290378979"/>
    <x v="4"/>
  </r>
  <r>
    <s v="Regular"/>
    <x v="1"/>
    <x v="2"/>
    <x v="2"/>
    <x v="4"/>
    <x v="0"/>
    <x v="2"/>
    <x v="0"/>
    <x v="4"/>
    <n v="0"/>
    <n v="0"/>
    <n v="1.137"/>
    <n v="1.137"/>
    <n v="1.137"/>
    <n v="1.137"/>
    <n v="6"/>
    <s v="CATIVO"/>
    <n v="0"/>
    <n v="0"/>
    <n v="40"/>
    <n v="55"/>
    <n v="0"/>
    <n v="253.87"/>
    <n v="126.93"/>
    <m/>
    <n v="277.29001297542686"/>
    <n v="117.94125704624125"/>
    <n v="0"/>
    <n v="288.62744999999995"/>
    <n v="0"/>
    <n v="299.58530267642448"/>
    <x v="4"/>
  </r>
  <r>
    <s v="Regular"/>
    <x v="1"/>
    <x v="2"/>
    <x v="2"/>
    <x v="4"/>
    <x v="0"/>
    <x v="2"/>
    <x v="0"/>
    <x v="5"/>
    <n v="0"/>
    <n v="0"/>
    <n v="1.1419999999999999"/>
    <n v="1.1419999999999999"/>
    <n v="1.1419999999999999"/>
    <n v="1.1419999999999999"/>
    <n v="6"/>
    <s v="CATIVO"/>
    <n v="0"/>
    <n v="0"/>
    <n v="40"/>
    <n v="55"/>
    <n v="0"/>
    <n v="253.87"/>
    <n v="126.93"/>
    <m/>
    <n v="277.29001297542686"/>
    <n v="117.94125704624125"/>
    <n v="0"/>
    <n v="289.89669999999995"/>
    <n v="0"/>
    <n v="300.90274024316329"/>
    <x v="4"/>
  </r>
  <r>
    <s v="Regular"/>
    <x v="1"/>
    <x v="2"/>
    <x v="2"/>
    <x v="4"/>
    <x v="0"/>
    <x v="2"/>
    <x v="0"/>
    <x v="6"/>
    <n v="0"/>
    <n v="0"/>
    <n v="2.14"/>
    <n v="2.14"/>
    <n v="2.14"/>
    <n v="2.14"/>
    <n v="14"/>
    <s v="CATIVO"/>
    <n v="0"/>
    <n v="0"/>
    <n v="40"/>
    <n v="55"/>
    <n v="0"/>
    <n v="253.87"/>
    <n v="126.93"/>
    <m/>
    <n v="277.29001297542686"/>
    <n v="117.94125704624125"/>
    <n v="0"/>
    <n v="543.23899999999992"/>
    <n v="0"/>
    <n v="563.86327856424657"/>
    <x v="4"/>
  </r>
  <r>
    <s v="Regular"/>
    <x v="1"/>
    <x v="2"/>
    <x v="2"/>
    <x v="4"/>
    <x v="0"/>
    <x v="2"/>
    <x v="0"/>
    <x v="7"/>
    <n v="0"/>
    <n v="0"/>
    <n v="8.7059999999999995"/>
    <n v="8.7059999999999995"/>
    <n v="8.7059999999999995"/>
    <n v="8.7059999999999995"/>
    <n v="49"/>
    <s v="CATIVO"/>
    <n v="0"/>
    <n v="0"/>
    <n v="40"/>
    <n v="55"/>
    <n v="0"/>
    <n v="253.87"/>
    <n v="126.93"/>
    <m/>
    <n v="277.29001297542686"/>
    <n v="117.94125704624125"/>
    <n v="0"/>
    <n v="2210.0180999999998"/>
    <n v="0"/>
    <n v="2293.9222912057617"/>
    <x v="4"/>
  </r>
  <r>
    <s v="Regular"/>
    <x v="1"/>
    <x v="2"/>
    <x v="2"/>
    <x v="4"/>
    <x v="0"/>
    <x v="2"/>
    <x v="0"/>
    <x v="8"/>
    <n v="0"/>
    <n v="0"/>
    <n v="11.788"/>
    <n v="11.788"/>
    <n v="11.788"/>
    <n v="11.788"/>
    <n v="67"/>
    <s v="CATIVO"/>
    <n v="0"/>
    <n v="0"/>
    <n v="40"/>
    <n v="55"/>
    <n v="0"/>
    <n v="253.87"/>
    <n v="126.93"/>
    <m/>
    <n v="277.29001297542686"/>
    <n v="117.94125704624125"/>
    <n v="0"/>
    <n v="2992.3837999999996"/>
    <n v="0"/>
    <n v="3105.9908073436159"/>
    <x v="4"/>
  </r>
  <r>
    <s v="Regular"/>
    <x v="1"/>
    <x v="2"/>
    <x v="2"/>
    <x v="4"/>
    <x v="0"/>
    <x v="2"/>
    <x v="0"/>
    <x v="9"/>
    <n v="0"/>
    <n v="0"/>
    <n v="11.923999999999999"/>
    <n v="11.923999999999999"/>
    <n v="11.923999999999999"/>
    <n v="11.923999999999999"/>
    <n v="66"/>
    <s v="CATIVO"/>
    <n v="0"/>
    <n v="0"/>
    <n v="40"/>
    <n v="55"/>
    <n v="0"/>
    <n v="253.87"/>
    <n v="126.93"/>
    <m/>
    <n v="277.29001297542686"/>
    <n v="117.94125704624125"/>
    <n v="0"/>
    <n v="3026.9073999999996"/>
    <n v="0"/>
    <n v="3141.8251091589136"/>
    <x v="4"/>
  </r>
  <r>
    <s v="Regular"/>
    <x v="1"/>
    <x v="2"/>
    <x v="2"/>
    <x v="4"/>
    <x v="0"/>
    <x v="2"/>
    <x v="0"/>
    <x v="10"/>
    <n v="0"/>
    <n v="0"/>
    <n v="4.3550000000000004"/>
    <n v="4.3550000000000004"/>
    <n v="4.3550000000000004"/>
    <n v="4.3550000000000004"/>
    <n v="28"/>
    <s v="CATIVO"/>
    <n v="0"/>
    <n v="0"/>
    <n v="40"/>
    <n v="55"/>
    <n v="0"/>
    <n v="253.87"/>
    <n v="126.93"/>
    <m/>
    <n v="277.29001297542686"/>
    <n v="117.94125704624125"/>
    <n v="0"/>
    <n v="1105.51675"/>
    <n v="0"/>
    <n v="1147.4881206295765"/>
    <x v="4"/>
  </r>
  <r>
    <s v="Regular"/>
    <x v="1"/>
    <x v="2"/>
    <x v="2"/>
    <x v="4"/>
    <x v="0"/>
    <x v="2"/>
    <x v="0"/>
    <x v="11"/>
    <n v="0"/>
    <n v="0"/>
    <n v="4.5709999999999997"/>
    <n v="4.5709999999999997"/>
    <n v="4.5709999999999997"/>
    <n v="4.5709999999999997"/>
    <n v="29"/>
    <s v="CATIVO"/>
    <n v="0"/>
    <n v="0"/>
    <n v="40"/>
    <n v="55"/>
    <n v="0"/>
    <n v="253.87"/>
    <n v="126.93"/>
    <m/>
    <n v="277.29001297542686"/>
    <n v="117.94125704624125"/>
    <n v="0"/>
    <n v="1160.3483499999998"/>
    <n v="0"/>
    <n v="1204.4014235126967"/>
    <x v="4"/>
  </r>
  <r>
    <s v="Regular"/>
    <x v="1"/>
    <x v="2"/>
    <x v="2"/>
    <x v="5"/>
    <x v="0"/>
    <x v="2"/>
    <x v="0"/>
    <x v="0"/>
    <n v="0"/>
    <n v="0"/>
    <n v="0.63"/>
    <n v="0.63"/>
    <n v="0.63"/>
    <n v="0.63"/>
    <n v="9"/>
    <s v="CATIVO"/>
    <n v="0"/>
    <n v="0"/>
    <n v="26"/>
    <n v="73"/>
    <n v="0"/>
    <n v="380.8"/>
    <n v="190.39"/>
    <m/>
    <n v="415.93501946314035"/>
    <n v="176.91188556936189"/>
    <n v="0"/>
    <n v="39.97979999999999"/>
    <n v="0"/>
    <n v="41.499283352275135"/>
    <x v="4"/>
  </r>
  <r>
    <s v="Regular"/>
    <x v="1"/>
    <x v="2"/>
    <x v="2"/>
    <x v="5"/>
    <x v="0"/>
    <x v="2"/>
    <x v="0"/>
    <x v="1"/>
    <n v="0"/>
    <n v="0"/>
    <n v="0.96299999999999997"/>
    <n v="0.96299999999999997"/>
    <n v="0.96299999999999997"/>
    <n v="0.96299999999999997"/>
    <n v="11"/>
    <s v="CATIVO"/>
    <n v="0"/>
    <n v="0"/>
    <n v="26"/>
    <n v="73"/>
    <n v="0"/>
    <n v="380.8"/>
    <n v="190.39"/>
    <m/>
    <n v="415.93501946314035"/>
    <n v="176.91188556936189"/>
    <n v="0"/>
    <n v="61.111979999999981"/>
    <n v="0"/>
    <n v="63.434618838477704"/>
    <x v="4"/>
  </r>
  <r>
    <s v="Regular"/>
    <x v="1"/>
    <x v="2"/>
    <x v="2"/>
    <x v="5"/>
    <x v="0"/>
    <x v="2"/>
    <x v="0"/>
    <x v="2"/>
    <n v="0"/>
    <n v="0"/>
    <n v="0.84799999999999998"/>
    <n v="0.84799999999999998"/>
    <n v="0.84799999999999998"/>
    <n v="0.84799999999999998"/>
    <n v="9"/>
    <s v="CATIVO"/>
    <n v="0"/>
    <n v="0"/>
    <n v="26"/>
    <n v="73"/>
    <n v="0"/>
    <n v="380.8"/>
    <n v="190.39"/>
    <m/>
    <n v="415.93501946314035"/>
    <n v="176.91188556936189"/>
    <n v="0"/>
    <n v="53.814079999999983"/>
    <n v="0"/>
    <n v="55.859352829729069"/>
    <x v="4"/>
  </r>
  <r>
    <s v="Regular"/>
    <x v="1"/>
    <x v="2"/>
    <x v="2"/>
    <x v="5"/>
    <x v="0"/>
    <x v="2"/>
    <x v="0"/>
    <x v="3"/>
    <n v="0"/>
    <n v="0"/>
    <n v="1.123"/>
    <n v="1.123"/>
    <n v="1.123"/>
    <n v="1.123"/>
    <n v="10"/>
    <s v="CATIVO"/>
    <n v="0"/>
    <n v="0"/>
    <n v="26"/>
    <n v="73"/>
    <n v="0"/>
    <n v="380.8"/>
    <n v="190.39"/>
    <m/>
    <n v="415.93501946314035"/>
    <n v="176.91188556936189"/>
    <n v="0"/>
    <n v="71.265579999999972"/>
    <n v="0"/>
    <n v="73.974119372388856"/>
    <x v="4"/>
  </r>
  <r>
    <s v="Regular"/>
    <x v="1"/>
    <x v="2"/>
    <x v="2"/>
    <x v="5"/>
    <x v="0"/>
    <x v="2"/>
    <x v="0"/>
    <x v="4"/>
    <n v="0"/>
    <n v="0"/>
    <n v="0.91800000000000004"/>
    <n v="0.91800000000000004"/>
    <n v="0.91800000000000004"/>
    <n v="0.91800000000000004"/>
    <n v="10"/>
    <s v="CATIVO"/>
    <n v="0"/>
    <n v="0"/>
    <n v="26"/>
    <n v="73"/>
    <n v="0"/>
    <n v="380.8"/>
    <n v="190.39"/>
    <m/>
    <n v="415.93501946314035"/>
    <n v="176.91188556936189"/>
    <n v="0"/>
    <n v="58.256279999999983"/>
    <n v="0"/>
    <n v="60.470384313315201"/>
    <x v="4"/>
  </r>
  <r>
    <s v="Regular"/>
    <x v="1"/>
    <x v="2"/>
    <x v="2"/>
    <x v="5"/>
    <x v="0"/>
    <x v="2"/>
    <x v="0"/>
    <x v="5"/>
    <n v="0"/>
    <n v="0"/>
    <n v="1.099"/>
    <n v="1.099"/>
    <n v="1.099"/>
    <n v="1.099"/>
    <n v="10"/>
    <s v="CATIVO"/>
    <n v="0"/>
    <n v="0"/>
    <n v="26"/>
    <n v="73"/>
    <n v="0"/>
    <n v="380.8"/>
    <n v="190.39"/>
    <m/>
    <n v="415.93501946314035"/>
    <n v="176.91188556936189"/>
    <n v="0"/>
    <n v="69.742539999999977"/>
    <n v="0"/>
    <n v="72.393194292302184"/>
    <x v="4"/>
  </r>
  <r>
    <s v="Regular"/>
    <x v="1"/>
    <x v="2"/>
    <x v="2"/>
    <x v="5"/>
    <x v="0"/>
    <x v="2"/>
    <x v="0"/>
    <x v="6"/>
    <n v="0"/>
    <n v="0"/>
    <n v="1.78"/>
    <n v="1.78"/>
    <n v="1.78"/>
    <n v="1.78"/>
    <n v="18"/>
    <s v="CATIVO"/>
    <n v="0"/>
    <n v="0"/>
    <n v="26"/>
    <n v="73"/>
    <n v="0"/>
    <n v="380.8"/>
    <n v="190.39"/>
    <m/>
    <n v="415.93501946314035"/>
    <n v="176.91188556936189"/>
    <n v="0"/>
    <n v="112.95879999999997"/>
    <n v="0"/>
    <n v="117.2519434397615"/>
    <x v="4"/>
  </r>
  <r>
    <s v="Regular"/>
    <x v="1"/>
    <x v="2"/>
    <x v="2"/>
    <x v="5"/>
    <x v="0"/>
    <x v="2"/>
    <x v="0"/>
    <x v="7"/>
    <n v="0"/>
    <n v="0"/>
    <n v="6.9859999999999998"/>
    <n v="6.9859999999999998"/>
    <n v="6.9859999999999998"/>
    <n v="6.9859999999999998"/>
    <n v="69"/>
    <s v="CATIVO"/>
    <n v="0"/>
    <n v="0"/>
    <n v="26"/>
    <n v="73"/>
    <n v="0"/>
    <n v="380.8"/>
    <n v="190.39"/>
    <m/>
    <n v="415.93501946314035"/>
    <n v="176.91188556936189"/>
    <n v="0"/>
    <n v="443.33155999999985"/>
    <n v="0"/>
    <n v="460.18094206189539"/>
    <x v="4"/>
  </r>
  <r>
    <s v="Regular"/>
    <x v="1"/>
    <x v="2"/>
    <x v="2"/>
    <x v="5"/>
    <x v="0"/>
    <x v="2"/>
    <x v="0"/>
    <x v="8"/>
    <n v="0"/>
    <n v="0"/>
    <n v="9.4109999999999996"/>
    <n v="9.4109999999999996"/>
    <n v="9.4109999999999996"/>
    <n v="9.4109999999999996"/>
    <n v="98"/>
    <s v="CATIVO"/>
    <n v="0"/>
    <n v="0"/>
    <n v="26"/>
    <n v="73"/>
    <n v="0"/>
    <n v="380.8"/>
    <n v="190.39"/>
    <m/>
    <n v="415.93501946314035"/>
    <n v="176.91188556936189"/>
    <n v="0"/>
    <n v="597.22205999999983"/>
    <n v="0"/>
    <n v="619.92024702898618"/>
    <x v="4"/>
  </r>
  <r>
    <s v="Regular"/>
    <x v="1"/>
    <x v="2"/>
    <x v="2"/>
    <x v="5"/>
    <x v="0"/>
    <x v="2"/>
    <x v="0"/>
    <x v="9"/>
    <n v="0"/>
    <n v="0"/>
    <n v="9.6950000000000003"/>
    <n v="9.6950000000000003"/>
    <n v="9.6950000000000003"/>
    <n v="9.6950000000000003"/>
    <n v="96"/>
    <s v="CATIVO"/>
    <n v="0"/>
    <n v="0"/>
    <n v="26"/>
    <n v="73"/>
    <n v="0"/>
    <n v="380.8"/>
    <n v="190.39"/>
    <m/>
    <n v="415.93501946314035"/>
    <n v="176.91188556936189"/>
    <n v="0"/>
    <n v="615.24469999999985"/>
    <n v="0"/>
    <n v="638.62786047667851"/>
    <x v="4"/>
  </r>
  <r>
    <s v="Regular"/>
    <x v="1"/>
    <x v="2"/>
    <x v="2"/>
    <x v="5"/>
    <x v="0"/>
    <x v="2"/>
    <x v="0"/>
    <x v="10"/>
    <n v="0"/>
    <n v="0"/>
    <n v="2.5819999999999999"/>
    <n v="2.5819999999999999"/>
    <n v="2.5819999999999999"/>
    <n v="2.5819999999999999"/>
    <n v="41"/>
    <s v="CATIVO"/>
    <n v="0"/>
    <n v="0"/>
    <n v="26"/>
    <n v="73"/>
    <n v="0"/>
    <n v="380.8"/>
    <n v="190.39"/>
    <m/>
    <n v="415.93501946314035"/>
    <n v="176.91188556936189"/>
    <n v="0"/>
    <n v="163.85371999999992"/>
    <n v="0"/>
    <n v="170.08118986599109"/>
    <x v="4"/>
  </r>
  <r>
    <s v="Regular"/>
    <x v="1"/>
    <x v="2"/>
    <x v="2"/>
    <x v="5"/>
    <x v="0"/>
    <x v="2"/>
    <x v="0"/>
    <x v="11"/>
    <n v="0"/>
    <n v="0"/>
    <n v="3.0760000000000001"/>
    <n v="3.0760000000000001"/>
    <n v="3.0760000000000001"/>
    <n v="3.0760000000000001"/>
    <n v="39"/>
    <s v="CATIVO"/>
    <n v="0"/>
    <n v="0"/>
    <n v="26"/>
    <n v="73"/>
    <n v="0"/>
    <n v="380.8"/>
    <n v="190.39"/>
    <m/>
    <n v="415.93501946314035"/>
    <n v="176.91188556936189"/>
    <n v="0"/>
    <n v="195.20295999999993"/>
    <n v="0"/>
    <n v="202.62189776444177"/>
    <x v="4"/>
  </r>
  <r>
    <s v="Regular"/>
    <x v="1"/>
    <x v="2"/>
    <x v="2"/>
    <x v="6"/>
    <x v="0"/>
    <x v="2"/>
    <x v="0"/>
    <x v="0"/>
    <n v="0"/>
    <n v="0"/>
    <n v="0.153"/>
    <n v="0.153"/>
    <n v="0.153"/>
    <n v="0.153"/>
    <n v="2"/>
    <s v="CATIVO"/>
    <n v="0"/>
    <n v="0"/>
    <n v="18"/>
    <n v="52"/>
    <n v="0"/>
    <n v="423.11"/>
    <n v="211.54"/>
    <m/>
    <n v="462.15002162571147"/>
    <n v="196.56876174373542"/>
    <n v="0"/>
    <n v="-4.3485215428518131E-15"/>
    <n v="0"/>
    <n v="0"/>
    <x v="4"/>
  </r>
  <r>
    <s v="Regular"/>
    <x v="1"/>
    <x v="2"/>
    <x v="2"/>
    <x v="6"/>
    <x v="0"/>
    <x v="2"/>
    <x v="0"/>
    <x v="1"/>
    <n v="0"/>
    <n v="0"/>
    <n v="0.64600000000000002"/>
    <n v="0.64600000000000002"/>
    <n v="0.64600000000000002"/>
    <n v="0.64600000000000002"/>
    <n v="4"/>
    <s v="CATIVO"/>
    <n v="0"/>
    <n v="0"/>
    <n v="18"/>
    <n v="52"/>
    <n v="0"/>
    <n v="423.11"/>
    <n v="211.54"/>
    <m/>
    <n v="462.15002162571147"/>
    <n v="196.56876174373542"/>
    <n v="0"/>
    <n v="-1.8360424292040989E-14"/>
    <n v="0"/>
    <n v="0"/>
    <x v="4"/>
  </r>
  <r>
    <s v="Regular"/>
    <x v="1"/>
    <x v="2"/>
    <x v="2"/>
    <x v="6"/>
    <x v="0"/>
    <x v="2"/>
    <x v="0"/>
    <x v="2"/>
    <n v="0"/>
    <n v="0"/>
    <n v="0.221"/>
    <n v="0.221"/>
    <n v="0.221"/>
    <n v="0.221"/>
    <n v="4"/>
    <s v="CATIVO"/>
    <n v="0"/>
    <n v="0"/>
    <n v="18"/>
    <n v="52"/>
    <n v="0"/>
    <n v="423.11"/>
    <n v="211.54"/>
    <m/>
    <n v="462.15002162571147"/>
    <n v="196.56876174373542"/>
    <n v="0"/>
    <n v="-6.2811977841192857E-15"/>
    <n v="0"/>
    <n v="0"/>
    <x v="4"/>
  </r>
  <r>
    <s v="Regular"/>
    <x v="1"/>
    <x v="2"/>
    <x v="2"/>
    <x v="6"/>
    <x v="0"/>
    <x v="2"/>
    <x v="0"/>
    <x v="3"/>
    <n v="0"/>
    <n v="0"/>
    <n v="0.38200000000000001"/>
    <n v="0.38200000000000001"/>
    <n v="0.38200000000000001"/>
    <n v="0.38200000000000001"/>
    <n v="5"/>
    <s v="CATIVO"/>
    <n v="0"/>
    <n v="0"/>
    <n v="18"/>
    <n v="52"/>
    <n v="0"/>
    <n v="423.11"/>
    <n v="211.54"/>
    <m/>
    <n v="462.15002162571147"/>
    <n v="196.56876174373542"/>
    <n v="0"/>
    <n v="-1.0857093002414331E-14"/>
    <n v="0"/>
    <n v="0"/>
    <x v="4"/>
  </r>
  <r>
    <s v="Regular"/>
    <x v="1"/>
    <x v="2"/>
    <x v="2"/>
    <x v="6"/>
    <x v="0"/>
    <x v="2"/>
    <x v="0"/>
    <x v="4"/>
    <n v="0"/>
    <n v="0"/>
    <n v="0.182"/>
    <n v="0.182"/>
    <n v="0.182"/>
    <n v="0.182"/>
    <n v="4"/>
    <s v="CATIVO"/>
    <n v="0"/>
    <n v="0"/>
    <n v="18"/>
    <n v="52"/>
    <n v="0"/>
    <n v="423.11"/>
    <n v="211.54"/>
    <m/>
    <n v="462.15002162571147"/>
    <n v="196.56876174373542"/>
    <n v="0"/>
    <n v="-5.1727511163335292E-15"/>
    <n v="0"/>
    <n v="0"/>
    <x v="4"/>
  </r>
  <r>
    <s v="Regular"/>
    <x v="1"/>
    <x v="2"/>
    <x v="2"/>
    <x v="6"/>
    <x v="0"/>
    <x v="2"/>
    <x v="0"/>
    <x v="5"/>
    <n v="0"/>
    <n v="0"/>
    <n v="0.24399999999999999"/>
    <n v="0.24399999999999999"/>
    <n v="0.24399999999999999"/>
    <n v="0.24399999999999999"/>
    <n v="4"/>
    <s v="CATIVO"/>
    <n v="0"/>
    <n v="0"/>
    <n v="18"/>
    <n v="52"/>
    <n v="0"/>
    <n v="423.11"/>
    <n v="211.54"/>
    <m/>
    <n v="462.15002162571147"/>
    <n v="196.56876174373542"/>
    <n v="0"/>
    <n v="-6.9348971010185777E-15"/>
    <n v="0"/>
    <n v="0"/>
    <x v="4"/>
  </r>
  <r>
    <s v="Regular"/>
    <x v="1"/>
    <x v="2"/>
    <x v="2"/>
    <x v="6"/>
    <x v="0"/>
    <x v="2"/>
    <x v="0"/>
    <x v="6"/>
    <n v="0"/>
    <n v="0"/>
    <n v="0.30199999999999999"/>
    <n v="0.30199999999999999"/>
    <n v="0.30199999999999999"/>
    <n v="0.30199999999999999"/>
    <n v="6"/>
    <s v="CATIVO"/>
    <n v="0"/>
    <n v="0"/>
    <n v="18"/>
    <n v="52"/>
    <n v="0"/>
    <n v="423.11"/>
    <n v="211.54"/>
    <m/>
    <n v="462.15002162571147"/>
    <n v="196.56876174373542"/>
    <n v="0"/>
    <n v="-8.58335624798201E-15"/>
    <n v="0"/>
    <n v="0"/>
    <x v="4"/>
  </r>
  <r>
    <s v="Regular"/>
    <x v="1"/>
    <x v="2"/>
    <x v="2"/>
    <x v="6"/>
    <x v="0"/>
    <x v="2"/>
    <x v="0"/>
    <x v="7"/>
    <n v="0"/>
    <n v="0"/>
    <n v="1.462"/>
    <n v="1.462"/>
    <n v="1.462"/>
    <n v="1.462"/>
    <n v="29"/>
    <s v="CATIVO"/>
    <n v="0"/>
    <n v="0"/>
    <n v="18"/>
    <n v="52"/>
    <n v="0"/>
    <n v="423.11"/>
    <n v="211.54"/>
    <m/>
    <n v="462.15002162571147"/>
    <n v="196.56876174373542"/>
    <n v="0"/>
    <n v="-4.1552539187250658E-14"/>
    <n v="0"/>
    <n v="0"/>
    <x v="4"/>
  </r>
  <r>
    <s v="Regular"/>
    <x v="1"/>
    <x v="2"/>
    <x v="2"/>
    <x v="6"/>
    <x v="0"/>
    <x v="2"/>
    <x v="0"/>
    <x v="8"/>
    <n v="0"/>
    <n v="0"/>
    <n v="1.6459999999999999"/>
    <n v="1.6459999999999999"/>
    <n v="1.6459999999999999"/>
    <n v="1.6459999999999999"/>
    <n v="34"/>
    <s v="CATIVO"/>
    <n v="0"/>
    <n v="0"/>
    <n v="18"/>
    <n v="52"/>
    <n v="0"/>
    <n v="423.11"/>
    <n v="211.54"/>
    <m/>
    <n v="462.15002162571147"/>
    <n v="196.56876174373542"/>
    <n v="0"/>
    <n v="-4.6782133722444994E-14"/>
    <n v="0"/>
    <n v="0"/>
    <x v="4"/>
  </r>
  <r>
    <s v="Regular"/>
    <x v="1"/>
    <x v="2"/>
    <x v="2"/>
    <x v="6"/>
    <x v="0"/>
    <x v="2"/>
    <x v="0"/>
    <x v="9"/>
    <n v="0"/>
    <n v="0"/>
    <n v="2.661"/>
    <n v="2.661"/>
    <n v="2.661"/>
    <n v="2.661"/>
    <n v="37"/>
    <s v="CATIVO"/>
    <n v="0"/>
    <n v="0"/>
    <n v="18"/>
    <n v="52"/>
    <n v="0"/>
    <n v="423.11"/>
    <n v="211.54"/>
    <m/>
    <n v="462.15002162571147"/>
    <n v="196.56876174373542"/>
    <n v="0"/>
    <n v="-7.5630168794305065E-14"/>
    <n v="0"/>
    <n v="0"/>
    <x v="4"/>
  </r>
  <r>
    <s v="Regular"/>
    <x v="1"/>
    <x v="2"/>
    <x v="2"/>
    <x v="6"/>
    <x v="0"/>
    <x v="2"/>
    <x v="0"/>
    <x v="10"/>
    <n v="0"/>
    <n v="0"/>
    <n v="0.85499999999999998"/>
    <n v="0.85499999999999998"/>
    <n v="0.85499999999999998"/>
    <n v="0.85499999999999998"/>
    <n v="8"/>
    <s v="CATIVO"/>
    <n v="0"/>
    <n v="0"/>
    <n v="18"/>
    <n v="52"/>
    <n v="0"/>
    <n v="423.11"/>
    <n v="211.54"/>
    <m/>
    <n v="462.15002162571147"/>
    <n v="196.56876174373542"/>
    <n v="0"/>
    <n v="-2.4300561562995426E-14"/>
    <n v="0"/>
    <n v="0"/>
    <x v="4"/>
  </r>
  <r>
    <s v="Regular"/>
    <x v="1"/>
    <x v="2"/>
    <x v="2"/>
    <x v="6"/>
    <x v="0"/>
    <x v="2"/>
    <x v="0"/>
    <x v="11"/>
    <n v="0"/>
    <n v="0"/>
    <n v="1.321"/>
    <n v="1.321"/>
    <n v="1.321"/>
    <n v="1.321"/>
    <n v="9"/>
    <s v="CATIVO"/>
    <n v="0"/>
    <n v="0"/>
    <n v="18"/>
    <n v="52"/>
    <n v="0"/>
    <n v="423.11"/>
    <n v="211.54"/>
    <m/>
    <n v="462.15002162571147"/>
    <n v="196.56876174373542"/>
    <n v="0"/>
    <n v="-3.7545078157563692E-14"/>
    <n v="0"/>
    <n v="0"/>
    <x v="4"/>
  </r>
  <r>
    <s v="Regular"/>
    <x v="2"/>
    <x v="2"/>
    <x v="1"/>
    <x v="1"/>
    <x v="2"/>
    <x v="2"/>
    <x v="0"/>
    <x v="0"/>
    <n v="0"/>
    <n v="0"/>
    <n v="2.1880000000000002"/>
    <n v="2.1880000000000002"/>
    <n v="2.1880000000000002"/>
    <n v="2.1880000000000002"/>
    <n v="0"/>
    <s v="CATIVO"/>
    <n v="0"/>
    <n v="0"/>
    <n v="42"/>
    <n v="63"/>
    <n v="0"/>
    <n v="430.35"/>
    <n v="186.16"/>
    <m/>
    <n v="532.25884713471521"/>
    <n v="184.7746360391113"/>
    <n v="0"/>
    <n v="183.92327999999983"/>
    <n v="0"/>
    <n v="100.14059113942565"/>
    <x v="2"/>
  </r>
  <r>
    <s v="Sistema de Compensação"/>
    <x v="2"/>
    <x v="2"/>
    <x v="1"/>
    <x v="1"/>
    <x v="2"/>
    <x v="2"/>
    <x v="0"/>
    <x v="0"/>
    <n v="0"/>
    <n v="0"/>
    <n v="0.2"/>
    <n v="0.2"/>
    <n v="0.2"/>
    <n v="0.2"/>
    <n v="0"/>
    <s v="CATIVO"/>
    <n v="0"/>
    <n v="0"/>
    <n v="42"/>
    <n v="63"/>
    <n v="0"/>
    <n v="430.35"/>
    <n v="186.16"/>
    <m/>
    <n v="532.25884713471521"/>
    <n v="184.7746360391113"/>
    <n v="0"/>
    <n v="16.811999999999983"/>
    <n v="0"/>
    <n v="9.1536189341339718"/>
    <x v="2"/>
  </r>
  <r>
    <s v="Regular"/>
    <x v="2"/>
    <x v="2"/>
    <x v="1"/>
    <x v="1"/>
    <x v="2"/>
    <x v="2"/>
    <x v="0"/>
    <x v="1"/>
    <n v="0"/>
    <n v="0"/>
    <n v="3.657"/>
    <n v="3.657"/>
    <n v="3.657"/>
    <n v="3.657"/>
    <n v="0"/>
    <s v="CATIVO"/>
    <n v="0"/>
    <n v="0"/>
    <n v="42"/>
    <n v="63"/>
    <n v="0"/>
    <n v="430.35"/>
    <n v="186.16"/>
    <m/>
    <n v="532.25884713471521"/>
    <n v="184.7746360391113"/>
    <n v="0"/>
    <n v="307.40741999999972"/>
    <n v="0"/>
    <n v="167.37392221063965"/>
    <x v="2"/>
  </r>
  <r>
    <s v="Regular"/>
    <x v="2"/>
    <x v="2"/>
    <x v="1"/>
    <x v="1"/>
    <x v="2"/>
    <x v="2"/>
    <x v="0"/>
    <x v="2"/>
    <n v="0"/>
    <n v="0"/>
    <n v="3.3420000000000001"/>
    <n v="3.3420000000000001"/>
    <n v="3.3420000000000001"/>
    <n v="3.3420000000000001"/>
    <n v="0"/>
    <s v="CATIVO"/>
    <n v="0"/>
    <n v="0"/>
    <n v="42"/>
    <n v="63"/>
    <n v="0"/>
    <n v="430.35"/>
    <n v="186.16"/>
    <m/>
    <n v="532.25884713471521"/>
    <n v="184.7746360391113"/>
    <n v="0"/>
    <n v="280.92851999999971"/>
    <n v="0"/>
    <n v="152.95697238937865"/>
    <x v="2"/>
  </r>
  <r>
    <s v="Sistema de Compensação"/>
    <x v="2"/>
    <x v="2"/>
    <x v="1"/>
    <x v="1"/>
    <x v="2"/>
    <x v="2"/>
    <x v="0"/>
    <x v="2"/>
    <n v="0"/>
    <n v="0"/>
    <n v="0.25"/>
    <n v="0.25"/>
    <n v="0.25"/>
    <n v="0.25"/>
    <n v="0"/>
    <s v="CATIVO"/>
    <n v="0"/>
    <n v="0"/>
    <n v="42"/>
    <n v="63"/>
    <n v="0"/>
    <n v="430.35"/>
    <n v="186.16"/>
    <m/>
    <n v="532.25884713471521"/>
    <n v="184.7746360391113"/>
    <n v="0"/>
    <n v="21.014999999999979"/>
    <n v="0"/>
    <n v="11.442023667667463"/>
    <x v="2"/>
  </r>
  <r>
    <s v="Regular"/>
    <x v="2"/>
    <x v="2"/>
    <x v="1"/>
    <x v="1"/>
    <x v="2"/>
    <x v="2"/>
    <x v="0"/>
    <x v="3"/>
    <n v="0"/>
    <n v="0"/>
    <n v="1.994"/>
    <n v="1.994"/>
    <n v="1.994"/>
    <n v="1.994"/>
    <n v="0"/>
    <s v="CATIVO"/>
    <n v="0"/>
    <n v="0"/>
    <n v="42"/>
    <n v="63"/>
    <n v="0"/>
    <n v="430.35"/>
    <n v="186.16"/>
    <m/>
    <n v="532.25884713471521"/>
    <n v="184.7746360391113"/>
    <n v="0"/>
    <n v="167.61563999999984"/>
    <n v="0"/>
    <n v="91.261580773315686"/>
    <x v="2"/>
  </r>
  <r>
    <s v="Sistema de Compensação"/>
    <x v="2"/>
    <x v="2"/>
    <x v="1"/>
    <x v="1"/>
    <x v="2"/>
    <x v="2"/>
    <x v="0"/>
    <x v="3"/>
    <n v="0"/>
    <n v="0"/>
    <n v="0.439"/>
    <n v="0.439"/>
    <n v="0.439"/>
    <n v="0.439"/>
    <n v="0"/>
    <s v="CATIVO"/>
    <n v="0"/>
    <n v="0"/>
    <n v="42"/>
    <n v="63"/>
    <n v="0"/>
    <n v="430.35"/>
    <n v="186.16"/>
    <m/>
    <n v="532.25884713471521"/>
    <n v="184.7746360391113"/>
    <n v="0"/>
    <n v="36.902339999999967"/>
    <n v="0"/>
    <n v="20.092193560424064"/>
    <x v="2"/>
  </r>
  <r>
    <s v="Regular"/>
    <x v="2"/>
    <x v="2"/>
    <x v="1"/>
    <x v="1"/>
    <x v="2"/>
    <x v="2"/>
    <x v="0"/>
    <x v="4"/>
    <n v="0"/>
    <n v="0"/>
    <n v="21.58"/>
    <n v="21.58"/>
    <n v="21.58"/>
    <n v="21.58"/>
    <n v="0"/>
    <s v="CATIVO"/>
    <n v="0"/>
    <n v="0"/>
    <n v="42"/>
    <n v="63"/>
    <n v="0"/>
    <n v="430.35"/>
    <n v="186.16"/>
    <m/>
    <n v="532.25884713471521"/>
    <n v="184.7746360391113"/>
    <n v="0"/>
    <n v="1814.0147999999981"/>
    <n v="0"/>
    <n v="987.67548299305531"/>
    <x v="2"/>
  </r>
  <r>
    <s v="Sistema de Compensação"/>
    <x v="2"/>
    <x v="2"/>
    <x v="1"/>
    <x v="1"/>
    <x v="2"/>
    <x v="2"/>
    <x v="0"/>
    <x v="4"/>
    <n v="0"/>
    <n v="0"/>
    <n v="0.77"/>
    <n v="0.77"/>
    <n v="0.77"/>
    <n v="0.77"/>
    <n v="0"/>
    <s v="CATIVO"/>
    <n v="0"/>
    <n v="0"/>
    <n v="42"/>
    <n v="63"/>
    <n v="0"/>
    <n v="430.35"/>
    <n v="186.16"/>
    <m/>
    <n v="532.25884713471521"/>
    <n v="184.7746360391113"/>
    <n v="0"/>
    <n v="64.726199999999935"/>
    <n v="0"/>
    <n v="35.241432896415787"/>
    <x v="2"/>
  </r>
  <r>
    <s v="Regular"/>
    <x v="2"/>
    <x v="2"/>
    <x v="1"/>
    <x v="1"/>
    <x v="2"/>
    <x v="2"/>
    <x v="0"/>
    <x v="5"/>
    <n v="0"/>
    <n v="0"/>
    <n v="54.412999999999997"/>
    <n v="54.412999999999997"/>
    <n v="54.412999999999997"/>
    <n v="54.412999999999997"/>
    <n v="0"/>
    <s v="CATIVO"/>
    <n v="0"/>
    <n v="0"/>
    <n v="42"/>
    <n v="63"/>
    <n v="0"/>
    <n v="430.35"/>
    <n v="186.16"/>
    <m/>
    <n v="532.25884713471521"/>
    <n v="184.7746360391113"/>
    <n v="0"/>
    <n v="4573.956779999995"/>
    <n v="0"/>
    <n v="2490.3793353151586"/>
    <x v="2"/>
  </r>
  <r>
    <s v="Sistema de Compensação"/>
    <x v="2"/>
    <x v="2"/>
    <x v="1"/>
    <x v="1"/>
    <x v="2"/>
    <x v="2"/>
    <x v="0"/>
    <x v="5"/>
    <n v="0"/>
    <n v="0"/>
    <n v="0.59099999999999997"/>
    <n v="0.59099999999999997"/>
    <n v="0.59099999999999997"/>
    <n v="0.59099999999999997"/>
    <n v="0"/>
    <s v="CATIVO"/>
    <n v="0"/>
    <n v="0"/>
    <n v="42"/>
    <n v="63"/>
    <n v="0"/>
    <n v="430.35"/>
    <n v="186.16"/>
    <m/>
    <n v="532.25884713471521"/>
    <n v="184.7746360391113"/>
    <n v="0"/>
    <n v="49.679459999999949"/>
    <n v="0"/>
    <n v="27.048943950365882"/>
    <x v="2"/>
  </r>
  <r>
    <s v="Regular"/>
    <x v="2"/>
    <x v="2"/>
    <x v="1"/>
    <x v="1"/>
    <x v="2"/>
    <x v="2"/>
    <x v="0"/>
    <x v="6"/>
    <n v="0"/>
    <n v="0"/>
    <n v="37.627000000000002"/>
    <n v="37.627000000000002"/>
    <n v="37.627000000000002"/>
    <n v="37.627000000000002"/>
    <n v="0"/>
    <s v="CATIVO"/>
    <n v="0"/>
    <n v="0"/>
    <n v="42"/>
    <n v="63"/>
    <n v="0"/>
    <n v="430.35"/>
    <n v="186.16"/>
    <m/>
    <n v="532.25884713471521"/>
    <n v="184.7746360391113"/>
    <n v="0"/>
    <n v="3162.9256199999973"/>
    <n v="0"/>
    <n v="1722.1160981732946"/>
    <x v="2"/>
  </r>
  <r>
    <s v="Sistema de Compensação"/>
    <x v="2"/>
    <x v="2"/>
    <x v="1"/>
    <x v="1"/>
    <x v="2"/>
    <x v="2"/>
    <x v="0"/>
    <x v="6"/>
    <n v="0"/>
    <n v="0"/>
    <n v="1.292"/>
    <n v="1.292"/>
    <n v="1.292"/>
    <n v="1.292"/>
    <n v="0"/>
    <s v="CATIVO"/>
    <n v="0"/>
    <n v="0"/>
    <n v="42"/>
    <n v="63"/>
    <n v="0"/>
    <n v="430.35"/>
    <n v="186.16"/>
    <m/>
    <n v="532.25884713471521"/>
    <n v="184.7746360391113"/>
    <n v="0"/>
    <n v="108.6055199999999"/>
    <n v="0"/>
    <n v="59.132378314505452"/>
    <x v="2"/>
  </r>
  <r>
    <s v="Regular"/>
    <x v="2"/>
    <x v="2"/>
    <x v="1"/>
    <x v="1"/>
    <x v="2"/>
    <x v="2"/>
    <x v="0"/>
    <x v="7"/>
    <n v="0"/>
    <n v="0"/>
    <n v="31.638999999999999"/>
    <n v="31.638999999999999"/>
    <n v="31.638999999999999"/>
    <n v="31.638999999999999"/>
    <n v="0"/>
    <s v="CATIVO"/>
    <n v="0"/>
    <n v="0"/>
    <n v="42"/>
    <n v="63"/>
    <n v="0"/>
    <n v="430.35"/>
    <n v="186.16"/>
    <m/>
    <n v="532.25884713471521"/>
    <n v="184.7746360391113"/>
    <n v="0"/>
    <n v="2659.5743399999974"/>
    <n v="0"/>
    <n v="1448.0567472853234"/>
    <x v="2"/>
  </r>
  <r>
    <s v="Sistema de Compensação"/>
    <x v="2"/>
    <x v="2"/>
    <x v="1"/>
    <x v="1"/>
    <x v="2"/>
    <x v="2"/>
    <x v="0"/>
    <x v="7"/>
    <n v="0"/>
    <n v="0"/>
    <n v="0.05"/>
    <n v="0.05"/>
    <n v="0.05"/>
    <n v="0.05"/>
    <n v="0"/>
    <s v="CATIVO"/>
    <n v="0"/>
    <n v="0"/>
    <n v="42"/>
    <n v="63"/>
    <n v="0"/>
    <n v="430.35"/>
    <n v="186.16"/>
    <m/>
    <n v="532.25884713471521"/>
    <n v="184.7746360391113"/>
    <n v="0"/>
    <n v="4.2029999999999959"/>
    <n v="0"/>
    <n v="2.2884047335334929"/>
    <x v="2"/>
  </r>
  <r>
    <s v="Regular"/>
    <x v="2"/>
    <x v="2"/>
    <x v="1"/>
    <x v="1"/>
    <x v="2"/>
    <x v="2"/>
    <x v="0"/>
    <x v="8"/>
    <n v="0"/>
    <n v="0"/>
    <n v="47.743000000000002"/>
    <n v="47.743000000000002"/>
    <n v="47.743000000000002"/>
    <n v="47.743000000000002"/>
    <n v="0"/>
    <s v="CATIVO"/>
    <n v="0"/>
    <n v="0"/>
    <n v="42"/>
    <n v="63"/>
    <n v="0"/>
    <n v="430.35"/>
    <n v="186.16"/>
    <m/>
    <n v="532.25884713471521"/>
    <n v="184.7746360391113"/>
    <n v="0"/>
    <n v="4013.2765799999961"/>
    <n v="0"/>
    <n v="2185.1061438617908"/>
    <x v="2"/>
  </r>
  <r>
    <s v="Refaturamento - Regular"/>
    <x v="2"/>
    <x v="2"/>
    <x v="1"/>
    <x v="1"/>
    <x v="2"/>
    <x v="2"/>
    <x v="0"/>
    <x v="8"/>
    <n v="0"/>
    <n v="0"/>
    <n v="-5.843"/>
    <n v="-5.843"/>
    <n v="-5.843"/>
    <n v="-5.843"/>
    <n v="0"/>
    <s v="CATIVO"/>
    <n v="0"/>
    <n v="0"/>
    <n v="42"/>
    <n v="63"/>
    <n v="0"/>
    <n v="430.35"/>
    <n v="186.16"/>
    <m/>
    <n v="532.25884713471521"/>
    <n v="184.7746360391113"/>
    <n v="0"/>
    <n v="-491.16257999999954"/>
    <n v="0"/>
    <n v="-267.42297716072397"/>
    <x v="2"/>
  </r>
  <r>
    <s v="Sistema de Compensação"/>
    <x v="2"/>
    <x v="2"/>
    <x v="1"/>
    <x v="1"/>
    <x v="2"/>
    <x v="2"/>
    <x v="0"/>
    <x v="8"/>
    <n v="0"/>
    <n v="0"/>
    <n v="0.05"/>
    <n v="0.05"/>
    <n v="0.05"/>
    <n v="0.05"/>
    <n v="0"/>
    <s v="CATIVO"/>
    <n v="0"/>
    <n v="0"/>
    <n v="42"/>
    <n v="63"/>
    <n v="0"/>
    <n v="430.35"/>
    <n v="186.16"/>
    <m/>
    <n v="532.25884713471521"/>
    <n v="184.7746360391113"/>
    <n v="0"/>
    <n v="4.2029999999999959"/>
    <n v="0"/>
    <n v="2.2884047335334929"/>
    <x v="2"/>
  </r>
  <r>
    <s v="Regular"/>
    <x v="2"/>
    <x v="2"/>
    <x v="1"/>
    <x v="1"/>
    <x v="2"/>
    <x v="2"/>
    <x v="0"/>
    <x v="9"/>
    <n v="0"/>
    <n v="0"/>
    <n v="2.0830000000000002"/>
    <n v="2.0830000000000002"/>
    <n v="2.0830000000000002"/>
    <n v="2.0830000000000002"/>
    <n v="0"/>
    <s v="CATIVO"/>
    <n v="0"/>
    <n v="0"/>
    <n v="42"/>
    <n v="63"/>
    <n v="0"/>
    <n v="430.35"/>
    <n v="186.16"/>
    <m/>
    <n v="532.25884713471521"/>
    <n v="184.7746360391113"/>
    <n v="0"/>
    <n v="175.09697999999983"/>
    <n v="0"/>
    <n v="95.334941199005314"/>
    <x v="2"/>
  </r>
  <r>
    <s v="Refaturamento - Regular"/>
    <x v="2"/>
    <x v="2"/>
    <x v="1"/>
    <x v="1"/>
    <x v="2"/>
    <x v="2"/>
    <x v="0"/>
    <x v="9"/>
    <n v="0"/>
    <n v="0"/>
    <n v="-30.838999999999999"/>
    <n v="-30.838999999999999"/>
    <n v="-30.838999999999999"/>
    <n v="-30.838999999999999"/>
    <n v="0"/>
    <s v="CATIVO"/>
    <n v="0"/>
    <n v="0"/>
    <n v="42"/>
    <n v="63"/>
    <n v="0"/>
    <n v="430.35"/>
    <n v="186.16"/>
    <m/>
    <n v="532.25884713471521"/>
    <n v="184.7746360391113"/>
    <n v="0"/>
    <n v="-2592.3263399999973"/>
    <n v="0"/>
    <n v="-1411.4422715487876"/>
    <x v="2"/>
  </r>
  <r>
    <s v="Sistema de Compensação"/>
    <x v="2"/>
    <x v="2"/>
    <x v="1"/>
    <x v="1"/>
    <x v="2"/>
    <x v="2"/>
    <x v="0"/>
    <x v="9"/>
    <n v="0"/>
    <n v="0"/>
    <n v="0.05"/>
    <n v="0.05"/>
    <n v="0.05"/>
    <n v="0.05"/>
    <n v="0"/>
    <s v="CATIVO"/>
    <n v="0"/>
    <n v="0"/>
    <n v="42"/>
    <n v="63"/>
    <n v="0"/>
    <n v="430.35"/>
    <n v="186.16"/>
    <m/>
    <n v="532.25884713471521"/>
    <n v="184.7746360391113"/>
    <n v="0"/>
    <n v="4.2029999999999959"/>
    <n v="0"/>
    <n v="2.2884047335334929"/>
    <x v="2"/>
  </r>
  <r>
    <s v="Regular"/>
    <x v="2"/>
    <x v="2"/>
    <x v="1"/>
    <x v="1"/>
    <x v="2"/>
    <x v="2"/>
    <x v="0"/>
    <x v="10"/>
    <n v="0"/>
    <n v="0"/>
    <n v="1.9770000000000001"/>
    <n v="1.9770000000000001"/>
    <n v="1.9770000000000001"/>
    <n v="1.9770000000000001"/>
    <n v="0"/>
    <s v="CATIVO"/>
    <n v="0"/>
    <n v="0"/>
    <n v="42"/>
    <n v="63"/>
    <n v="0"/>
    <n v="430.35"/>
    <n v="186.16"/>
    <m/>
    <n v="532.25884713471521"/>
    <n v="184.7746360391113"/>
    <n v="0"/>
    <n v="166.18661999999983"/>
    <n v="0"/>
    <n v="90.483523163914299"/>
    <x v="2"/>
  </r>
  <r>
    <s v="Sistema de Compensação"/>
    <x v="2"/>
    <x v="2"/>
    <x v="1"/>
    <x v="1"/>
    <x v="2"/>
    <x v="2"/>
    <x v="0"/>
    <x v="10"/>
    <n v="0"/>
    <n v="0"/>
    <n v="3.1E-2"/>
    <n v="3.1E-2"/>
    <n v="3.1E-2"/>
    <n v="3.1E-2"/>
    <n v="0"/>
    <s v="CATIVO"/>
    <n v="0"/>
    <n v="0"/>
    <n v="42"/>
    <n v="63"/>
    <n v="0"/>
    <n v="430.35"/>
    <n v="186.16"/>
    <m/>
    <n v="532.25884713471521"/>
    <n v="184.7746360391113"/>
    <n v="0"/>
    <n v="2.6058599999999976"/>
    <n v="0"/>
    <n v="1.4188109347907654"/>
    <x v="2"/>
  </r>
  <r>
    <s v="Regular"/>
    <x v="2"/>
    <x v="2"/>
    <x v="1"/>
    <x v="1"/>
    <x v="2"/>
    <x v="2"/>
    <x v="0"/>
    <x v="11"/>
    <n v="0"/>
    <n v="0"/>
    <n v="1.9339999999999999"/>
    <n v="1.9339999999999999"/>
    <n v="1.9339999999999999"/>
    <n v="1.9339999999999999"/>
    <n v="0"/>
    <s v="CATIVO"/>
    <n v="0"/>
    <n v="0"/>
    <n v="42"/>
    <n v="63"/>
    <n v="0"/>
    <n v="430.35"/>
    <n v="186.16"/>
    <m/>
    <n v="532.25884713471521"/>
    <n v="184.7746360391113"/>
    <n v="0"/>
    <n v="162.57203999999984"/>
    <n v="0"/>
    <n v="88.515495093075501"/>
    <x v="2"/>
  </r>
  <r>
    <s v="Sistema de Compensação"/>
    <x v="2"/>
    <x v="2"/>
    <x v="1"/>
    <x v="1"/>
    <x v="2"/>
    <x v="2"/>
    <x v="0"/>
    <x v="11"/>
    <n v="0"/>
    <n v="0"/>
    <n v="0.1"/>
    <n v="0.1"/>
    <n v="0.1"/>
    <n v="0.1"/>
    <n v="0"/>
    <s v="CATIVO"/>
    <n v="0"/>
    <n v="0"/>
    <n v="42"/>
    <n v="63"/>
    <n v="0"/>
    <n v="430.35"/>
    <n v="186.16"/>
    <m/>
    <n v="532.25884713471521"/>
    <n v="184.7746360391113"/>
    <n v="0"/>
    <n v="8.4059999999999917"/>
    <n v="0"/>
    <n v="4.5768094670669859"/>
    <x v="2"/>
  </r>
  <r>
    <s v="Regular"/>
    <x v="2"/>
    <x v="2"/>
    <x v="1"/>
    <x v="1"/>
    <x v="1"/>
    <x v="2"/>
    <x v="0"/>
    <x v="0"/>
    <n v="0"/>
    <n v="0"/>
    <n v="1.831"/>
    <n v="0.73240000000000005"/>
    <n v="1.831"/>
    <n v="0.73240000000000005"/>
    <n v="0"/>
    <s v="CATIVO"/>
    <n v="0"/>
    <n v="0"/>
    <n v="29"/>
    <n v="63"/>
    <n v="0"/>
    <n v="410.79"/>
    <n v="186.16"/>
    <m/>
    <n v="532.25884713471521"/>
    <n v="184.7746360391113"/>
    <n v="0"/>
    <n v="845.53748999999982"/>
    <n v="0"/>
    <n v="871.53436595676214"/>
    <x v="1"/>
  </r>
  <r>
    <s v="Regular"/>
    <x v="2"/>
    <x v="2"/>
    <x v="1"/>
    <x v="1"/>
    <x v="1"/>
    <x v="2"/>
    <x v="0"/>
    <x v="1"/>
    <n v="0"/>
    <n v="0"/>
    <n v="4.3730000000000002"/>
    <n v="1.7492000000000001"/>
    <n v="4.3730000000000002"/>
    <n v="1.7492000000000001"/>
    <n v="0"/>
    <s v="CATIVO"/>
    <n v="0"/>
    <n v="0"/>
    <n v="29"/>
    <n v="63"/>
    <n v="0"/>
    <n v="410.79"/>
    <n v="186.16"/>
    <m/>
    <n v="532.25884713471521"/>
    <n v="184.7746360391113"/>
    <n v="0"/>
    <n v="2019.4076699999998"/>
    <n v="0"/>
    <n v="2081.4963311463252"/>
    <x v="1"/>
  </r>
  <r>
    <s v="Regular"/>
    <x v="2"/>
    <x v="2"/>
    <x v="1"/>
    <x v="1"/>
    <x v="1"/>
    <x v="2"/>
    <x v="0"/>
    <x v="2"/>
    <n v="0"/>
    <n v="0"/>
    <n v="5.4829999999999997"/>
    <n v="2.1932"/>
    <n v="5.4829999999999997"/>
    <n v="2.1932"/>
    <n v="0"/>
    <s v="CATIVO"/>
    <n v="0"/>
    <n v="0"/>
    <n v="29"/>
    <n v="63"/>
    <n v="0"/>
    <n v="410.79"/>
    <n v="186.16"/>
    <m/>
    <n v="532.25884713471521"/>
    <n v="184.7746360391113"/>
    <n v="0"/>
    <n v="2531.9945699999994"/>
    <n v="0"/>
    <n v="2609.843216024537"/>
    <x v="1"/>
  </r>
  <r>
    <s v="Regular"/>
    <x v="2"/>
    <x v="2"/>
    <x v="1"/>
    <x v="1"/>
    <x v="1"/>
    <x v="2"/>
    <x v="0"/>
    <x v="3"/>
    <n v="0"/>
    <n v="0"/>
    <n v="1.776"/>
    <n v="0.71040000000000003"/>
    <n v="1.776"/>
    <n v="0.71040000000000003"/>
    <n v="0"/>
    <s v="CATIVO"/>
    <n v="0"/>
    <n v="0"/>
    <n v="29"/>
    <n v="63"/>
    <n v="0"/>
    <n v="410.79"/>
    <n v="186.16"/>
    <m/>
    <n v="532.25884713471521"/>
    <n v="184.7746360391113"/>
    <n v="0"/>
    <n v="820.1390399999998"/>
    <n v="0"/>
    <n v="845.35501580513915"/>
    <x v="1"/>
  </r>
  <r>
    <s v="Sistema de Compensação"/>
    <x v="2"/>
    <x v="2"/>
    <x v="1"/>
    <x v="1"/>
    <x v="1"/>
    <x v="2"/>
    <x v="0"/>
    <x v="3"/>
    <n v="0"/>
    <n v="0"/>
    <n v="4.0000000000000001E-3"/>
    <n v="4.0000000000000001E-3"/>
    <n v="4.0000000000000001E-3"/>
    <n v="4.0000000000000001E-3"/>
    <n v="0"/>
    <s v="CATIVO"/>
    <n v="0"/>
    <n v="0"/>
    <n v="29"/>
    <n v="63"/>
    <n v="0"/>
    <n v="410.79"/>
    <n v="186.16"/>
    <m/>
    <n v="532.25884713471521"/>
    <n v="184.7746360391113"/>
    <n v="0"/>
    <n v="0.41447999999999968"/>
    <n v="0"/>
    <n v="0.18307237868267942"/>
    <x v="2"/>
  </r>
  <r>
    <s v="Regular"/>
    <x v="2"/>
    <x v="2"/>
    <x v="1"/>
    <x v="1"/>
    <x v="1"/>
    <x v="2"/>
    <x v="0"/>
    <x v="4"/>
    <n v="0"/>
    <n v="0"/>
    <n v="48.173999999999999"/>
    <n v="19.269600000000001"/>
    <n v="48.173999999999999"/>
    <n v="19.269600000000001"/>
    <n v="0"/>
    <s v="CATIVO"/>
    <n v="0"/>
    <n v="0"/>
    <n v="29"/>
    <n v="63"/>
    <n v="0"/>
    <n v="410.79"/>
    <n v="186.16"/>
    <m/>
    <n v="532.25884713471521"/>
    <n v="184.7746360391113"/>
    <n v="0"/>
    <n v="22246.271459999996"/>
    <n v="0"/>
    <n v="22930.254803714401"/>
    <x v="1"/>
  </r>
  <r>
    <s v="Sistema de Compensação"/>
    <x v="2"/>
    <x v="2"/>
    <x v="1"/>
    <x v="1"/>
    <x v="1"/>
    <x v="2"/>
    <x v="0"/>
    <x v="4"/>
    <n v="0"/>
    <n v="0"/>
    <n v="6.6000000000000003E-2"/>
    <n v="6.6000000000000003E-2"/>
    <n v="6.6000000000000003E-2"/>
    <n v="6.6000000000000003E-2"/>
    <n v="0"/>
    <s v="CATIVO"/>
    <n v="0"/>
    <n v="0"/>
    <n v="29"/>
    <n v="63"/>
    <n v="0"/>
    <n v="410.79"/>
    <n v="186.16"/>
    <m/>
    <n v="532.25884713471521"/>
    <n v="184.7746360391113"/>
    <n v="0"/>
    <n v="6.8389199999999946"/>
    <n v="0"/>
    <n v="3.0206942482642103"/>
    <x v="2"/>
  </r>
  <r>
    <s v="Regular"/>
    <x v="2"/>
    <x v="2"/>
    <x v="1"/>
    <x v="1"/>
    <x v="1"/>
    <x v="2"/>
    <x v="0"/>
    <x v="5"/>
    <n v="0"/>
    <n v="0"/>
    <n v="81.238"/>
    <n v="32.495199999999997"/>
    <n v="81.238"/>
    <n v="32.495199999999997"/>
    <n v="0"/>
    <s v="CATIVO"/>
    <n v="0"/>
    <n v="0"/>
    <n v="29"/>
    <n v="63"/>
    <n v="0"/>
    <n v="410.79"/>
    <n v="186.16"/>
    <m/>
    <n v="532.25884713471521"/>
    <n v="184.7746360391113"/>
    <n v="0"/>
    <n v="37514.896019999993"/>
    <n v="0"/>
    <n v="38668.32813850107"/>
    <x v="1"/>
  </r>
  <r>
    <s v="Sistema de Compensação"/>
    <x v="2"/>
    <x v="2"/>
    <x v="1"/>
    <x v="1"/>
    <x v="1"/>
    <x v="2"/>
    <x v="0"/>
    <x v="5"/>
    <n v="0"/>
    <n v="0"/>
    <n v="0.126"/>
    <n v="0.126"/>
    <n v="0.126"/>
    <n v="0.126"/>
    <n v="0"/>
    <s v="CATIVO"/>
    <n v="0"/>
    <n v="0"/>
    <n v="29"/>
    <n v="63"/>
    <n v="0"/>
    <n v="410.79"/>
    <n v="186.16"/>
    <m/>
    <n v="532.25884713471521"/>
    <n v="184.7746360391113"/>
    <n v="0"/>
    <n v="13.056119999999989"/>
    <n v="0"/>
    <n v="5.7667799285044019"/>
    <x v="2"/>
  </r>
  <r>
    <s v="Regular"/>
    <x v="2"/>
    <x v="2"/>
    <x v="1"/>
    <x v="1"/>
    <x v="1"/>
    <x v="2"/>
    <x v="0"/>
    <x v="6"/>
    <n v="0"/>
    <n v="0"/>
    <n v="52.499000000000002"/>
    <n v="20.999600000000001"/>
    <n v="52.499000000000002"/>
    <n v="20.999600000000001"/>
    <n v="0"/>
    <s v="CATIVO"/>
    <n v="0"/>
    <n v="0"/>
    <n v="29"/>
    <n v="63"/>
    <n v="0"/>
    <n v="410.79"/>
    <n v="186.16"/>
    <m/>
    <n v="532.25884713471521"/>
    <n v="184.7746360391113"/>
    <n v="0"/>
    <n v="24243.513209999997"/>
    <n v="0"/>
    <n v="24988.903702001127"/>
    <x v="1"/>
  </r>
  <r>
    <s v="Sistema de Compensação"/>
    <x v="2"/>
    <x v="2"/>
    <x v="1"/>
    <x v="1"/>
    <x v="1"/>
    <x v="2"/>
    <x v="0"/>
    <x v="6"/>
    <n v="0"/>
    <n v="0"/>
    <n v="0.86899999999999999"/>
    <n v="0.86899999999999999"/>
    <n v="0.86899999999999999"/>
    <n v="0.86899999999999999"/>
    <n v="0"/>
    <s v="CATIVO"/>
    <n v="0"/>
    <n v="0"/>
    <n v="29"/>
    <n v="63"/>
    <n v="0"/>
    <n v="410.79"/>
    <n v="186.16"/>
    <m/>
    <n v="532.25884713471521"/>
    <n v="184.7746360391113"/>
    <n v="0"/>
    <n v="90.045779999999922"/>
    <n v="0"/>
    <n v="39.772474268812104"/>
    <x v="2"/>
  </r>
  <r>
    <s v="Regular"/>
    <x v="2"/>
    <x v="2"/>
    <x v="1"/>
    <x v="1"/>
    <x v="1"/>
    <x v="2"/>
    <x v="0"/>
    <x v="7"/>
    <n v="0"/>
    <n v="0"/>
    <n v="28.091000000000001"/>
    <n v="11.2364"/>
    <n v="28.091000000000001"/>
    <n v="11.2364"/>
    <n v="0"/>
    <s v="CATIVO"/>
    <n v="0"/>
    <n v="0"/>
    <n v="29"/>
    <n v="63"/>
    <n v="0"/>
    <n v="410.79"/>
    <n v="186.16"/>
    <m/>
    <n v="532.25884713471521"/>
    <n v="184.7746360391113"/>
    <n v="0"/>
    <n v="12972.142889999999"/>
    <n v="0"/>
    <n v="13370.984092895365"/>
    <x v="1"/>
  </r>
  <r>
    <s v="Regular"/>
    <x v="2"/>
    <x v="2"/>
    <x v="1"/>
    <x v="1"/>
    <x v="1"/>
    <x v="2"/>
    <x v="0"/>
    <x v="8"/>
    <n v="0"/>
    <n v="0"/>
    <n v="22.385999999999999"/>
    <n v="8.9543999999999997"/>
    <n v="22.385999999999999"/>
    <n v="8.9543999999999997"/>
    <n v="0"/>
    <s v="CATIVO"/>
    <n v="0"/>
    <n v="0"/>
    <n v="29"/>
    <n v="63"/>
    <n v="0"/>
    <n v="410.79"/>
    <n v="186.16"/>
    <m/>
    <n v="532.25884713471521"/>
    <n v="184.7746360391113"/>
    <n v="0"/>
    <n v="10337.630939999999"/>
    <n v="0"/>
    <n v="10655.471499895184"/>
    <x v="1"/>
  </r>
  <r>
    <s v="Regular"/>
    <x v="2"/>
    <x v="2"/>
    <x v="1"/>
    <x v="1"/>
    <x v="1"/>
    <x v="2"/>
    <x v="0"/>
    <x v="9"/>
    <n v="0"/>
    <n v="0"/>
    <n v="0.58399999999999996"/>
    <n v="0.2336"/>
    <n v="0.58399999999999996"/>
    <n v="0.2336"/>
    <n v="0"/>
    <s v="CATIVO"/>
    <n v="0"/>
    <n v="0"/>
    <n v="29"/>
    <n v="63"/>
    <n v="0"/>
    <n v="410.79"/>
    <n v="186.16"/>
    <m/>
    <n v="532.25884713471521"/>
    <n v="184.7746360391113"/>
    <n v="0"/>
    <n v="269.68535999999995"/>
    <n v="0"/>
    <n v="277.97709979177995"/>
    <x v="1"/>
  </r>
  <r>
    <s v="Refaturamento - Regular"/>
    <x v="2"/>
    <x v="2"/>
    <x v="1"/>
    <x v="1"/>
    <x v="1"/>
    <x v="2"/>
    <x v="0"/>
    <x v="9"/>
    <n v="0"/>
    <n v="0"/>
    <n v="-2.7109999999999999"/>
    <n v="-1.0844"/>
    <n v="-2.7109999999999999"/>
    <n v="-1.0844"/>
    <n v="0"/>
    <s v="CATIVO"/>
    <n v="0"/>
    <n v="0"/>
    <n v="29"/>
    <n v="63"/>
    <n v="0"/>
    <n v="410.79"/>
    <n v="186.16"/>
    <m/>
    <n v="532.25884713471521"/>
    <n v="184.7746360391113"/>
    <n v="0"/>
    <n v="-1251.9126899999997"/>
    <n v="0"/>
    <n v="-1290.4039683827323"/>
    <x v="1"/>
  </r>
  <r>
    <s v="Regular"/>
    <x v="2"/>
    <x v="2"/>
    <x v="1"/>
    <x v="1"/>
    <x v="1"/>
    <x v="2"/>
    <x v="0"/>
    <x v="10"/>
    <n v="0"/>
    <n v="0"/>
    <n v="0.55700000000000005"/>
    <n v="0.2228"/>
    <n v="0.55700000000000005"/>
    <n v="0.2228"/>
    <n v="0"/>
    <s v="CATIVO"/>
    <n v="0"/>
    <n v="0"/>
    <n v="29"/>
    <n v="63"/>
    <n v="0"/>
    <n v="410.79"/>
    <n v="186.16"/>
    <m/>
    <n v="532.25884713471521"/>
    <n v="184.7746360391113"/>
    <n v="0"/>
    <n v="257.21703000000002"/>
    <n v="0"/>
    <n v="265.12541880825597"/>
    <x v="1"/>
  </r>
  <r>
    <s v="Sistema de Compensação"/>
    <x v="2"/>
    <x v="2"/>
    <x v="1"/>
    <x v="1"/>
    <x v="1"/>
    <x v="2"/>
    <x v="0"/>
    <x v="10"/>
    <n v="0"/>
    <n v="0"/>
    <n v="1.9E-2"/>
    <n v="1.9E-2"/>
    <n v="1.9E-2"/>
    <n v="1.9E-2"/>
    <n v="0"/>
    <s v="CATIVO"/>
    <n v="0"/>
    <n v="0"/>
    <n v="29"/>
    <n v="63"/>
    <n v="0"/>
    <n v="410.79"/>
    <n v="186.16"/>
    <m/>
    <n v="532.25884713471521"/>
    <n v="184.7746360391113"/>
    <n v="0"/>
    <n v="1.9687799999999984"/>
    <n v="0"/>
    <n v="0.86959379874272724"/>
    <x v="2"/>
  </r>
  <r>
    <s v="Regular"/>
    <x v="2"/>
    <x v="2"/>
    <x v="1"/>
    <x v="1"/>
    <x v="1"/>
    <x v="2"/>
    <x v="0"/>
    <x v="11"/>
    <n v="0"/>
    <n v="0"/>
    <n v="0.32600000000000001"/>
    <n v="0.13039999999999999"/>
    <n v="0.32600000000000001"/>
    <n v="0.13039999999999999"/>
    <n v="0"/>
    <s v="CATIVO"/>
    <n v="0"/>
    <n v="0"/>
    <n v="29"/>
    <n v="63"/>
    <n v="0"/>
    <n v="410.79"/>
    <n v="186.16"/>
    <m/>
    <n v="532.25884713471521"/>
    <n v="184.7746360391113"/>
    <n v="0"/>
    <n v="150.54354000000001"/>
    <n v="0"/>
    <n v="155.17214817143886"/>
    <x v="1"/>
  </r>
  <r>
    <s v="Regular"/>
    <x v="2"/>
    <x v="2"/>
    <x v="1"/>
    <x v="7"/>
    <x v="2"/>
    <x v="2"/>
    <x v="0"/>
    <x v="0"/>
    <n v="0"/>
    <n v="0"/>
    <n v="2.1739999999999999"/>
    <n v="2.1739999999999999"/>
    <n v="2.1739999999999999"/>
    <n v="2.1739999999999999"/>
    <n v="0"/>
    <s v="CATIVO"/>
    <n v="0"/>
    <n v="0"/>
    <n v="42"/>
    <n v="63"/>
    <n v="0"/>
    <n v="430.35"/>
    <n v="186.16"/>
    <m/>
    <n v="532.25884713471521"/>
    <n v="184.7746360391113"/>
    <n v="0"/>
    <n v="182.74643999999981"/>
    <n v="0"/>
    <n v="99.499837814036255"/>
    <x v="2"/>
  </r>
  <r>
    <s v="Regular"/>
    <x v="2"/>
    <x v="2"/>
    <x v="1"/>
    <x v="7"/>
    <x v="2"/>
    <x v="2"/>
    <x v="0"/>
    <x v="1"/>
    <n v="0"/>
    <n v="0"/>
    <n v="1.0649999999999999"/>
    <n v="1.0649999999999999"/>
    <n v="1.0649999999999999"/>
    <n v="1.0649999999999999"/>
    <n v="0"/>
    <s v="CATIVO"/>
    <n v="0"/>
    <n v="0"/>
    <n v="42"/>
    <n v="63"/>
    <n v="0"/>
    <n v="430.35"/>
    <n v="186.16"/>
    <m/>
    <n v="532.25884713471521"/>
    <n v="184.7746360391113"/>
    <n v="0"/>
    <n v="89.523899999999912"/>
    <n v="0"/>
    <n v="48.74302082426339"/>
    <x v="2"/>
  </r>
  <r>
    <s v="Regular"/>
    <x v="2"/>
    <x v="2"/>
    <x v="1"/>
    <x v="7"/>
    <x v="2"/>
    <x v="2"/>
    <x v="0"/>
    <x v="2"/>
    <n v="0"/>
    <n v="0"/>
    <n v="0.32900000000000001"/>
    <n v="0.32900000000000001"/>
    <n v="0.32900000000000001"/>
    <n v="0.32900000000000001"/>
    <n v="0"/>
    <s v="CATIVO"/>
    <n v="0"/>
    <n v="0"/>
    <n v="42"/>
    <n v="63"/>
    <n v="0"/>
    <n v="430.35"/>
    <n v="186.16"/>
    <m/>
    <n v="532.25884713471521"/>
    <n v="184.7746360391113"/>
    <n v="0"/>
    <n v="27.655739999999973"/>
    <n v="0"/>
    <n v="15.057703146650383"/>
    <x v="2"/>
  </r>
  <r>
    <s v="Regular"/>
    <x v="2"/>
    <x v="2"/>
    <x v="1"/>
    <x v="7"/>
    <x v="2"/>
    <x v="2"/>
    <x v="0"/>
    <x v="3"/>
    <n v="0"/>
    <n v="0"/>
    <n v="0.58799999999999997"/>
    <n v="0.58799999999999997"/>
    <n v="0.58799999999999997"/>
    <n v="0.58799999999999997"/>
    <n v="0"/>
    <s v="CATIVO"/>
    <n v="0"/>
    <n v="0"/>
    <n v="42"/>
    <n v="63"/>
    <n v="0"/>
    <n v="430.35"/>
    <n v="186.16"/>
    <m/>
    <n v="532.25884713471521"/>
    <n v="184.7746360391113"/>
    <n v="0"/>
    <n v="49.427279999999946"/>
    <n v="0"/>
    <n v="26.911639666353871"/>
    <x v="2"/>
  </r>
  <r>
    <s v="Regular"/>
    <x v="2"/>
    <x v="2"/>
    <x v="1"/>
    <x v="7"/>
    <x v="2"/>
    <x v="2"/>
    <x v="0"/>
    <x v="4"/>
    <n v="0"/>
    <n v="0"/>
    <n v="0.88300000000000001"/>
    <n v="0.88300000000000001"/>
    <n v="0.88300000000000001"/>
    <n v="0.88300000000000001"/>
    <n v="0"/>
    <s v="CATIVO"/>
    <n v="0"/>
    <n v="0"/>
    <n v="42"/>
    <n v="63"/>
    <n v="0"/>
    <n v="430.35"/>
    <n v="186.16"/>
    <m/>
    <n v="532.25884713471521"/>
    <n v="184.7746360391113"/>
    <n v="0"/>
    <n v="74.224979999999931"/>
    <n v="0"/>
    <n v="40.41322759420148"/>
    <x v="2"/>
  </r>
  <r>
    <s v="Regular"/>
    <x v="2"/>
    <x v="2"/>
    <x v="1"/>
    <x v="7"/>
    <x v="2"/>
    <x v="2"/>
    <x v="0"/>
    <x v="5"/>
    <n v="0"/>
    <n v="0"/>
    <n v="0.71299999999999997"/>
    <n v="0.71299999999999997"/>
    <n v="0.71299999999999997"/>
    <n v="0.71299999999999997"/>
    <n v="0"/>
    <s v="CATIVO"/>
    <n v="0"/>
    <n v="0"/>
    <n v="42"/>
    <n v="63"/>
    <n v="0"/>
    <n v="430.35"/>
    <n v="186.16"/>
    <m/>
    <n v="532.25884713471521"/>
    <n v="184.7746360391113"/>
    <n v="0"/>
    <n v="59.93477999999994"/>
    <n v="0"/>
    <n v="32.632651500187606"/>
    <x v="2"/>
  </r>
  <r>
    <s v="Regular"/>
    <x v="2"/>
    <x v="2"/>
    <x v="1"/>
    <x v="7"/>
    <x v="2"/>
    <x v="2"/>
    <x v="0"/>
    <x v="6"/>
    <n v="0"/>
    <n v="0"/>
    <n v="1.84"/>
    <n v="1.84"/>
    <n v="1.84"/>
    <n v="1.84"/>
    <n v="0"/>
    <s v="CATIVO"/>
    <n v="0"/>
    <n v="0"/>
    <n v="42"/>
    <n v="63"/>
    <n v="0"/>
    <n v="430.35"/>
    <n v="186.16"/>
    <m/>
    <n v="532.25884713471521"/>
    <n v="184.7746360391113"/>
    <n v="0"/>
    <n v="154.67039999999986"/>
    <n v="0"/>
    <n v="84.213294194032528"/>
    <x v="2"/>
  </r>
  <r>
    <s v="Regular"/>
    <x v="2"/>
    <x v="2"/>
    <x v="1"/>
    <x v="7"/>
    <x v="2"/>
    <x v="2"/>
    <x v="0"/>
    <x v="7"/>
    <n v="0"/>
    <n v="0"/>
    <n v="1.581"/>
    <n v="1.581"/>
    <n v="1.581"/>
    <n v="1.581"/>
    <n v="0"/>
    <s v="CATIVO"/>
    <n v="0"/>
    <n v="0"/>
    <n v="42"/>
    <n v="63"/>
    <n v="0"/>
    <n v="430.35"/>
    <n v="186.16"/>
    <m/>
    <n v="532.25884713471521"/>
    <n v="184.7746360391113"/>
    <n v="0"/>
    <n v="132.89885999999987"/>
    <n v="0"/>
    <n v="72.359357674329033"/>
    <x v="2"/>
  </r>
  <r>
    <s v="Regular"/>
    <x v="2"/>
    <x v="2"/>
    <x v="1"/>
    <x v="7"/>
    <x v="2"/>
    <x v="2"/>
    <x v="0"/>
    <x v="8"/>
    <n v="0"/>
    <n v="0"/>
    <n v="1.5129999999999999"/>
    <n v="1.5129999999999999"/>
    <n v="1.5129999999999999"/>
    <n v="1.5129999999999999"/>
    <n v="0"/>
    <s v="CATIVO"/>
    <n v="0"/>
    <n v="0"/>
    <n v="42"/>
    <n v="63"/>
    <n v="0"/>
    <n v="430.35"/>
    <n v="186.16"/>
    <m/>
    <n v="532.25884713471521"/>
    <n v="184.7746360391113"/>
    <n v="0"/>
    <n v="127.18277999999987"/>
    <n v="0"/>
    <n v="69.247127236723486"/>
    <x v="2"/>
  </r>
  <r>
    <s v="Regular"/>
    <x v="2"/>
    <x v="2"/>
    <x v="1"/>
    <x v="7"/>
    <x v="2"/>
    <x v="2"/>
    <x v="0"/>
    <x v="9"/>
    <n v="0"/>
    <n v="0"/>
    <n v="0.88800000000000001"/>
    <n v="0.88800000000000001"/>
    <n v="0.88800000000000001"/>
    <n v="0.88800000000000001"/>
    <n v="0"/>
    <s v="CATIVO"/>
    <n v="0"/>
    <n v="0"/>
    <n v="42"/>
    <n v="63"/>
    <n v="0"/>
    <n v="430.35"/>
    <n v="186.16"/>
    <m/>
    <n v="532.25884713471521"/>
    <n v="184.7746360391113"/>
    <n v="0"/>
    <n v="74.645279999999929"/>
    <n v="0"/>
    <n v="40.642068067554831"/>
    <x v="2"/>
  </r>
  <r>
    <s v="Regular"/>
    <x v="2"/>
    <x v="2"/>
    <x v="1"/>
    <x v="7"/>
    <x v="2"/>
    <x v="2"/>
    <x v="0"/>
    <x v="10"/>
    <n v="0"/>
    <n v="0"/>
    <n v="9.5000000000000001E-2"/>
    <n v="9.5000000000000001E-2"/>
    <n v="9.5000000000000001E-2"/>
    <n v="9.5000000000000001E-2"/>
    <n v="0"/>
    <s v="CATIVO"/>
    <n v="0"/>
    <n v="0"/>
    <n v="42"/>
    <n v="63"/>
    <n v="0"/>
    <n v="430.35"/>
    <n v="186.16"/>
    <m/>
    <n v="532.25884713471521"/>
    <n v="184.7746360391113"/>
    <n v="0"/>
    <n v="7.9856999999999925"/>
    <n v="0"/>
    <n v="4.3479689937136365"/>
    <x v="2"/>
  </r>
  <r>
    <s v="Regular"/>
    <x v="2"/>
    <x v="2"/>
    <x v="1"/>
    <x v="7"/>
    <x v="2"/>
    <x v="2"/>
    <x v="0"/>
    <x v="11"/>
    <n v="0"/>
    <n v="0"/>
    <n v="0.32600000000000001"/>
    <n v="0.32600000000000001"/>
    <n v="0.32600000000000001"/>
    <n v="0.32600000000000001"/>
    <n v="0"/>
    <s v="CATIVO"/>
    <n v="0"/>
    <n v="0"/>
    <n v="42"/>
    <n v="63"/>
    <n v="0"/>
    <n v="430.35"/>
    <n v="186.16"/>
    <m/>
    <n v="532.25884713471521"/>
    <n v="184.7746360391113"/>
    <n v="0"/>
    <n v="27.403559999999974"/>
    <n v="0"/>
    <n v="14.920398862638374"/>
    <x v="2"/>
  </r>
  <r>
    <s v="Regular"/>
    <x v="2"/>
    <x v="2"/>
    <x v="1"/>
    <x v="7"/>
    <x v="1"/>
    <x v="2"/>
    <x v="0"/>
    <x v="0"/>
    <n v="0"/>
    <n v="0"/>
    <n v="2.5979999999999999"/>
    <n v="1.0391999999999999"/>
    <n v="2.5979999999999999"/>
    <n v="1.0391999999999999"/>
    <n v="0"/>
    <s v="CATIVO"/>
    <n v="0"/>
    <n v="0"/>
    <n v="29"/>
    <n v="63"/>
    <n v="0"/>
    <n v="410.79"/>
    <n v="186.16"/>
    <m/>
    <n v="532.25884713471521"/>
    <n v="184.7746360391113"/>
    <n v="0"/>
    <n v="1199.7304199999999"/>
    <n v="0"/>
    <n v="1236.6173035257611"/>
    <x v="1"/>
  </r>
  <r>
    <s v="Regular"/>
    <x v="2"/>
    <x v="2"/>
    <x v="1"/>
    <x v="7"/>
    <x v="1"/>
    <x v="2"/>
    <x v="0"/>
    <x v="1"/>
    <n v="0"/>
    <n v="0"/>
    <n v="0.88400000000000001"/>
    <n v="0.35360000000000003"/>
    <n v="0.88400000000000001"/>
    <n v="0.35360000000000003"/>
    <n v="0"/>
    <s v="CATIVO"/>
    <n v="0"/>
    <n v="0"/>
    <n v="29"/>
    <n v="63"/>
    <n v="0"/>
    <n v="410.79"/>
    <n v="186.16"/>
    <m/>
    <n v="532.25884713471521"/>
    <n v="184.7746360391113"/>
    <n v="0"/>
    <n v="408.22235999999992"/>
    <n v="0"/>
    <n v="420.77355516426974"/>
    <x v="1"/>
  </r>
  <r>
    <s v="Regular"/>
    <x v="2"/>
    <x v="2"/>
    <x v="1"/>
    <x v="7"/>
    <x v="1"/>
    <x v="2"/>
    <x v="0"/>
    <x v="2"/>
    <n v="0"/>
    <n v="0"/>
    <n v="0.621"/>
    <n v="0.24840000000000001"/>
    <n v="0.621"/>
    <n v="0.24840000000000001"/>
    <n v="0"/>
    <s v="CATIVO"/>
    <n v="0"/>
    <n v="0"/>
    <n v="29"/>
    <n v="63"/>
    <n v="0"/>
    <n v="410.79"/>
    <n v="186.16"/>
    <m/>
    <n v="532.25884713471521"/>
    <n v="184.7746360391113"/>
    <n v="0"/>
    <n v="286.77158999999995"/>
    <n v="0"/>
    <n v="295.58866262105374"/>
    <x v="1"/>
  </r>
  <r>
    <s v="Regular"/>
    <x v="2"/>
    <x v="2"/>
    <x v="1"/>
    <x v="7"/>
    <x v="1"/>
    <x v="2"/>
    <x v="0"/>
    <x v="3"/>
    <n v="0"/>
    <n v="0"/>
    <n v="0.85699999999999998"/>
    <n v="0.34279999999999999"/>
    <n v="0.85699999999999998"/>
    <n v="0.34279999999999999"/>
    <n v="0"/>
    <s v="CATIVO"/>
    <n v="0"/>
    <n v="0"/>
    <n v="29"/>
    <n v="63"/>
    <n v="0"/>
    <n v="410.79"/>
    <n v="186.16"/>
    <m/>
    <n v="532.25884713471521"/>
    <n v="184.7746360391113"/>
    <n v="0"/>
    <n v="395.75402999999994"/>
    <n v="0"/>
    <n v="407.92187418074565"/>
    <x v="1"/>
  </r>
  <r>
    <s v="Regular"/>
    <x v="2"/>
    <x v="2"/>
    <x v="1"/>
    <x v="7"/>
    <x v="1"/>
    <x v="2"/>
    <x v="0"/>
    <x v="4"/>
    <n v="0"/>
    <n v="0"/>
    <n v="1.806"/>
    <n v="0.72240000000000004"/>
    <n v="1.806"/>
    <n v="0.72240000000000004"/>
    <n v="0"/>
    <s v="CATIVO"/>
    <n v="0"/>
    <n v="0"/>
    <n v="29"/>
    <n v="63"/>
    <n v="0"/>
    <n v="410.79"/>
    <n v="186.16"/>
    <m/>
    <n v="532.25884713471521"/>
    <n v="184.7746360391113"/>
    <n v="0"/>
    <n v="833.99273999999991"/>
    <n v="0"/>
    <n v="859.6346613423882"/>
    <x v="1"/>
  </r>
  <r>
    <s v="Regular"/>
    <x v="2"/>
    <x v="2"/>
    <x v="1"/>
    <x v="7"/>
    <x v="1"/>
    <x v="2"/>
    <x v="0"/>
    <x v="5"/>
    <n v="0"/>
    <n v="0"/>
    <n v="2.024"/>
    <n v="0.80959999999999999"/>
    <n v="2.024"/>
    <n v="0.80959999999999999"/>
    <n v="0"/>
    <s v="CATIVO"/>
    <n v="0"/>
    <n v="0"/>
    <n v="29"/>
    <n v="63"/>
    <n v="0"/>
    <n v="410.79"/>
    <n v="186.16"/>
    <m/>
    <n v="532.25884713471521"/>
    <n v="184.7746360391113"/>
    <n v="0"/>
    <n v="934.66295999999988"/>
    <n v="0"/>
    <n v="963.40008557973067"/>
    <x v="1"/>
  </r>
  <r>
    <s v="Regular"/>
    <x v="2"/>
    <x v="2"/>
    <x v="1"/>
    <x v="7"/>
    <x v="1"/>
    <x v="2"/>
    <x v="0"/>
    <x v="6"/>
    <n v="0"/>
    <n v="0"/>
    <n v="1.6990000000000001"/>
    <n v="0.67959999999999998"/>
    <n v="1.6990000000000001"/>
    <n v="0.67959999999999998"/>
    <n v="0"/>
    <s v="CATIVO"/>
    <n v="0"/>
    <n v="0"/>
    <n v="29"/>
    <n v="63"/>
    <n v="0"/>
    <n v="410.79"/>
    <n v="186.16"/>
    <m/>
    <n v="532.25884713471521"/>
    <n v="184.7746360391113"/>
    <n v="0"/>
    <n v="784.58121000000006"/>
    <n v="0"/>
    <n v="808.70392559286699"/>
    <x v="1"/>
  </r>
  <r>
    <s v="Regular"/>
    <x v="2"/>
    <x v="2"/>
    <x v="1"/>
    <x v="7"/>
    <x v="1"/>
    <x v="2"/>
    <x v="0"/>
    <x v="7"/>
    <n v="0"/>
    <n v="0"/>
    <n v="3.52"/>
    <n v="1.4079999999999999"/>
    <n v="3.52"/>
    <n v="1.4079999999999999"/>
    <n v="0"/>
    <s v="CATIVO"/>
    <n v="0"/>
    <n v="0"/>
    <n v="29"/>
    <n v="63"/>
    <n v="0"/>
    <n v="410.79"/>
    <n v="186.16"/>
    <m/>
    <n v="532.25884713471521"/>
    <n v="184.7746360391113"/>
    <n v="0"/>
    <n v="1625.5007999999998"/>
    <n v="0"/>
    <n v="1675.4784097038796"/>
    <x v="1"/>
  </r>
  <r>
    <s v="Regular"/>
    <x v="2"/>
    <x v="2"/>
    <x v="1"/>
    <x v="7"/>
    <x v="1"/>
    <x v="2"/>
    <x v="0"/>
    <x v="8"/>
    <n v="0"/>
    <n v="0"/>
    <n v="1.5629999999999999"/>
    <n v="0.62519999999999998"/>
    <n v="1.5629999999999999"/>
    <n v="0.62519999999999998"/>
    <n v="0"/>
    <s v="CATIVO"/>
    <n v="0"/>
    <n v="0"/>
    <n v="29"/>
    <n v="63"/>
    <n v="0"/>
    <n v="410.79"/>
    <n v="186.16"/>
    <m/>
    <n v="532.25884713471521"/>
    <n v="184.7746360391113"/>
    <n v="0"/>
    <n v="721.77776999999992"/>
    <n v="0"/>
    <n v="743.96953249067155"/>
    <x v="1"/>
  </r>
  <r>
    <s v="Regular"/>
    <x v="2"/>
    <x v="2"/>
    <x v="1"/>
    <x v="7"/>
    <x v="1"/>
    <x v="2"/>
    <x v="0"/>
    <x v="9"/>
    <n v="0"/>
    <n v="0"/>
    <n v="0.68300000000000005"/>
    <n v="0.2732"/>
    <n v="0.68300000000000005"/>
    <n v="0.2732"/>
    <n v="0"/>
    <s v="CATIVO"/>
    <n v="0"/>
    <n v="0"/>
    <n v="29"/>
    <n v="63"/>
    <n v="0"/>
    <n v="410.79"/>
    <n v="186.16"/>
    <m/>
    <n v="532.25884713471521"/>
    <n v="184.7746360391113"/>
    <n v="0"/>
    <n v="315.40257000000003"/>
    <n v="0"/>
    <n v="325.09993006470165"/>
    <x v="1"/>
  </r>
  <r>
    <s v="Regular"/>
    <x v="2"/>
    <x v="2"/>
    <x v="1"/>
    <x v="7"/>
    <x v="1"/>
    <x v="2"/>
    <x v="0"/>
    <x v="10"/>
    <n v="0"/>
    <n v="0"/>
    <n v="8.7999999999999995E-2"/>
    <n v="3.5200000000000002E-2"/>
    <n v="8.7999999999999995E-2"/>
    <n v="3.5200000000000002E-2"/>
    <n v="0"/>
    <s v="CATIVO"/>
    <n v="0"/>
    <n v="0"/>
    <n v="29"/>
    <n v="63"/>
    <n v="0"/>
    <n v="410.79"/>
    <n v="186.16"/>
    <m/>
    <n v="532.25884713471521"/>
    <n v="184.7746360391113"/>
    <n v="0"/>
    <n v="40.637519999999988"/>
    <n v="0"/>
    <n v="41.886960242596977"/>
    <x v="1"/>
  </r>
  <r>
    <s v="Regular"/>
    <x v="2"/>
    <x v="2"/>
    <x v="1"/>
    <x v="7"/>
    <x v="1"/>
    <x v="2"/>
    <x v="0"/>
    <x v="11"/>
    <n v="0"/>
    <n v="0"/>
    <n v="0.16900000000000001"/>
    <n v="6.7599999999999993E-2"/>
    <n v="0.16900000000000001"/>
    <n v="6.7599999999999993E-2"/>
    <n v="0"/>
    <s v="CATIVO"/>
    <n v="0"/>
    <n v="0"/>
    <n v="29"/>
    <n v="63"/>
    <n v="0"/>
    <n v="410.79"/>
    <n v="186.16"/>
    <m/>
    <n v="532.25884713471521"/>
    <n v="184.7746360391113"/>
    <n v="0"/>
    <n v="78.042509999999993"/>
    <n v="0"/>
    <n v="80.442003193169228"/>
    <x v="1"/>
  </r>
  <r>
    <s v="Regular"/>
    <x v="2"/>
    <x v="2"/>
    <x v="1"/>
    <x v="0"/>
    <x v="0"/>
    <x v="2"/>
    <x v="0"/>
    <x v="0"/>
    <n v="0"/>
    <n v="0"/>
    <n v="1474.364"/>
    <n v="1474.364"/>
    <n v="1474.364"/>
    <n v="1474.364"/>
    <n v="4633"/>
    <s v="CATIVO"/>
    <n v="0"/>
    <n v="0"/>
    <n v="42"/>
    <n v="63"/>
    <n v="0"/>
    <n v="430.35"/>
    <n v="186.16"/>
    <m/>
    <n v="532.25884713471521"/>
    <n v="184.7746360391113"/>
    <n v="0"/>
    <n v="123935.03783999987"/>
    <n v="0"/>
    <n v="67478.831131027488"/>
    <x v="2"/>
  </r>
  <r>
    <s v="Refaturamento - Regular"/>
    <x v="2"/>
    <x v="2"/>
    <x v="1"/>
    <x v="0"/>
    <x v="0"/>
    <x v="2"/>
    <x v="0"/>
    <x v="0"/>
    <n v="0"/>
    <n v="0"/>
    <n v="-1.758"/>
    <n v="-1.758"/>
    <n v="-1.758"/>
    <n v="-1.758"/>
    <n v="0"/>
    <s v="CATIVO"/>
    <n v="0"/>
    <n v="0"/>
    <n v="42"/>
    <n v="63"/>
    <n v="0"/>
    <n v="430.35"/>
    <n v="186.16"/>
    <m/>
    <n v="532.25884713471521"/>
    <n v="184.7746360391113"/>
    <n v="0"/>
    <n v="-147.77747999999985"/>
    <n v="0"/>
    <n v="-80.460310431037598"/>
    <x v="2"/>
  </r>
  <r>
    <s v="Sistema de Compensação"/>
    <x v="2"/>
    <x v="2"/>
    <x v="1"/>
    <x v="0"/>
    <x v="0"/>
    <x v="2"/>
    <x v="0"/>
    <x v="0"/>
    <n v="0"/>
    <n v="0"/>
    <n v="125.97199999999999"/>
    <n v="125.97199999999999"/>
    <n v="125.97199999999999"/>
    <n v="125.97199999999999"/>
    <n v="126"/>
    <s v="CATIVO"/>
    <n v="0"/>
    <n v="0"/>
    <n v="42"/>
    <n v="63"/>
    <n v="0"/>
    <n v="430.35"/>
    <n v="186.16"/>
    <m/>
    <n v="532.25884713471521"/>
    <n v="184.7746360391113"/>
    <n v="0"/>
    <n v="10589.206319999988"/>
    <n v="0"/>
    <n v="5765.4984218536229"/>
    <x v="2"/>
  </r>
  <r>
    <s v="Regular"/>
    <x v="2"/>
    <x v="2"/>
    <x v="1"/>
    <x v="0"/>
    <x v="0"/>
    <x v="2"/>
    <x v="0"/>
    <x v="1"/>
    <n v="0"/>
    <n v="0"/>
    <n v="1562.838"/>
    <n v="1562.838"/>
    <n v="1562.838"/>
    <n v="1562.838"/>
    <n v="4613"/>
    <s v="CATIVO"/>
    <n v="0"/>
    <n v="0"/>
    <n v="42"/>
    <n v="63"/>
    <n v="0"/>
    <n v="430.35"/>
    <n v="186.16"/>
    <m/>
    <n v="532.25884713471521"/>
    <n v="184.7746360391113"/>
    <n v="0"/>
    <n v="131372.16227999987"/>
    <n v="0"/>
    <n v="71528.117538920327"/>
    <x v="2"/>
  </r>
  <r>
    <s v="Refaturamento - Regular"/>
    <x v="2"/>
    <x v="2"/>
    <x v="1"/>
    <x v="0"/>
    <x v="0"/>
    <x v="2"/>
    <x v="0"/>
    <x v="1"/>
    <n v="0"/>
    <n v="0"/>
    <n v="-9.1920000000000002"/>
    <n v="-9.1920000000000002"/>
    <n v="-9.1920000000000002"/>
    <n v="-9.1920000000000002"/>
    <n v="0"/>
    <s v="CATIVO"/>
    <n v="0"/>
    <n v="0"/>
    <n v="42"/>
    <n v="63"/>
    <n v="0"/>
    <n v="430.35"/>
    <n v="186.16"/>
    <m/>
    <n v="532.25884713471521"/>
    <n v="184.7746360391113"/>
    <n v="0"/>
    <n v="-772.67951999999923"/>
    <n v="0"/>
    <n v="-420.70032621279728"/>
    <x v="2"/>
  </r>
  <r>
    <s v="Regular"/>
    <x v="2"/>
    <x v="2"/>
    <x v="1"/>
    <x v="0"/>
    <x v="0"/>
    <x v="2"/>
    <x v="0"/>
    <x v="2"/>
    <n v="0"/>
    <n v="0"/>
    <n v="1585.94"/>
    <n v="1585.94"/>
    <n v="1585.94"/>
    <n v="1585.94"/>
    <n v="4622"/>
    <s v="CATIVO"/>
    <n v="0"/>
    <n v="0"/>
    <n v="42"/>
    <n v="63"/>
    <n v="0"/>
    <n v="430.35"/>
    <n v="186.16"/>
    <m/>
    <n v="532.25884713471521"/>
    <n v="184.7746360391113"/>
    <n v="0"/>
    <n v="133314.11639999988"/>
    <n v="0"/>
    <n v="72585.45206200215"/>
    <x v="2"/>
  </r>
  <r>
    <s v="Refaturamento - Regular"/>
    <x v="2"/>
    <x v="2"/>
    <x v="1"/>
    <x v="0"/>
    <x v="0"/>
    <x v="2"/>
    <x v="0"/>
    <x v="2"/>
    <n v="0"/>
    <n v="0"/>
    <n v="-6.4260000000000002"/>
    <n v="-6.4260000000000002"/>
    <n v="-6.4260000000000002"/>
    <n v="-6.4260000000000002"/>
    <n v="0"/>
    <s v="CATIVO"/>
    <n v="0"/>
    <n v="0"/>
    <n v="42"/>
    <n v="63"/>
    <n v="0"/>
    <n v="430.35"/>
    <n v="186.16"/>
    <m/>
    <n v="532.25884713471521"/>
    <n v="184.7746360391113"/>
    <n v="0"/>
    <n v="-540.16955999999948"/>
    <n v="0"/>
    <n v="-294.10577635372448"/>
    <x v="2"/>
  </r>
  <r>
    <s v="Sistema de Compensação"/>
    <x v="2"/>
    <x v="2"/>
    <x v="1"/>
    <x v="0"/>
    <x v="0"/>
    <x v="2"/>
    <x v="0"/>
    <x v="2"/>
    <n v="0"/>
    <n v="0"/>
    <n v="78.552999999999997"/>
    <n v="78.552999999999997"/>
    <n v="78.552999999999997"/>
    <n v="78.552999999999997"/>
    <n v="131"/>
    <s v="CATIVO"/>
    <n v="0"/>
    <n v="0"/>
    <n v="42"/>
    <n v="63"/>
    <n v="0"/>
    <n v="430.35"/>
    <n v="186.16"/>
    <m/>
    <n v="532.25884713471521"/>
    <n v="184.7746360391113"/>
    <n v="0"/>
    <n v="6603.1651799999936"/>
    <n v="0"/>
    <n v="3595.221140665129"/>
    <x v="2"/>
  </r>
  <r>
    <s v="Regular"/>
    <x v="2"/>
    <x v="2"/>
    <x v="1"/>
    <x v="0"/>
    <x v="0"/>
    <x v="2"/>
    <x v="0"/>
    <x v="3"/>
    <n v="0"/>
    <n v="0"/>
    <n v="1566.079"/>
    <n v="1566.079"/>
    <n v="1566.079"/>
    <n v="1566.079"/>
    <n v="4616"/>
    <s v="CATIVO"/>
    <n v="0"/>
    <n v="0"/>
    <n v="42"/>
    <n v="63"/>
    <n v="0"/>
    <n v="430.35"/>
    <n v="186.16"/>
    <m/>
    <n v="532.25884713471521"/>
    <n v="184.7746360391113"/>
    <n v="0"/>
    <n v="131644.60073999988"/>
    <n v="0"/>
    <n v="71676.451933747972"/>
    <x v="2"/>
  </r>
  <r>
    <s v="Refaturamento - Regular"/>
    <x v="2"/>
    <x v="2"/>
    <x v="1"/>
    <x v="0"/>
    <x v="0"/>
    <x v="2"/>
    <x v="0"/>
    <x v="3"/>
    <n v="0"/>
    <n v="0"/>
    <n v="-6.51"/>
    <n v="-6.51"/>
    <n v="-6.51"/>
    <n v="-6.51"/>
    <n v="0"/>
    <s v="CATIVO"/>
    <n v="0"/>
    <n v="0"/>
    <n v="42"/>
    <n v="63"/>
    <n v="0"/>
    <n v="430.35"/>
    <n v="186.16"/>
    <m/>
    <n v="532.25884713471521"/>
    <n v="184.7746360391113"/>
    <n v="0"/>
    <n v="-547.23059999999941"/>
    <n v="0"/>
    <n v="-297.95029630606075"/>
    <x v="2"/>
  </r>
  <r>
    <s v="Sistema de Compensação"/>
    <x v="2"/>
    <x v="2"/>
    <x v="1"/>
    <x v="0"/>
    <x v="0"/>
    <x v="2"/>
    <x v="0"/>
    <x v="3"/>
    <n v="0"/>
    <n v="0"/>
    <n v="90.212000000000003"/>
    <n v="90.212000000000003"/>
    <n v="90.212000000000003"/>
    <n v="90.212000000000003"/>
    <n v="136"/>
    <s v="CATIVO"/>
    <n v="0"/>
    <n v="0"/>
    <n v="42"/>
    <n v="63"/>
    <n v="0"/>
    <n v="430.35"/>
    <n v="186.16"/>
    <m/>
    <n v="532.25884713471521"/>
    <n v="184.7746360391113"/>
    <n v="0"/>
    <n v="7583.220719999993"/>
    <n v="0"/>
    <n v="4128.831356430469"/>
    <x v="2"/>
  </r>
  <r>
    <s v="Regular"/>
    <x v="2"/>
    <x v="2"/>
    <x v="1"/>
    <x v="0"/>
    <x v="0"/>
    <x v="2"/>
    <x v="0"/>
    <x v="4"/>
    <n v="0"/>
    <n v="0"/>
    <n v="1656.521"/>
    <n v="1656.521"/>
    <n v="1656.521"/>
    <n v="1656.521"/>
    <n v="4603"/>
    <s v="CATIVO"/>
    <n v="0"/>
    <n v="0"/>
    <n v="42"/>
    <n v="63"/>
    <n v="0"/>
    <n v="430.35"/>
    <n v="186.16"/>
    <m/>
    <n v="532.25884713471521"/>
    <n v="184.7746360391113"/>
    <n v="0"/>
    <n v="139247.15525999985"/>
    <n v="0"/>
    <n v="75815.809951952688"/>
    <x v="2"/>
  </r>
  <r>
    <s v="Refaturamento - Regular"/>
    <x v="2"/>
    <x v="2"/>
    <x v="1"/>
    <x v="0"/>
    <x v="0"/>
    <x v="2"/>
    <x v="0"/>
    <x v="4"/>
    <n v="0"/>
    <n v="0"/>
    <n v="-2.605"/>
    <n v="-2.605"/>
    <n v="-2.605"/>
    <n v="-2.605"/>
    <n v="0"/>
    <s v="CATIVO"/>
    <n v="0"/>
    <n v="0"/>
    <n v="42"/>
    <n v="63"/>
    <n v="0"/>
    <n v="430.35"/>
    <n v="186.16"/>
    <m/>
    <n v="532.25884713471521"/>
    <n v="184.7746360391113"/>
    <n v="0"/>
    <n v="-218.97629999999978"/>
    <n v="0"/>
    <n v="-119.22588661709497"/>
    <x v="2"/>
  </r>
  <r>
    <s v="Sistema de Compensação"/>
    <x v="2"/>
    <x v="2"/>
    <x v="1"/>
    <x v="0"/>
    <x v="0"/>
    <x v="2"/>
    <x v="0"/>
    <x v="4"/>
    <n v="0"/>
    <n v="0"/>
    <n v="59.811999999999998"/>
    <n v="59.811999999999998"/>
    <n v="59.811999999999998"/>
    <n v="59.811999999999998"/>
    <n v="0"/>
    <s v="CATIVO"/>
    <n v="0"/>
    <n v="0"/>
    <n v="42"/>
    <n v="63"/>
    <n v="0"/>
    <n v="430.35"/>
    <n v="186.16"/>
    <m/>
    <n v="532.25884713471521"/>
    <n v="184.7746360391113"/>
    <n v="0"/>
    <n v="5027.7967199999948"/>
    <n v="0"/>
    <n v="2737.4812784421051"/>
    <x v="2"/>
  </r>
  <r>
    <s v="Regular"/>
    <x v="2"/>
    <x v="2"/>
    <x v="1"/>
    <x v="0"/>
    <x v="0"/>
    <x v="2"/>
    <x v="0"/>
    <x v="5"/>
    <n v="0"/>
    <n v="0"/>
    <n v="1717.56"/>
    <n v="1717.56"/>
    <n v="1717.56"/>
    <n v="1717.56"/>
    <n v="4543"/>
    <s v="CATIVO"/>
    <n v="0"/>
    <n v="0"/>
    <n v="42"/>
    <n v="63"/>
    <n v="0"/>
    <n v="430.35"/>
    <n v="186.16"/>
    <m/>
    <n v="532.25884713471521"/>
    <n v="184.7746360391113"/>
    <n v="0"/>
    <n v="144378.09359999985"/>
    <n v="0"/>
    <n v="78609.448682555711"/>
    <x v="2"/>
  </r>
  <r>
    <s v="Refaturamento - Regular"/>
    <x v="2"/>
    <x v="2"/>
    <x v="1"/>
    <x v="0"/>
    <x v="0"/>
    <x v="2"/>
    <x v="0"/>
    <x v="5"/>
    <n v="0"/>
    <n v="0"/>
    <n v="-6.2789999999999999"/>
    <n v="-6.2789999999999999"/>
    <n v="-6.2789999999999999"/>
    <n v="-6.2789999999999999"/>
    <n v="0"/>
    <s v="CATIVO"/>
    <n v="0"/>
    <n v="0"/>
    <n v="42"/>
    <n v="63"/>
    <n v="0"/>
    <n v="430.35"/>
    <n v="186.16"/>
    <m/>
    <n v="532.25884713471521"/>
    <n v="184.7746360391113"/>
    <n v="0"/>
    <n v="-527.81273999999951"/>
    <n v="0"/>
    <n v="-287.37786643713599"/>
    <x v="2"/>
  </r>
  <r>
    <s v="Sistema de Compensação"/>
    <x v="2"/>
    <x v="2"/>
    <x v="1"/>
    <x v="0"/>
    <x v="0"/>
    <x v="2"/>
    <x v="0"/>
    <x v="5"/>
    <n v="0"/>
    <n v="0"/>
    <n v="101.895"/>
    <n v="101.895"/>
    <n v="101.895"/>
    <n v="101.895"/>
    <n v="147"/>
    <s v="CATIVO"/>
    <n v="0"/>
    <n v="0"/>
    <n v="42"/>
    <n v="63"/>
    <n v="0"/>
    <n v="430.35"/>
    <n v="186.16"/>
    <m/>
    <n v="532.25884713471521"/>
    <n v="184.7746360391113"/>
    <n v="0"/>
    <n v="8565.2936999999911"/>
    <n v="0"/>
    <n v="4663.5400064679043"/>
    <x v="2"/>
  </r>
  <r>
    <s v="Regular"/>
    <x v="2"/>
    <x v="2"/>
    <x v="1"/>
    <x v="0"/>
    <x v="0"/>
    <x v="2"/>
    <x v="0"/>
    <x v="6"/>
    <n v="0"/>
    <n v="0"/>
    <n v="1907.8"/>
    <n v="1907.8"/>
    <n v="1907.8"/>
    <n v="1907.8"/>
    <n v="4550"/>
    <s v="CATIVO"/>
    <n v="0"/>
    <n v="0"/>
    <n v="42"/>
    <n v="63"/>
    <n v="0"/>
    <n v="430.35"/>
    <n v="186.16"/>
    <m/>
    <n v="532.25884713471521"/>
    <n v="184.7746360391113"/>
    <n v="0"/>
    <n v="160369.66799999983"/>
    <n v="0"/>
    <n v="87316.371012703938"/>
    <x v="2"/>
  </r>
  <r>
    <s v="Refaturamento - Regular"/>
    <x v="2"/>
    <x v="2"/>
    <x v="1"/>
    <x v="0"/>
    <x v="0"/>
    <x v="2"/>
    <x v="0"/>
    <x v="6"/>
    <n v="0"/>
    <n v="0"/>
    <n v="-8.6609999999999996"/>
    <n v="-8.6609999999999996"/>
    <n v="-8.6609999999999996"/>
    <n v="-8.6609999999999996"/>
    <n v="0"/>
    <s v="CATIVO"/>
    <n v="0"/>
    <n v="0"/>
    <n v="42"/>
    <n v="63"/>
    <n v="0"/>
    <n v="430.35"/>
    <n v="186.16"/>
    <m/>
    <n v="532.25884713471521"/>
    <n v="184.7746360391113"/>
    <n v="0"/>
    <n v="-728.04365999999925"/>
    <n v="0"/>
    <n v="-396.3974679426716"/>
    <x v="2"/>
  </r>
  <r>
    <s v="Sistema de Compensação"/>
    <x v="2"/>
    <x v="2"/>
    <x v="1"/>
    <x v="0"/>
    <x v="0"/>
    <x v="2"/>
    <x v="0"/>
    <x v="6"/>
    <n v="0"/>
    <n v="0"/>
    <n v="67.525999999999996"/>
    <n v="67.525999999999996"/>
    <n v="67.525999999999996"/>
    <n v="67.525999999999996"/>
    <n v="149"/>
    <s v="CATIVO"/>
    <n v="0"/>
    <n v="0"/>
    <n v="42"/>
    <n v="63"/>
    <n v="0"/>
    <n v="430.35"/>
    <n v="186.16"/>
    <m/>
    <n v="532.25884713471521"/>
    <n v="184.7746360391113"/>
    <n v="0"/>
    <n v="5676.2355599999937"/>
    <n v="0"/>
    <n v="3090.5363607316522"/>
    <x v="2"/>
  </r>
  <r>
    <s v="Regular"/>
    <x v="2"/>
    <x v="2"/>
    <x v="1"/>
    <x v="0"/>
    <x v="0"/>
    <x v="2"/>
    <x v="0"/>
    <x v="7"/>
    <n v="0"/>
    <n v="0"/>
    <n v="1891.9839999999999"/>
    <n v="1891.9839999999999"/>
    <n v="1891.9839999999999"/>
    <n v="1891.9839999999999"/>
    <n v="4553"/>
    <s v="CATIVO"/>
    <n v="0"/>
    <n v="0"/>
    <n v="42"/>
    <n v="63"/>
    <n v="0"/>
    <n v="430.35"/>
    <n v="186.16"/>
    <m/>
    <n v="532.25884713471521"/>
    <n v="184.7746360391113"/>
    <n v="0"/>
    <n v="159040.17503999983"/>
    <n v="0"/>
    <n v="86592.502827392629"/>
    <x v="2"/>
  </r>
  <r>
    <s v="Refaturamento - Regular"/>
    <x v="2"/>
    <x v="2"/>
    <x v="1"/>
    <x v="0"/>
    <x v="0"/>
    <x v="2"/>
    <x v="0"/>
    <x v="7"/>
    <n v="0"/>
    <n v="0"/>
    <n v="-3.4660000000000002"/>
    <n v="-3.4660000000000002"/>
    <n v="-3.4660000000000002"/>
    <n v="-3.4660000000000002"/>
    <n v="0"/>
    <s v="CATIVO"/>
    <n v="0"/>
    <n v="0"/>
    <n v="42"/>
    <n v="63"/>
    <n v="0"/>
    <n v="430.35"/>
    <n v="186.16"/>
    <m/>
    <n v="532.25884713471521"/>
    <n v="184.7746360391113"/>
    <n v="0"/>
    <n v="-291.35195999999974"/>
    <n v="0"/>
    <n v="-158.63221612854173"/>
    <x v="2"/>
  </r>
  <r>
    <s v="Sistema de Compensação"/>
    <x v="2"/>
    <x v="2"/>
    <x v="1"/>
    <x v="0"/>
    <x v="0"/>
    <x v="2"/>
    <x v="0"/>
    <x v="7"/>
    <n v="0"/>
    <n v="0"/>
    <n v="89.018000000000001"/>
    <n v="89.018000000000001"/>
    <n v="89.018000000000001"/>
    <n v="89.018000000000001"/>
    <n v="153"/>
    <s v="CATIVO"/>
    <n v="0"/>
    <n v="0"/>
    <n v="42"/>
    <n v="63"/>
    <n v="0"/>
    <n v="430.35"/>
    <n v="186.16"/>
    <m/>
    <n v="532.25884713471521"/>
    <n v="184.7746360391113"/>
    <n v="0"/>
    <n v="7482.8530799999926"/>
    <n v="0"/>
    <n v="4074.184251393689"/>
    <x v="2"/>
  </r>
  <r>
    <s v="Regular"/>
    <x v="2"/>
    <x v="2"/>
    <x v="1"/>
    <x v="0"/>
    <x v="0"/>
    <x v="2"/>
    <x v="0"/>
    <x v="8"/>
    <n v="0"/>
    <n v="0"/>
    <n v="1770.356"/>
    <n v="1770.356"/>
    <n v="1770.356"/>
    <n v="1770.356"/>
    <n v="4545"/>
    <s v="CATIVO"/>
    <n v="0"/>
    <n v="0"/>
    <n v="42"/>
    <n v="63"/>
    <n v="0"/>
    <n v="430.35"/>
    <n v="186.16"/>
    <m/>
    <n v="532.25884713471521"/>
    <n v="184.7746360391113"/>
    <n v="0"/>
    <n v="148816.12535999986"/>
    <n v="0"/>
    <n v="81025.821008788393"/>
    <x v="2"/>
  </r>
  <r>
    <s v="Refaturamento - Regular"/>
    <x v="2"/>
    <x v="2"/>
    <x v="1"/>
    <x v="0"/>
    <x v="0"/>
    <x v="2"/>
    <x v="0"/>
    <x v="8"/>
    <n v="0"/>
    <n v="0"/>
    <n v="-0.95899999999999996"/>
    <n v="-0.95899999999999996"/>
    <n v="-0.95899999999999996"/>
    <n v="-0.95899999999999996"/>
    <n v="0"/>
    <s v="CATIVO"/>
    <n v="0"/>
    <n v="0"/>
    <n v="42"/>
    <n v="63"/>
    <n v="0"/>
    <n v="430.35"/>
    <n v="186.16"/>
    <m/>
    <n v="532.25884713471521"/>
    <n v="184.7746360391113"/>
    <n v="0"/>
    <n v="-80.613539999999915"/>
    <n v="0"/>
    <n v="-43.891602789172389"/>
    <x v="2"/>
  </r>
  <r>
    <s v="Sistema de Compensação"/>
    <x v="2"/>
    <x v="2"/>
    <x v="1"/>
    <x v="0"/>
    <x v="0"/>
    <x v="2"/>
    <x v="0"/>
    <x v="8"/>
    <n v="0"/>
    <n v="0"/>
    <n v="123.34399999999999"/>
    <n v="123.34399999999999"/>
    <n v="123.34399999999999"/>
    <n v="123.34399999999999"/>
    <n v="154"/>
    <s v="CATIVO"/>
    <n v="0"/>
    <n v="0"/>
    <n v="42"/>
    <n v="63"/>
    <n v="0"/>
    <n v="430.35"/>
    <n v="186.16"/>
    <m/>
    <n v="532.25884713471521"/>
    <n v="184.7746360391113"/>
    <n v="0"/>
    <n v="10368.29663999999"/>
    <n v="0"/>
    <n v="5645.2198690591022"/>
    <x v="2"/>
  </r>
  <r>
    <s v="Regular"/>
    <x v="2"/>
    <x v="2"/>
    <x v="1"/>
    <x v="0"/>
    <x v="0"/>
    <x v="2"/>
    <x v="0"/>
    <x v="9"/>
    <n v="0"/>
    <n v="0"/>
    <n v="1604.8910000000001"/>
    <n v="1604.8910000000001"/>
    <n v="1604.8910000000001"/>
    <n v="1604.8910000000001"/>
    <n v="4522"/>
    <s v="CATIVO"/>
    <n v="0"/>
    <n v="0"/>
    <n v="42"/>
    <n v="63"/>
    <n v="0"/>
    <n v="430.35"/>
    <n v="186.16"/>
    <m/>
    <n v="532.25884713471521"/>
    <n v="184.7746360391113"/>
    <n v="0"/>
    <n v="134907.13745999988"/>
    <n v="0"/>
    <n v="73452.803224106014"/>
    <x v="2"/>
  </r>
  <r>
    <s v="Refaturamento - Regular"/>
    <x v="2"/>
    <x v="2"/>
    <x v="1"/>
    <x v="0"/>
    <x v="0"/>
    <x v="2"/>
    <x v="0"/>
    <x v="9"/>
    <n v="0"/>
    <n v="0"/>
    <n v="-0.76500000000000001"/>
    <n v="-0.76500000000000001"/>
    <n v="-0.76500000000000001"/>
    <n v="-0.76500000000000001"/>
    <n v="0"/>
    <s v="CATIVO"/>
    <n v="0"/>
    <n v="0"/>
    <n v="42"/>
    <n v="63"/>
    <n v="0"/>
    <n v="430.35"/>
    <n v="186.16"/>
    <m/>
    <n v="532.25884713471521"/>
    <n v="184.7746360391113"/>
    <n v="0"/>
    <n v="-64.305899999999937"/>
    <n v="0"/>
    <n v="-35.012592423062436"/>
    <x v="2"/>
  </r>
  <r>
    <s v="Sistema de Compensação"/>
    <x v="2"/>
    <x v="2"/>
    <x v="1"/>
    <x v="0"/>
    <x v="0"/>
    <x v="2"/>
    <x v="0"/>
    <x v="9"/>
    <n v="0"/>
    <n v="0"/>
    <n v="96.867999999999995"/>
    <n v="96.867999999999995"/>
    <n v="96.867999999999995"/>
    <n v="96.867999999999995"/>
    <n v="162"/>
    <s v="CATIVO"/>
    <n v="0"/>
    <n v="0"/>
    <n v="42"/>
    <n v="63"/>
    <n v="0"/>
    <n v="430.35"/>
    <n v="186.16"/>
    <m/>
    <n v="532.25884713471521"/>
    <n v="184.7746360391113"/>
    <n v="0"/>
    <n v="8142.7240799999918"/>
    <n v="0"/>
    <n v="4433.4637945584473"/>
    <x v="2"/>
  </r>
  <r>
    <s v="Regular"/>
    <x v="2"/>
    <x v="2"/>
    <x v="1"/>
    <x v="0"/>
    <x v="0"/>
    <x v="2"/>
    <x v="0"/>
    <x v="10"/>
    <n v="0"/>
    <n v="0"/>
    <n v="1492.9159999999999"/>
    <n v="1492.9159999999999"/>
    <n v="1492.9159999999999"/>
    <n v="1492.9159999999999"/>
    <n v="4516"/>
    <s v="CATIVO"/>
    <n v="0"/>
    <n v="0"/>
    <n v="42"/>
    <n v="63"/>
    <n v="0"/>
    <n v="430.35"/>
    <n v="186.16"/>
    <m/>
    <n v="532.25884713471521"/>
    <n v="184.7746360391113"/>
    <n v="0"/>
    <n v="125494.51895999987"/>
    <n v="0"/>
    <n v="68327.920823357752"/>
    <x v="2"/>
  </r>
  <r>
    <s v="Refaturamento - Regular"/>
    <x v="2"/>
    <x v="2"/>
    <x v="1"/>
    <x v="0"/>
    <x v="0"/>
    <x v="2"/>
    <x v="0"/>
    <x v="10"/>
    <n v="0"/>
    <n v="0"/>
    <n v="-6.3559999999999999"/>
    <n v="-6.3559999999999999"/>
    <n v="-6.3559999999999999"/>
    <n v="-6.3559999999999999"/>
    <n v="0"/>
    <s v="CATIVO"/>
    <n v="0"/>
    <n v="0"/>
    <n v="42"/>
    <n v="63"/>
    <n v="0"/>
    <n v="430.35"/>
    <n v="186.16"/>
    <m/>
    <n v="532.25884713471521"/>
    <n v="184.7746360391113"/>
    <n v="0"/>
    <n v="-534.28535999999951"/>
    <n v="0"/>
    <n v="-290.90200972677758"/>
    <x v="2"/>
  </r>
  <r>
    <s v="Sistema de Compensação"/>
    <x v="2"/>
    <x v="2"/>
    <x v="1"/>
    <x v="0"/>
    <x v="0"/>
    <x v="2"/>
    <x v="0"/>
    <x v="10"/>
    <n v="0"/>
    <n v="0"/>
    <n v="165.44300000000001"/>
    <n v="165.44300000000001"/>
    <n v="165.44300000000001"/>
    <n v="165.44300000000001"/>
    <n v="162"/>
    <s v="CATIVO"/>
    <n v="0"/>
    <n v="0"/>
    <n v="42"/>
    <n v="63"/>
    <n v="0"/>
    <n v="430.35"/>
    <n v="186.16"/>
    <m/>
    <n v="532.25884713471521"/>
    <n v="184.7746360391113"/>
    <n v="0"/>
    <n v="13907.138579999988"/>
    <n v="0"/>
    <n v="7572.0108865996335"/>
    <x v="2"/>
  </r>
  <r>
    <s v="Regular"/>
    <x v="2"/>
    <x v="2"/>
    <x v="1"/>
    <x v="0"/>
    <x v="0"/>
    <x v="2"/>
    <x v="0"/>
    <x v="11"/>
    <n v="0"/>
    <n v="0"/>
    <n v="1487.491"/>
    <n v="1487.491"/>
    <n v="1487.491"/>
    <n v="1487.491"/>
    <n v="4523"/>
    <s v="CATIVO"/>
    <n v="0"/>
    <n v="0"/>
    <n v="42"/>
    <n v="63"/>
    <n v="0"/>
    <n v="430.35"/>
    <n v="186.16"/>
    <m/>
    <n v="532.25884713471521"/>
    <n v="184.7746360391113"/>
    <n v="0"/>
    <n v="125038.49345999988"/>
    <n v="0"/>
    <n v="68079.628909769366"/>
    <x v="2"/>
  </r>
  <r>
    <s v="Refaturamento - Regular"/>
    <x v="2"/>
    <x v="2"/>
    <x v="1"/>
    <x v="0"/>
    <x v="0"/>
    <x v="2"/>
    <x v="0"/>
    <x v="11"/>
    <n v="0"/>
    <n v="0"/>
    <n v="-0.40400000000000003"/>
    <n v="-0.40400000000000003"/>
    <n v="-0.40400000000000003"/>
    <n v="-0.40400000000000003"/>
    <n v="0"/>
    <s v="CATIVO"/>
    <n v="0"/>
    <n v="0"/>
    <n v="42"/>
    <n v="63"/>
    <n v="0"/>
    <n v="430.35"/>
    <n v="186.16"/>
    <m/>
    <n v="532.25884713471521"/>
    <n v="184.7746360391113"/>
    <n v="0"/>
    <n v="-33.96023999999997"/>
    <n v="0"/>
    <n v="-18.490310246950621"/>
    <x v="2"/>
  </r>
  <r>
    <s v="Sistema de Compensação"/>
    <x v="2"/>
    <x v="2"/>
    <x v="1"/>
    <x v="0"/>
    <x v="0"/>
    <x v="2"/>
    <x v="0"/>
    <x v="11"/>
    <n v="0"/>
    <n v="0"/>
    <n v="217.73599999999999"/>
    <n v="217.73599999999999"/>
    <n v="217.73599999999999"/>
    <n v="217.73599999999999"/>
    <n v="160"/>
    <s v="CATIVO"/>
    <n v="0"/>
    <n v="0"/>
    <n v="42"/>
    <n v="63"/>
    <n v="0"/>
    <n v="430.35"/>
    <n v="186.16"/>
    <m/>
    <n v="532.25884713471521"/>
    <n v="184.7746360391113"/>
    <n v="0"/>
    <n v="18302.88815999998"/>
    <n v="0"/>
    <n v="9965.3618612129703"/>
    <x v="2"/>
  </r>
  <r>
    <s v="Regular"/>
    <x v="3"/>
    <x v="2"/>
    <x v="3"/>
    <x v="8"/>
    <x v="0"/>
    <x v="2"/>
    <x v="0"/>
    <x v="0"/>
    <n v="0"/>
    <n v="0"/>
    <n v="15.597"/>
    <n v="14.66118"/>
    <n v="15.597"/>
    <n v="14.66118"/>
    <n v="10"/>
    <s v="CATIVO"/>
    <n v="0"/>
    <n v="0"/>
    <n v="35"/>
    <n v="83"/>
    <n v="0"/>
    <n v="489.03"/>
    <n v="211.54"/>
    <m/>
    <n v="566.23281610076094"/>
    <n v="196.56876174373542"/>
    <n v="0"/>
    <n v="655.60741739999969"/>
    <n v="0"/>
    <n v="713.84497257843634"/>
    <x v="5"/>
  </r>
  <r>
    <s v="Regular"/>
    <x v="3"/>
    <x v="2"/>
    <x v="3"/>
    <x v="8"/>
    <x v="0"/>
    <x v="2"/>
    <x v="0"/>
    <x v="1"/>
    <n v="0"/>
    <n v="0"/>
    <n v="21.338999999999999"/>
    <n v="20.05866"/>
    <n v="21.338999999999999"/>
    <n v="20.05866"/>
    <n v="11"/>
    <s v="CATIVO"/>
    <n v="0"/>
    <n v="0"/>
    <n v="35"/>
    <n v="83"/>
    <n v="0"/>
    <n v="489.03"/>
    <n v="211.54"/>
    <m/>
    <n v="566.23281610076094"/>
    <n v="196.56876174373542"/>
    <n v="0"/>
    <n v="896.96779379999919"/>
    <n v="0"/>
    <n v="976.64537217742168"/>
    <x v="5"/>
  </r>
  <r>
    <s v="Regular"/>
    <x v="3"/>
    <x v="2"/>
    <x v="3"/>
    <x v="8"/>
    <x v="0"/>
    <x v="2"/>
    <x v="0"/>
    <x v="2"/>
    <n v="0"/>
    <n v="0"/>
    <n v="21.638000000000002"/>
    <n v="20.33972"/>
    <n v="21.638000000000002"/>
    <n v="20.33972"/>
    <n v="11"/>
    <s v="CATIVO"/>
    <n v="0"/>
    <n v="0"/>
    <n v="35"/>
    <n v="83"/>
    <n v="0"/>
    <n v="489.03"/>
    <n v="211.54"/>
    <m/>
    <n v="566.23281610076094"/>
    <n v="196.56876174373542"/>
    <n v="0"/>
    <n v="909.53601960000128"/>
    <n v="0"/>
    <n v="990.33003248395426"/>
    <x v="5"/>
  </r>
  <r>
    <s v="Regular"/>
    <x v="3"/>
    <x v="2"/>
    <x v="3"/>
    <x v="8"/>
    <x v="0"/>
    <x v="2"/>
    <x v="0"/>
    <x v="3"/>
    <n v="0"/>
    <n v="0"/>
    <n v="20.704000000000001"/>
    <n v="19.461760000000002"/>
    <n v="20.704000000000001"/>
    <n v="19.461760000000002"/>
    <n v="11"/>
    <s v="CATIVO"/>
    <n v="0"/>
    <n v="0"/>
    <n v="35"/>
    <n v="83"/>
    <n v="0"/>
    <n v="489.03"/>
    <n v="211.54"/>
    <m/>
    <n v="566.23281610076094"/>
    <n v="196.56876174373542"/>
    <n v="0"/>
    <n v="870.27607679999915"/>
    <n v="0"/>
    <n v="947.58263206154629"/>
    <x v="5"/>
  </r>
  <r>
    <s v="Regular"/>
    <x v="3"/>
    <x v="2"/>
    <x v="3"/>
    <x v="8"/>
    <x v="0"/>
    <x v="2"/>
    <x v="0"/>
    <x v="4"/>
    <n v="0"/>
    <n v="0"/>
    <n v="22.2"/>
    <n v="20.867999999999999"/>
    <n v="22.2"/>
    <n v="20.867999999999999"/>
    <n v="11"/>
    <s v="CATIVO"/>
    <n v="0"/>
    <n v="0"/>
    <n v="35"/>
    <n v="83"/>
    <n v="0"/>
    <n v="489.03"/>
    <n v="211.54"/>
    <m/>
    <n v="566.23281610076094"/>
    <n v="196.56876174373542"/>
    <n v="0"/>
    <n v="933.15924000000052"/>
    <n v="0"/>
    <n v="1016.0517016888697"/>
    <x v="5"/>
  </r>
  <r>
    <s v="Regular"/>
    <x v="3"/>
    <x v="2"/>
    <x v="3"/>
    <x v="8"/>
    <x v="0"/>
    <x v="2"/>
    <x v="0"/>
    <x v="5"/>
    <n v="0"/>
    <n v="0"/>
    <n v="18.004999999999999"/>
    <n v="16.924700000000001"/>
    <n v="18.004999999999999"/>
    <n v="16.924700000000001"/>
    <n v="11"/>
    <s v="CATIVO"/>
    <n v="0"/>
    <n v="0"/>
    <n v="35"/>
    <n v="83"/>
    <n v="0"/>
    <n v="489.03"/>
    <n v="211.54"/>
    <m/>
    <n v="566.23281610076094"/>
    <n v="196.56876174373542"/>
    <n v="0"/>
    <n v="756.82577099999821"/>
    <n v="0"/>
    <n v="824.05454454540757"/>
    <x v="5"/>
  </r>
  <r>
    <s v="Regular"/>
    <x v="3"/>
    <x v="2"/>
    <x v="3"/>
    <x v="8"/>
    <x v="0"/>
    <x v="2"/>
    <x v="0"/>
    <x v="6"/>
    <n v="0"/>
    <n v="0"/>
    <n v="22.184000000000001"/>
    <n v="20.852959999999999"/>
    <n v="22.184000000000001"/>
    <n v="20.852959999999999"/>
    <n v="11"/>
    <s v="CATIVO"/>
    <n v="0"/>
    <n v="0"/>
    <n v="35"/>
    <n v="83"/>
    <n v="0"/>
    <n v="489.03"/>
    <n v="211.54"/>
    <m/>
    <n v="566.23281610076094"/>
    <n v="196.56876174373542"/>
    <n v="0"/>
    <n v="932.48669280000104"/>
    <n v="0"/>
    <n v="1015.3194121741396"/>
    <x v="5"/>
  </r>
  <r>
    <s v="Regular"/>
    <x v="3"/>
    <x v="2"/>
    <x v="3"/>
    <x v="8"/>
    <x v="0"/>
    <x v="2"/>
    <x v="0"/>
    <x v="7"/>
    <n v="0"/>
    <n v="0"/>
    <n v="21.664000000000001"/>
    <n v="20.364159999999998"/>
    <n v="21.664000000000001"/>
    <n v="20.364159999999998"/>
    <n v="11"/>
    <s v="CATIVO"/>
    <n v="0"/>
    <n v="0"/>
    <n v="35"/>
    <n v="83"/>
    <n v="0"/>
    <n v="489.03"/>
    <n v="211.54"/>
    <m/>
    <n v="566.23281610076094"/>
    <n v="196.56876174373542"/>
    <n v="0"/>
    <n v="910.62890880000214"/>
    <n v="0"/>
    <n v="991.52000294539266"/>
    <x v="5"/>
  </r>
  <r>
    <s v="Regular"/>
    <x v="3"/>
    <x v="2"/>
    <x v="3"/>
    <x v="8"/>
    <x v="0"/>
    <x v="2"/>
    <x v="0"/>
    <x v="8"/>
    <n v="0"/>
    <n v="0"/>
    <n v="22.236999999999998"/>
    <n v="20.90278"/>
    <n v="22.236999999999998"/>
    <n v="20.90278"/>
    <n v="11"/>
    <s v="CATIVO"/>
    <n v="0"/>
    <n v="0"/>
    <n v="35"/>
    <n v="83"/>
    <n v="0"/>
    <n v="489.03"/>
    <n v="211.54"/>
    <m/>
    <n v="566.23281610076094"/>
    <n v="196.56876174373542"/>
    <n v="0"/>
    <n v="934.71450539999876"/>
    <n v="0"/>
    <n v="1017.7451211916828"/>
    <x v="5"/>
  </r>
  <r>
    <s v="Regular"/>
    <x v="3"/>
    <x v="2"/>
    <x v="3"/>
    <x v="8"/>
    <x v="0"/>
    <x v="2"/>
    <x v="0"/>
    <x v="9"/>
    <n v="0"/>
    <n v="0"/>
    <n v="22.102"/>
    <n v="20.775880000000001"/>
    <n v="22.102"/>
    <n v="20.775880000000001"/>
    <n v="11"/>
    <s v="CATIVO"/>
    <n v="0"/>
    <n v="0"/>
    <n v="35"/>
    <n v="83"/>
    <n v="0"/>
    <n v="489.03"/>
    <n v="211.54"/>
    <m/>
    <n v="566.23281610076094"/>
    <n v="196.56876174373542"/>
    <n v="0"/>
    <n v="929.03988839999965"/>
    <n v="0"/>
    <n v="1011.5664284111432"/>
    <x v="5"/>
  </r>
  <r>
    <s v="Regular"/>
    <x v="3"/>
    <x v="2"/>
    <x v="3"/>
    <x v="8"/>
    <x v="0"/>
    <x v="2"/>
    <x v="0"/>
    <x v="10"/>
    <n v="0"/>
    <n v="0"/>
    <n v="21.713000000000001"/>
    <n v="20.410219999999999"/>
    <n v="21.713000000000001"/>
    <n v="20.410219999999999"/>
    <n v="11"/>
    <s v="CATIVO"/>
    <n v="0"/>
    <n v="0"/>
    <n v="35"/>
    <n v="83"/>
    <n v="0"/>
    <n v="489.03"/>
    <n v="211.54"/>
    <m/>
    <n v="566.23281610076094"/>
    <n v="196.56876174373542"/>
    <n v="0"/>
    <n v="912.68858460000138"/>
    <n v="0"/>
    <n v="993.76263958425443"/>
    <x v="5"/>
  </r>
  <r>
    <s v="Regular"/>
    <x v="3"/>
    <x v="2"/>
    <x v="3"/>
    <x v="8"/>
    <x v="0"/>
    <x v="2"/>
    <x v="0"/>
    <x v="11"/>
    <n v="0"/>
    <n v="0"/>
    <n v="22.547000000000001"/>
    <n v="21.194179999999999"/>
    <n v="22.547000000000001"/>
    <n v="21.194179999999999"/>
    <n v="11"/>
    <s v="CATIVO"/>
    <n v="0"/>
    <n v="0"/>
    <n v="35"/>
    <n v="83"/>
    <n v="0"/>
    <n v="489.03"/>
    <n v="211.54"/>
    <m/>
    <n v="566.23281610076094"/>
    <n v="196.56876174373542"/>
    <n v="0"/>
    <n v="947.74510740000085"/>
    <n v="0"/>
    <n v="1031.9332305395926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4">
  <r>
    <s v="Regular"/>
    <x v="0"/>
    <x v="0"/>
    <x v="0"/>
    <x v="0"/>
    <x v="0"/>
    <x v="0"/>
    <x v="0"/>
    <x v="0"/>
    <n v="4694"/>
    <n v="4694"/>
    <n v="1879.4090000000001"/>
    <n v="1879.4090000000001"/>
    <n v="1879.4090000000001"/>
    <n v="1879.4090000000001"/>
    <n v="0"/>
    <x v="0"/>
    <n v="0"/>
    <n v="12"/>
    <n v="19"/>
    <n v="48"/>
    <n v="38.520000000000003"/>
    <n v="68.55"/>
    <n v="211.54"/>
    <n v="44.255213546385811"/>
    <n v="96.693682586652571"/>
    <n v="196.56876174373542"/>
    <n v="180812.88"/>
    <n v="128833.48695000001"/>
    <n v="397570.17986000003"/>
    <n v="207733.972386735"/>
    <n v="181726.97729649814"/>
    <n v="369433.09994003206"/>
  </r>
  <r>
    <s v="Regular"/>
    <x v="0"/>
    <x v="0"/>
    <x v="0"/>
    <x v="0"/>
    <x v="0"/>
    <x v="0"/>
    <x v="0"/>
    <x v="1"/>
    <n v="4729"/>
    <n v="4729"/>
    <n v="1895.8910000000001"/>
    <n v="1895.8910000000001"/>
    <n v="1895.8910000000001"/>
    <n v="1895.8910000000001"/>
    <n v="0"/>
    <x v="0"/>
    <n v="0"/>
    <n v="12"/>
    <n v="19"/>
    <n v="48"/>
    <n v="38.520000000000003"/>
    <n v="68.55"/>
    <n v="211.54"/>
    <n v="44.255213546385811"/>
    <n v="96.693682586652571"/>
    <n v="196.56876174373542"/>
    <n v="182161.08000000002"/>
    <n v="129963.32805"/>
    <n v="401056.78214000002"/>
    <n v="209282.90486085849"/>
    <n v="183320.68257289132"/>
    <n v="372672.94627109228"/>
  </r>
  <r>
    <s v="Regular"/>
    <x v="0"/>
    <x v="0"/>
    <x v="0"/>
    <x v="0"/>
    <x v="0"/>
    <x v="0"/>
    <x v="0"/>
    <x v="2"/>
    <n v="4934"/>
    <n v="4934"/>
    <n v="1901.1320000000001"/>
    <n v="1901.1320000000001"/>
    <n v="1901.1320000000001"/>
    <n v="1901.1320000000001"/>
    <n v="0"/>
    <x v="0"/>
    <n v="0"/>
    <n v="12"/>
    <n v="19"/>
    <n v="48"/>
    <n v="38.520000000000003"/>
    <n v="68.55"/>
    <n v="211.54"/>
    <n v="44.255213546385811"/>
    <n v="96.693682586652571"/>
    <n v="196.56876174373542"/>
    <n v="190057.68000000002"/>
    <n v="130322.5986"/>
    <n v="402165.46328000003"/>
    <n v="218355.2236378676"/>
    <n v="183827.45416332799"/>
    <n v="373703.1631513912"/>
  </r>
  <r>
    <s v="Regular"/>
    <x v="0"/>
    <x v="0"/>
    <x v="0"/>
    <x v="0"/>
    <x v="0"/>
    <x v="0"/>
    <x v="0"/>
    <x v="3"/>
    <n v="4844"/>
    <n v="4844"/>
    <n v="1952.5340000000001"/>
    <n v="1952.5340000000001"/>
    <n v="1952.5340000000001"/>
    <n v="1952.5340000000001"/>
    <n v="0"/>
    <x v="0"/>
    <n v="0"/>
    <n v="12"/>
    <n v="19"/>
    <n v="48"/>
    <n v="38.520000000000003"/>
    <n v="68.55"/>
    <n v="211.54"/>
    <n v="44.255213546385811"/>
    <n v="96.693682586652571"/>
    <n v="196.56876174373542"/>
    <n v="186590.88"/>
    <n v="133846.20569999999"/>
    <n v="413039.04236000002"/>
    <n v="214372.25441869287"/>
    <n v="188797.7028356471"/>
    <n v="383807.19064254273"/>
  </r>
  <r>
    <s v="Regular"/>
    <x v="0"/>
    <x v="0"/>
    <x v="0"/>
    <x v="0"/>
    <x v="0"/>
    <x v="0"/>
    <x v="0"/>
    <x v="4"/>
    <n v="5085"/>
    <n v="5085"/>
    <n v="1953.104"/>
    <n v="1953.104"/>
    <n v="1953.104"/>
    <n v="1953.104"/>
    <n v="0"/>
    <x v="0"/>
    <n v="0"/>
    <n v="12"/>
    <n v="19"/>
    <n v="48"/>
    <n v="38.520000000000003"/>
    <n v="68.55"/>
    <n v="211.54"/>
    <n v="44.255213546385811"/>
    <n v="96.693682586652571"/>
    <n v="196.56876174373542"/>
    <n v="195874.2"/>
    <n v="133885.27919999999"/>
    <n v="413159.62015999999"/>
    <n v="225037.76088337184"/>
    <n v="188852.81823472149"/>
    <n v="383919.23483673664"/>
  </r>
  <r>
    <s v="Regular"/>
    <x v="0"/>
    <x v="0"/>
    <x v="0"/>
    <x v="0"/>
    <x v="0"/>
    <x v="0"/>
    <x v="0"/>
    <x v="5"/>
    <n v="5098"/>
    <n v="5098"/>
    <n v="1934.24"/>
    <n v="1934.24"/>
    <n v="1934.24"/>
    <n v="1934.24"/>
    <n v="0"/>
    <x v="0"/>
    <n v="0"/>
    <n v="12"/>
    <n v="19"/>
    <n v="48"/>
    <n v="38.520000000000003"/>
    <n v="68.55"/>
    <n v="211.54"/>
    <n v="44.255213546385811"/>
    <n v="96.693682586652571"/>
    <n v="196.56876174373542"/>
    <n v="196374.96000000002"/>
    <n v="132592.152"/>
    <n v="409169.12959999999"/>
    <n v="225613.07865947485"/>
    <n v="187028.78860640686"/>
    <n v="380211.16171520279"/>
  </r>
  <r>
    <s v="Regular"/>
    <x v="0"/>
    <x v="0"/>
    <x v="0"/>
    <x v="0"/>
    <x v="0"/>
    <x v="0"/>
    <x v="0"/>
    <x v="6"/>
    <n v="5078"/>
    <n v="5078"/>
    <n v="1989.569"/>
    <n v="1989.569"/>
    <n v="1989.569"/>
    <n v="1989.569"/>
    <n v="0"/>
    <x v="0"/>
    <n v="0"/>
    <n v="12"/>
    <n v="19"/>
    <n v="48"/>
    <n v="38.520000000000003"/>
    <n v="68.55"/>
    <n v="211.54"/>
    <n v="44.255213546385811"/>
    <n v="96.693682586652571"/>
    <n v="196.56876174373542"/>
    <n v="195604.56000000003"/>
    <n v="136384.95494999998"/>
    <n v="420873.42625999998"/>
    <n v="224727.97438854715"/>
    <n v="192378.75337024376"/>
    <n v="391087.11473372194"/>
  </r>
  <r>
    <s v="Regular"/>
    <x v="0"/>
    <x v="0"/>
    <x v="0"/>
    <x v="0"/>
    <x v="0"/>
    <x v="0"/>
    <x v="0"/>
    <x v="7"/>
    <n v="5048"/>
    <n v="5048"/>
    <n v="2034.4"/>
    <n v="2034.4"/>
    <n v="2034.4"/>
    <n v="2034.4"/>
    <n v="0"/>
    <x v="0"/>
    <n v="0"/>
    <n v="12"/>
    <n v="19"/>
    <n v="48"/>
    <n v="38.520000000000003"/>
    <n v="68.55"/>
    <n v="211.54"/>
    <n v="44.255213546385811"/>
    <n v="96.693682586652571"/>
    <n v="196.56876174373542"/>
    <n v="194448.96000000002"/>
    <n v="139458.12"/>
    <n v="430356.97600000002"/>
    <n v="223400.31798215557"/>
    <n v="196713.62785428599"/>
    <n v="399899.48889145534"/>
  </r>
  <r>
    <s v="Regular"/>
    <x v="0"/>
    <x v="0"/>
    <x v="0"/>
    <x v="0"/>
    <x v="0"/>
    <x v="0"/>
    <x v="0"/>
    <x v="8"/>
    <n v="6637"/>
    <n v="6637"/>
    <n v="2236.8580000000002"/>
    <n v="2236.8580000000002"/>
    <n v="2236.8580000000002"/>
    <n v="2236.8580000000002"/>
    <n v="0"/>
    <x v="0"/>
    <n v="0"/>
    <n v="12"/>
    <n v="19"/>
    <n v="48"/>
    <n v="38.520000000000003"/>
    <n v="68.55"/>
    <n v="211.54"/>
    <n v="44.255213546385811"/>
    <n v="96.693682586652571"/>
    <n v="196.56876174373542"/>
    <n v="255657.24000000002"/>
    <n v="153336.6159"/>
    <n v="473184.94132000004"/>
    <n v="293721.8523073626"/>
    <n v="216290.03744341451"/>
    <n v="439696.40725656855"/>
  </r>
  <r>
    <s v="Regular"/>
    <x v="0"/>
    <x v="0"/>
    <x v="0"/>
    <x v="0"/>
    <x v="0"/>
    <x v="0"/>
    <x v="0"/>
    <x v="9"/>
    <n v="6612"/>
    <n v="6612"/>
    <n v="1715.6410000000001"/>
    <n v="1715.6410000000001"/>
    <n v="1715.6410000000001"/>
    <n v="1715.6410000000001"/>
    <n v="0"/>
    <x v="0"/>
    <n v="0"/>
    <n v="12"/>
    <n v="19"/>
    <n v="48"/>
    <n v="38.520000000000003"/>
    <n v="68.55"/>
    <n v="211.54"/>
    <n v="44.255213546385811"/>
    <n v="96.693682586652571"/>
    <n v="196.56876174373542"/>
    <n v="254694.24000000002"/>
    <n v="117607.19055"/>
    <n v="362926.69714"/>
    <n v="292615.47196870297"/>
    <n v="165891.64628664721"/>
    <n v="337241.426966784"/>
  </r>
  <r>
    <s v="Regular"/>
    <x v="0"/>
    <x v="0"/>
    <x v="0"/>
    <x v="0"/>
    <x v="0"/>
    <x v="0"/>
    <x v="0"/>
    <x v="10"/>
    <n v="6610"/>
    <n v="6610"/>
    <n v="1888.7560000000001"/>
    <n v="1888.7560000000001"/>
    <n v="1888.7560000000001"/>
    <n v="1888.7560000000001"/>
    <n v="0"/>
    <x v="0"/>
    <n v="0"/>
    <n v="12"/>
    <n v="19"/>
    <n v="48"/>
    <n v="38.520000000000003"/>
    <n v="68.55"/>
    <n v="211.54"/>
    <n v="44.255213546385811"/>
    <n v="96.693682586652571"/>
    <n v="196.56876174373542"/>
    <n v="254617.2"/>
    <n v="129474.22380000001"/>
    <n v="399547.44423999998"/>
    <n v="292526.96154161019"/>
    <n v="182630.77314763557"/>
    <n v="371270.42815605074"/>
  </r>
  <r>
    <s v="Regular"/>
    <x v="0"/>
    <x v="0"/>
    <x v="0"/>
    <x v="0"/>
    <x v="0"/>
    <x v="0"/>
    <x v="0"/>
    <x v="11"/>
    <n v="6610"/>
    <n v="6610"/>
    <n v="1772.796"/>
    <n v="1772.796"/>
    <n v="1772.796"/>
    <n v="1772.796"/>
    <n v="0"/>
    <x v="0"/>
    <n v="0"/>
    <n v="12"/>
    <n v="19"/>
    <n v="48"/>
    <n v="38.520000000000003"/>
    <n v="68.55"/>
    <n v="211.54"/>
    <n v="44.255213546385811"/>
    <n v="96.693682586652571"/>
    <n v="196.56876174373542"/>
    <n v="254617.2"/>
    <n v="121525.1658"/>
    <n v="375017.26584000001"/>
    <n v="292526.96154161019"/>
    <n v="171418.17371488732"/>
    <n v="348476.31454424717"/>
  </r>
  <r>
    <s v="Regular"/>
    <x v="0"/>
    <x v="0"/>
    <x v="0"/>
    <x v="0"/>
    <x v="0"/>
    <x v="0"/>
    <x v="1"/>
    <x v="0"/>
    <n v="4240"/>
    <n v="4240"/>
    <n v="228.905"/>
    <n v="228.905"/>
    <n v="228.905"/>
    <n v="228.905"/>
    <n v="0"/>
    <x v="0"/>
    <n v="0"/>
    <n v="5"/>
    <n v="19"/>
    <n v="24"/>
    <n v="85.11"/>
    <n v="68.55"/>
    <n v="211.54"/>
    <n v="90.957179261343782"/>
    <n v="96.693682586652571"/>
    <n v="196.56876174373542"/>
    <n v="360866.4"/>
    <n v="15691.437749999999"/>
    <n v="48422.563699999999"/>
    <n v="385658.44006809761"/>
    <n v="22133.667412497707"/>
    <n v="44995.572406949759"/>
  </r>
  <r>
    <s v="Regular"/>
    <x v="0"/>
    <x v="0"/>
    <x v="0"/>
    <x v="0"/>
    <x v="0"/>
    <x v="0"/>
    <x v="1"/>
    <x v="1"/>
    <n v="4287"/>
    <n v="4287"/>
    <n v="240.565"/>
    <n v="240.565"/>
    <n v="240.565"/>
    <n v="240.565"/>
    <n v="0"/>
    <x v="0"/>
    <n v="0"/>
    <n v="5"/>
    <n v="19"/>
    <n v="24"/>
    <n v="85.11"/>
    <n v="68.55"/>
    <n v="211.54"/>
    <n v="90.957179261343782"/>
    <n v="96.693682586652571"/>
    <n v="196.56876174373542"/>
    <n v="364866.57"/>
    <n v="16490.730749999999"/>
    <n v="50889.1201"/>
    <n v="389933.42749338079"/>
    <n v="23261.115751458077"/>
    <n v="47287.564168881712"/>
  </r>
  <r>
    <s v="Regular"/>
    <x v="0"/>
    <x v="0"/>
    <x v="0"/>
    <x v="0"/>
    <x v="0"/>
    <x v="0"/>
    <x v="1"/>
    <x v="2"/>
    <n v="4615"/>
    <n v="4615"/>
    <n v="235.898"/>
    <n v="235.898"/>
    <n v="235.898"/>
    <n v="235.898"/>
    <n v="0"/>
    <x v="0"/>
    <n v="0"/>
    <n v="5"/>
    <n v="19"/>
    <n v="24"/>
    <n v="85.11"/>
    <n v="68.55"/>
    <n v="211.54"/>
    <n v="90.957179261343782"/>
    <n v="96.693682586652571"/>
    <n v="196.56876174373542"/>
    <n v="392782.65"/>
    <n v="16170.8079"/>
    <n v="49901.86292"/>
    <n v="419767.38229110156"/>
    <n v="22809.846334826168"/>
    <n v="46370.177757823694"/>
  </r>
  <r>
    <s v="Regular"/>
    <x v="0"/>
    <x v="0"/>
    <x v="0"/>
    <x v="0"/>
    <x v="0"/>
    <x v="0"/>
    <x v="1"/>
    <x v="3"/>
    <n v="4361"/>
    <n v="4361"/>
    <n v="228.53299999999999"/>
    <n v="228.53299999999999"/>
    <n v="228.53299999999999"/>
    <n v="228.53299999999999"/>
    <n v="0"/>
    <x v="0"/>
    <n v="0"/>
    <n v="5"/>
    <n v="19"/>
    <n v="24"/>
    <n v="85.11"/>
    <n v="68.55"/>
    <n v="211.54"/>
    <n v="90.957179261343782"/>
    <n v="96.693682586652571"/>
    <n v="196.56876174373542"/>
    <n v="371164.71"/>
    <n v="15665.937149999998"/>
    <n v="48343.870819999996"/>
    <n v="396664.25875872024"/>
    <n v="22097.697362575469"/>
    <n v="44922.448827581087"/>
  </r>
  <r>
    <s v="Regular"/>
    <x v="0"/>
    <x v="0"/>
    <x v="0"/>
    <x v="0"/>
    <x v="0"/>
    <x v="0"/>
    <x v="1"/>
    <x v="4"/>
    <n v="4416"/>
    <n v="4416"/>
    <n v="223.90700000000001"/>
    <n v="223.90700000000001"/>
    <n v="223.90700000000001"/>
    <n v="223.90700000000001"/>
    <n v="0"/>
    <x v="0"/>
    <n v="0"/>
    <n v="5"/>
    <n v="19"/>
    <n v="24"/>
    <n v="85.11"/>
    <n v="68.55"/>
    <n v="211.54"/>
    <n v="90.957179261343782"/>
    <n v="96.693682586652571"/>
    <n v="196.56876174373542"/>
    <n v="375845.76"/>
    <n v="15348.824850000001"/>
    <n v="47365.286780000002"/>
    <n v="401666.90361809416"/>
    <n v="21650.39238692962"/>
    <n v="44013.121735754568"/>
  </r>
  <r>
    <s v="Regular"/>
    <x v="0"/>
    <x v="0"/>
    <x v="0"/>
    <x v="0"/>
    <x v="0"/>
    <x v="0"/>
    <x v="1"/>
    <x v="5"/>
    <n v="4282"/>
    <n v="4282"/>
    <n v="240.1"/>
    <n v="240.1"/>
    <n v="240.1"/>
    <n v="240.1"/>
    <n v="0"/>
    <x v="0"/>
    <n v="0"/>
    <n v="5"/>
    <n v="19"/>
    <n v="24"/>
    <n v="85.11"/>
    <n v="68.55"/>
    <n v="211.54"/>
    <n v="90.957179261343782"/>
    <n v="96.693682586652571"/>
    <n v="196.56876174373542"/>
    <n v="364441.02"/>
    <n v="16458.855"/>
    <n v="50790.753999999994"/>
    <n v="389478.64159707405"/>
    <n v="23216.153189055283"/>
    <n v="47196.159694670874"/>
  </r>
  <r>
    <s v="Regular"/>
    <x v="0"/>
    <x v="0"/>
    <x v="0"/>
    <x v="0"/>
    <x v="0"/>
    <x v="0"/>
    <x v="1"/>
    <x v="6"/>
    <n v="4384"/>
    <n v="4384"/>
    <n v="231.27500000000001"/>
    <n v="231.27500000000001"/>
    <n v="231.27500000000001"/>
    <n v="231.27500000000001"/>
    <n v="0"/>
    <x v="0"/>
    <n v="0"/>
    <n v="5"/>
    <n v="19"/>
    <n v="24"/>
    <n v="85.11"/>
    <n v="68.55"/>
    <n v="211.54"/>
    <n v="90.957179261343782"/>
    <n v="96.693682586652571"/>
    <n v="196.56876174373542"/>
    <n v="373122.24"/>
    <n v="15853.901249999999"/>
    <n v="48923.913500000002"/>
    <n v="398756.27388173115"/>
    <n v="22362.831440228074"/>
    <n v="45461.440372282414"/>
  </r>
  <r>
    <s v="Regular"/>
    <x v="0"/>
    <x v="0"/>
    <x v="0"/>
    <x v="0"/>
    <x v="0"/>
    <x v="0"/>
    <x v="1"/>
    <x v="7"/>
    <n v="4420"/>
    <n v="4420"/>
    <n v="243.70099999999999"/>
    <n v="243.70099999999999"/>
    <n v="243.70099999999999"/>
    <n v="243.70099999999999"/>
    <n v="0"/>
    <x v="0"/>
    <n v="0"/>
    <n v="5"/>
    <n v="19"/>
    <n v="24"/>
    <n v="85.11"/>
    <n v="68.55"/>
    <n v="211.54"/>
    <n v="90.957179261343782"/>
    <n v="96.693682586652571"/>
    <n v="196.56876174373542"/>
    <n v="376186.2"/>
    <n v="16705.703549999998"/>
    <n v="51552.509539999999"/>
    <n v="402030.73233513953"/>
    <n v="23564.347140049817"/>
    <n v="47904.003805710068"/>
  </r>
  <r>
    <s v="Regular"/>
    <x v="0"/>
    <x v="0"/>
    <x v="0"/>
    <x v="0"/>
    <x v="0"/>
    <x v="0"/>
    <x v="1"/>
    <x v="8"/>
    <n v="6340"/>
    <n v="6340"/>
    <n v="279.63400000000001"/>
    <n v="279.63400000000001"/>
    <n v="279.63400000000001"/>
    <n v="279.63400000000001"/>
    <n v="0"/>
    <x v="0"/>
    <n v="0"/>
    <n v="5"/>
    <n v="19"/>
    <n v="24"/>
    <n v="85.11"/>
    <n v="68.55"/>
    <n v="211.54"/>
    <n v="90.957179261343782"/>
    <n v="96.693682586652571"/>
    <n v="196.56876174373542"/>
    <n v="539597.4"/>
    <n v="19168.9107"/>
    <n v="59153.776360000003"/>
    <n v="576668.5165169196"/>
    <n v="27038.841236436005"/>
    <n v="54967.309121447717"/>
  </r>
  <r>
    <s v="Regular"/>
    <x v="0"/>
    <x v="0"/>
    <x v="0"/>
    <x v="0"/>
    <x v="0"/>
    <x v="0"/>
    <x v="1"/>
    <x v="9"/>
    <n v="6340"/>
    <n v="6340"/>
    <n v="202.45400000000001"/>
    <n v="202.45400000000001"/>
    <n v="202.45400000000001"/>
    <n v="202.45400000000001"/>
    <n v="0"/>
    <x v="0"/>
    <n v="0"/>
    <n v="5"/>
    <n v="19"/>
    <n v="24"/>
    <n v="85.11"/>
    <n v="68.55"/>
    <n v="211.54"/>
    <n v="90.957179261343782"/>
    <n v="96.693682586652571"/>
    <n v="196.56876174373542"/>
    <n v="539597.4"/>
    <n v="13878.2217"/>
    <n v="42827.119160000002"/>
    <n v="576668.5165169196"/>
    <n v="19576.022814398159"/>
    <n v="39796.13209006621"/>
  </r>
  <r>
    <s v="Regular"/>
    <x v="0"/>
    <x v="0"/>
    <x v="0"/>
    <x v="0"/>
    <x v="0"/>
    <x v="0"/>
    <x v="1"/>
    <x v="10"/>
    <n v="6340"/>
    <n v="6340"/>
    <n v="245.61699999999999"/>
    <n v="245.61699999999999"/>
    <n v="245.61699999999999"/>
    <n v="245.61699999999999"/>
    <n v="0"/>
    <x v="0"/>
    <n v="0"/>
    <n v="5"/>
    <n v="19"/>
    <n v="24"/>
    <n v="85.11"/>
    <n v="68.55"/>
    <n v="211.54"/>
    <n v="90.957179261343782"/>
    <n v="96.693682586652571"/>
    <n v="196.56876174373542"/>
    <n v="539597.4"/>
    <n v="16837.04535"/>
    <n v="51957.820179999995"/>
    <n v="576668.5165169196"/>
    <n v="23749.612235885845"/>
    <n v="48280.62955321106"/>
  </r>
  <r>
    <s v="Regular"/>
    <x v="0"/>
    <x v="0"/>
    <x v="0"/>
    <x v="0"/>
    <x v="0"/>
    <x v="0"/>
    <x v="1"/>
    <x v="11"/>
    <n v="6340"/>
    <n v="6340"/>
    <n v="224.995"/>
    <n v="224.995"/>
    <n v="224.995"/>
    <n v="224.995"/>
    <n v="0"/>
    <x v="0"/>
    <n v="0"/>
    <n v="5"/>
    <n v="19"/>
    <n v="24"/>
    <n v="85.11"/>
    <n v="68.55"/>
    <n v="211.54"/>
    <n v="90.957179261343782"/>
    <n v="96.693682586652571"/>
    <n v="196.56876174373542"/>
    <n v="539597.4"/>
    <n v="15423.40725"/>
    <n v="47595.442300000002"/>
    <n v="576668.5165169196"/>
    <n v="21755.595113583895"/>
    <n v="44226.98854853175"/>
  </r>
  <r>
    <s v="Regular"/>
    <x v="0"/>
    <x v="1"/>
    <x v="1"/>
    <x v="0"/>
    <x v="0"/>
    <x v="1"/>
    <x v="2"/>
    <x v="0"/>
    <n v="720"/>
    <n v="360"/>
    <n v="0"/>
    <n v="0"/>
    <n v="0"/>
    <n v="0"/>
    <n v="0"/>
    <x v="1"/>
    <n v="15"/>
    <n v="25"/>
    <n v="0"/>
    <n v="0"/>
    <n v="9.1"/>
    <n v="0"/>
    <n v="0"/>
    <n v="12.091758575263867"/>
    <m/>
    <m/>
    <n v="3276"/>
    <n v="0"/>
    <n v="0"/>
    <n v="4353.033087094992"/>
    <n v="0"/>
    <n v="0"/>
  </r>
  <r>
    <s v="Regular"/>
    <x v="0"/>
    <x v="1"/>
    <x v="1"/>
    <x v="0"/>
    <x v="0"/>
    <x v="2"/>
    <x v="2"/>
    <x v="0"/>
    <n v="1000"/>
    <n v="500"/>
    <n v="0"/>
    <n v="0"/>
    <n v="0"/>
    <n v="0"/>
    <n v="0"/>
    <x v="1"/>
    <n v="28240"/>
    <n v="25"/>
    <n v="0"/>
    <n v="0"/>
    <n v="9.1"/>
    <n v="0"/>
    <n v="0"/>
    <n v="12.091758575263867"/>
    <m/>
    <m/>
    <n v="4550"/>
    <n v="0"/>
    <n v="0"/>
    <n v="6045.8792876319339"/>
    <n v="0"/>
    <n v="0"/>
  </r>
  <r>
    <s v="Regular"/>
    <x v="0"/>
    <x v="1"/>
    <x v="1"/>
    <x v="0"/>
    <x v="0"/>
    <x v="1"/>
    <x v="2"/>
    <x v="1"/>
    <n v="720"/>
    <n v="360"/>
    <n v="0"/>
    <n v="0"/>
    <n v="0"/>
    <n v="0"/>
    <n v="0"/>
    <x v="1"/>
    <n v="15"/>
    <n v="25"/>
    <n v="0"/>
    <n v="0"/>
    <n v="9.1"/>
    <n v="0"/>
    <n v="0"/>
    <n v="12.091758575263867"/>
    <m/>
    <m/>
    <n v="3276"/>
    <n v="0"/>
    <n v="0"/>
    <n v="4353.033087094992"/>
    <n v="0"/>
    <n v="0"/>
  </r>
  <r>
    <s v="Regular"/>
    <x v="0"/>
    <x v="1"/>
    <x v="1"/>
    <x v="0"/>
    <x v="0"/>
    <x v="2"/>
    <x v="2"/>
    <x v="1"/>
    <n v="1000"/>
    <n v="500"/>
    <n v="0"/>
    <n v="0"/>
    <n v="0"/>
    <n v="0"/>
    <n v="0"/>
    <x v="1"/>
    <n v="28240"/>
    <n v="25"/>
    <n v="0"/>
    <n v="0"/>
    <n v="9.1"/>
    <n v="0"/>
    <n v="0"/>
    <n v="12.091758575263867"/>
    <m/>
    <m/>
    <n v="4550"/>
    <n v="0"/>
    <n v="0"/>
    <n v="6045.8792876319339"/>
    <n v="0"/>
    <n v="0"/>
  </r>
  <r>
    <s v="Regular"/>
    <x v="0"/>
    <x v="1"/>
    <x v="1"/>
    <x v="0"/>
    <x v="0"/>
    <x v="1"/>
    <x v="2"/>
    <x v="2"/>
    <n v="720"/>
    <n v="360"/>
    <n v="0"/>
    <n v="0"/>
    <n v="0"/>
    <n v="0"/>
    <n v="0"/>
    <x v="1"/>
    <n v="15"/>
    <n v="25"/>
    <n v="0"/>
    <n v="0"/>
    <n v="9.1"/>
    <n v="0"/>
    <n v="0"/>
    <n v="12.091758575263867"/>
    <m/>
    <m/>
    <n v="3276"/>
    <n v="0"/>
    <n v="0"/>
    <n v="4353.033087094992"/>
    <n v="0"/>
    <n v="0"/>
  </r>
  <r>
    <s v="Regular"/>
    <x v="0"/>
    <x v="1"/>
    <x v="1"/>
    <x v="0"/>
    <x v="0"/>
    <x v="2"/>
    <x v="2"/>
    <x v="2"/>
    <n v="1000"/>
    <n v="500"/>
    <n v="0"/>
    <n v="0"/>
    <n v="0"/>
    <n v="0"/>
    <n v="0"/>
    <x v="1"/>
    <n v="28240"/>
    <n v="25"/>
    <n v="0"/>
    <n v="0"/>
    <n v="9.1"/>
    <n v="0"/>
    <n v="0"/>
    <n v="12.091758575263867"/>
    <m/>
    <m/>
    <n v="4550"/>
    <n v="0"/>
    <n v="0"/>
    <n v="6045.8792876319339"/>
    <n v="0"/>
    <n v="0"/>
  </r>
  <r>
    <s v="Regular"/>
    <x v="0"/>
    <x v="1"/>
    <x v="1"/>
    <x v="0"/>
    <x v="0"/>
    <x v="1"/>
    <x v="2"/>
    <x v="3"/>
    <n v="720"/>
    <n v="360"/>
    <n v="0"/>
    <n v="0"/>
    <n v="0"/>
    <n v="0"/>
    <n v="0"/>
    <x v="1"/>
    <n v="15"/>
    <n v="25"/>
    <n v="0"/>
    <n v="0"/>
    <n v="9.1"/>
    <n v="0"/>
    <n v="0"/>
    <n v="12.091758575263867"/>
    <m/>
    <m/>
    <n v="3276"/>
    <n v="0"/>
    <n v="0"/>
    <n v="4353.033087094992"/>
    <n v="0"/>
    <n v="0"/>
  </r>
  <r>
    <s v="Regular"/>
    <x v="0"/>
    <x v="1"/>
    <x v="1"/>
    <x v="0"/>
    <x v="0"/>
    <x v="2"/>
    <x v="2"/>
    <x v="3"/>
    <n v="1000"/>
    <n v="500"/>
    <n v="0"/>
    <n v="0"/>
    <n v="0"/>
    <n v="0"/>
    <n v="0"/>
    <x v="1"/>
    <n v="28240"/>
    <n v="25"/>
    <n v="0"/>
    <n v="0"/>
    <n v="9.1"/>
    <n v="0"/>
    <n v="0"/>
    <n v="12.091758575263867"/>
    <m/>
    <m/>
    <n v="4550"/>
    <n v="0"/>
    <n v="0"/>
    <n v="6045.8792876319339"/>
    <n v="0"/>
    <n v="0"/>
  </r>
  <r>
    <s v="Regular"/>
    <x v="0"/>
    <x v="1"/>
    <x v="1"/>
    <x v="0"/>
    <x v="0"/>
    <x v="1"/>
    <x v="2"/>
    <x v="4"/>
    <n v="720"/>
    <n v="360"/>
    <n v="0"/>
    <n v="0"/>
    <n v="0"/>
    <n v="0"/>
    <n v="0"/>
    <x v="1"/>
    <n v="15"/>
    <n v="25"/>
    <n v="0"/>
    <n v="0"/>
    <n v="9.1"/>
    <n v="0"/>
    <n v="0"/>
    <n v="12.091758575263867"/>
    <m/>
    <m/>
    <n v="3276"/>
    <n v="0"/>
    <n v="0"/>
    <n v="4353.033087094992"/>
    <n v="0"/>
    <n v="0"/>
  </r>
  <r>
    <s v="Regular"/>
    <x v="0"/>
    <x v="1"/>
    <x v="1"/>
    <x v="0"/>
    <x v="0"/>
    <x v="2"/>
    <x v="2"/>
    <x v="4"/>
    <n v="1000"/>
    <n v="500"/>
    <n v="0"/>
    <n v="0"/>
    <n v="0"/>
    <n v="0"/>
    <n v="0"/>
    <x v="1"/>
    <n v="28240"/>
    <n v="25"/>
    <n v="0"/>
    <n v="0"/>
    <n v="9.1"/>
    <n v="0"/>
    <n v="0"/>
    <n v="12.091758575263867"/>
    <m/>
    <m/>
    <n v="4550"/>
    <n v="0"/>
    <n v="0"/>
    <n v="6045.8792876319339"/>
    <n v="0"/>
    <n v="0"/>
  </r>
  <r>
    <s v="Regular"/>
    <x v="0"/>
    <x v="1"/>
    <x v="1"/>
    <x v="0"/>
    <x v="0"/>
    <x v="1"/>
    <x v="2"/>
    <x v="5"/>
    <n v="720"/>
    <n v="360"/>
    <n v="0"/>
    <n v="0"/>
    <n v="0"/>
    <n v="0"/>
    <n v="0"/>
    <x v="1"/>
    <n v="15"/>
    <n v="25"/>
    <n v="0"/>
    <n v="0"/>
    <n v="9.1"/>
    <n v="0"/>
    <n v="0"/>
    <n v="12.091758575263867"/>
    <m/>
    <m/>
    <n v="3276"/>
    <n v="0"/>
    <n v="0"/>
    <n v="4353.033087094992"/>
    <n v="0"/>
    <n v="0"/>
  </r>
  <r>
    <s v="Regular"/>
    <x v="0"/>
    <x v="1"/>
    <x v="1"/>
    <x v="0"/>
    <x v="0"/>
    <x v="2"/>
    <x v="2"/>
    <x v="5"/>
    <n v="1000"/>
    <n v="500"/>
    <n v="0"/>
    <n v="0"/>
    <n v="0"/>
    <n v="0"/>
    <n v="0"/>
    <x v="1"/>
    <n v="28240"/>
    <n v="25"/>
    <n v="0"/>
    <n v="0"/>
    <n v="9.1"/>
    <n v="0"/>
    <n v="0"/>
    <n v="12.091758575263867"/>
    <m/>
    <m/>
    <n v="4550"/>
    <n v="0"/>
    <n v="0"/>
    <n v="6045.8792876319339"/>
    <n v="0"/>
    <n v="0"/>
  </r>
  <r>
    <s v="Regular"/>
    <x v="0"/>
    <x v="1"/>
    <x v="1"/>
    <x v="0"/>
    <x v="0"/>
    <x v="1"/>
    <x v="2"/>
    <x v="6"/>
    <n v="720"/>
    <n v="360"/>
    <n v="0"/>
    <n v="0"/>
    <n v="0"/>
    <n v="0"/>
    <n v="0"/>
    <x v="1"/>
    <n v="15"/>
    <n v="25"/>
    <n v="0"/>
    <n v="0"/>
    <n v="9.1"/>
    <n v="0"/>
    <n v="0"/>
    <n v="12.091758575263867"/>
    <m/>
    <m/>
    <n v="3276"/>
    <n v="0"/>
    <n v="0"/>
    <n v="4353.033087094992"/>
    <n v="0"/>
    <n v="0"/>
  </r>
  <r>
    <s v="Regular"/>
    <x v="0"/>
    <x v="1"/>
    <x v="1"/>
    <x v="0"/>
    <x v="0"/>
    <x v="2"/>
    <x v="2"/>
    <x v="6"/>
    <n v="1000"/>
    <n v="500"/>
    <n v="0"/>
    <n v="0"/>
    <n v="0"/>
    <n v="0"/>
    <n v="0"/>
    <x v="1"/>
    <n v="28240"/>
    <n v="25"/>
    <n v="0"/>
    <n v="0"/>
    <n v="9.1"/>
    <n v="0"/>
    <n v="0"/>
    <n v="12.091758575263867"/>
    <m/>
    <m/>
    <n v="4550"/>
    <n v="0"/>
    <n v="0"/>
    <n v="6045.8792876319339"/>
    <n v="0"/>
    <n v="0"/>
  </r>
  <r>
    <s v="Regular"/>
    <x v="0"/>
    <x v="1"/>
    <x v="1"/>
    <x v="0"/>
    <x v="0"/>
    <x v="1"/>
    <x v="2"/>
    <x v="7"/>
    <n v="720"/>
    <n v="360"/>
    <n v="0"/>
    <n v="0"/>
    <n v="0"/>
    <n v="0"/>
    <n v="0"/>
    <x v="1"/>
    <n v="15"/>
    <n v="25"/>
    <n v="0"/>
    <n v="0"/>
    <n v="9.1"/>
    <n v="0"/>
    <n v="0"/>
    <n v="12.091758575263867"/>
    <m/>
    <m/>
    <n v="3276"/>
    <n v="0"/>
    <n v="0"/>
    <n v="4353.033087094992"/>
    <n v="0"/>
    <n v="0"/>
  </r>
  <r>
    <s v="Regular"/>
    <x v="0"/>
    <x v="1"/>
    <x v="1"/>
    <x v="0"/>
    <x v="0"/>
    <x v="2"/>
    <x v="2"/>
    <x v="7"/>
    <n v="1000"/>
    <n v="500"/>
    <n v="0"/>
    <n v="0"/>
    <n v="0"/>
    <n v="0"/>
    <n v="0"/>
    <x v="1"/>
    <n v="28240"/>
    <n v="25"/>
    <n v="0"/>
    <n v="0"/>
    <n v="9.1"/>
    <n v="0"/>
    <n v="0"/>
    <n v="12.091758575263867"/>
    <m/>
    <m/>
    <n v="4550"/>
    <n v="0"/>
    <n v="0"/>
    <n v="6045.8792876319339"/>
    <n v="0"/>
    <n v="0"/>
  </r>
  <r>
    <s v="Regular"/>
    <x v="0"/>
    <x v="1"/>
    <x v="1"/>
    <x v="0"/>
    <x v="0"/>
    <x v="1"/>
    <x v="2"/>
    <x v="8"/>
    <n v="720"/>
    <n v="360"/>
    <n v="0"/>
    <n v="0"/>
    <n v="0"/>
    <n v="0"/>
    <n v="0"/>
    <x v="1"/>
    <n v="15"/>
    <n v="25"/>
    <n v="0"/>
    <n v="0"/>
    <n v="9.1"/>
    <n v="0"/>
    <n v="0"/>
    <n v="12.091758575263867"/>
    <m/>
    <m/>
    <n v="3276"/>
    <n v="0"/>
    <n v="0"/>
    <n v="4353.033087094992"/>
    <n v="0"/>
    <n v="0"/>
  </r>
  <r>
    <s v="Regular"/>
    <x v="0"/>
    <x v="1"/>
    <x v="1"/>
    <x v="0"/>
    <x v="0"/>
    <x v="2"/>
    <x v="2"/>
    <x v="8"/>
    <n v="1000"/>
    <n v="500"/>
    <n v="0"/>
    <n v="0"/>
    <n v="0"/>
    <n v="0"/>
    <n v="0"/>
    <x v="1"/>
    <n v="28240"/>
    <n v="25"/>
    <n v="0"/>
    <n v="0"/>
    <n v="9.1"/>
    <n v="0"/>
    <n v="0"/>
    <n v="12.091758575263867"/>
    <m/>
    <m/>
    <n v="4550"/>
    <n v="0"/>
    <n v="0"/>
    <n v="6045.8792876319339"/>
    <n v="0"/>
    <n v="0"/>
  </r>
  <r>
    <s v="Regular"/>
    <x v="0"/>
    <x v="1"/>
    <x v="1"/>
    <x v="0"/>
    <x v="0"/>
    <x v="1"/>
    <x v="2"/>
    <x v="9"/>
    <n v="720"/>
    <n v="360"/>
    <n v="0"/>
    <n v="0"/>
    <n v="0"/>
    <n v="0"/>
    <n v="0"/>
    <x v="1"/>
    <n v="15"/>
    <n v="25"/>
    <n v="0"/>
    <n v="0"/>
    <n v="9.1"/>
    <n v="0"/>
    <n v="0"/>
    <n v="12.091758575263867"/>
    <m/>
    <m/>
    <n v="3276"/>
    <n v="0"/>
    <n v="0"/>
    <n v="4353.033087094992"/>
    <n v="0"/>
    <n v="0"/>
  </r>
  <r>
    <s v="Regular"/>
    <x v="0"/>
    <x v="1"/>
    <x v="1"/>
    <x v="0"/>
    <x v="0"/>
    <x v="2"/>
    <x v="2"/>
    <x v="9"/>
    <n v="1000"/>
    <n v="500"/>
    <n v="0"/>
    <n v="0"/>
    <n v="0"/>
    <n v="0"/>
    <n v="0"/>
    <x v="1"/>
    <n v="28240"/>
    <n v="25"/>
    <n v="0"/>
    <n v="0"/>
    <n v="9.1"/>
    <n v="0"/>
    <n v="0"/>
    <n v="12.091758575263867"/>
    <m/>
    <m/>
    <n v="4550"/>
    <n v="0"/>
    <n v="0"/>
    <n v="6045.8792876319339"/>
    <n v="0"/>
    <n v="0"/>
  </r>
  <r>
    <s v="Regular"/>
    <x v="0"/>
    <x v="1"/>
    <x v="1"/>
    <x v="0"/>
    <x v="0"/>
    <x v="1"/>
    <x v="2"/>
    <x v="10"/>
    <n v="720"/>
    <n v="360"/>
    <n v="0"/>
    <n v="0"/>
    <n v="0"/>
    <n v="0"/>
    <n v="0"/>
    <x v="1"/>
    <n v="15"/>
    <n v="25"/>
    <n v="0"/>
    <n v="0"/>
    <n v="9.1"/>
    <n v="0"/>
    <n v="0"/>
    <n v="12.091758575263867"/>
    <m/>
    <m/>
    <n v="3276"/>
    <n v="0"/>
    <n v="0"/>
    <n v="4353.033087094992"/>
    <n v="0"/>
    <n v="0"/>
  </r>
  <r>
    <s v="Regular"/>
    <x v="0"/>
    <x v="1"/>
    <x v="1"/>
    <x v="0"/>
    <x v="0"/>
    <x v="2"/>
    <x v="2"/>
    <x v="10"/>
    <n v="1000"/>
    <n v="500"/>
    <n v="0"/>
    <n v="0"/>
    <n v="0"/>
    <n v="0"/>
    <n v="0"/>
    <x v="1"/>
    <n v="28240"/>
    <n v="25"/>
    <n v="0"/>
    <n v="0"/>
    <n v="9.1"/>
    <n v="0"/>
    <n v="0"/>
    <n v="12.091758575263867"/>
    <m/>
    <m/>
    <n v="4550"/>
    <n v="0"/>
    <n v="0"/>
    <n v="6045.8792876319339"/>
    <n v="0"/>
    <n v="0"/>
  </r>
  <r>
    <s v="Regular"/>
    <x v="0"/>
    <x v="1"/>
    <x v="1"/>
    <x v="0"/>
    <x v="0"/>
    <x v="1"/>
    <x v="2"/>
    <x v="11"/>
    <n v="720"/>
    <n v="360"/>
    <n v="0"/>
    <n v="0"/>
    <n v="0"/>
    <n v="0"/>
    <n v="0"/>
    <x v="1"/>
    <n v="15"/>
    <n v="25"/>
    <n v="0"/>
    <n v="0"/>
    <n v="9.1"/>
    <n v="0"/>
    <n v="0"/>
    <n v="12.091758575263867"/>
    <m/>
    <m/>
    <n v="3276"/>
    <n v="0"/>
    <n v="0"/>
    <n v="4353.033087094992"/>
    <n v="0"/>
    <n v="0"/>
  </r>
  <r>
    <s v="Regular"/>
    <x v="0"/>
    <x v="1"/>
    <x v="1"/>
    <x v="0"/>
    <x v="0"/>
    <x v="2"/>
    <x v="2"/>
    <x v="11"/>
    <n v="1000"/>
    <n v="500"/>
    <n v="0"/>
    <n v="0"/>
    <n v="0"/>
    <n v="0"/>
    <n v="0"/>
    <x v="1"/>
    <n v="28240"/>
    <n v="25"/>
    <n v="0"/>
    <n v="0"/>
    <n v="9.1"/>
    <n v="0"/>
    <n v="0"/>
    <n v="12.091758575263867"/>
    <m/>
    <m/>
    <n v="4550"/>
    <n v="0"/>
    <n v="0"/>
    <n v="6045.8792876319339"/>
    <n v="0"/>
    <n v="0"/>
  </r>
  <r>
    <s v="Regular"/>
    <x v="0"/>
    <x v="2"/>
    <x v="2"/>
    <x v="0"/>
    <x v="0"/>
    <x v="0"/>
    <x v="0"/>
    <x v="0"/>
    <n v="0"/>
    <n v="0"/>
    <n v="94.724999999999994"/>
    <n v="94.724999999999994"/>
    <n v="94.724999999999994"/>
    <n v="94.724999999999994"/>
    <n v="0"/>
    <x v="0"/>
    <n v="0"/>
    <n v="0"/>
    <n v="3"/>
    <n v="48"/>
    <n v="0"/>
    <n v="68.55"/>
    <n v="211.54"/>
    <m/>
    <n v="96.693682586652571"/>
    <n v="196.56876174373542"/>
    <n v="0"/>
    <n v="6493.3987499999994"/>
    <n v="20038.126499999998"/>
    <n v="0"/>
    <n v="9159.3090830206638"/>
    <n v="18619.975956175338"/>
  </r>
  <r>
    <s v="Sistema de Compensação"/>
    <x v="0"/>
    <x v="2"/>
    <x v="2"/>
    <x v="0"/>
    <x v="0"/>
    <x v="0"/>
    <x v="0"/>
    <x v="0"/>
    <n v="0"/>
    <n v="0"/>
    <n v="5.383"/>
    <n v="5.383"/>
    <n v="5.383"/>
    <n v="5.383"/>
    <n v="0"/>
    <x v="0"/>
    <n v="0"/>
    <n v="0"/>
    <n v="3"/>
    <n v="48"/>
    <n v="0"/>
    <n v="68.55"/>
    <n v="211.54"/>
    <m/>
    <n v="96.693682586652571"/>
    <n v="196.56876174373542"/>
    <n v="0"/>
    <n v="369.00464999999997"/>
    <n v="1138.71982"/>
    <n v="0"/>
    <n v="520.50209336395073"/>
    <n v="1058.1296444665277"/>
  </r>
  <r>
    <s v="Regular"/>
    <x v="0"/>
    <x v="2"/>
    <x v="2"/>
    <x v="0"/>
    <x v="0"/>
    <x v="0"/>
    <x v="0"/>
    <x v="1"/>
    <n v="0"/>
    <n v="0"/>
    <n v="86.697999999999993"/>
    <n v="86.697999999999993"/>
    <n v="86.697999999999993"/>
    <n v="86.697999999999993"/>
    <n v="0"/>
    <x v="0"/>
    <n v="0"/>
    <n v="0"/>
    <n v="3"/>
    <n v="48"/>
    <n v="0"/>
    <n v="68.55"/>
    <n v="211.54"/>
    <m/>
    <n v="96.693682586652571"/>
    <n v="196.56876174373542"/>
    <n v="0"/>
    <n v="5943.147899999999"/>
    <n v="18340.09492"/>
    <n v="0"/>
    <n v="8383.1488928976032"/>
    <n v="17042.118505658371"/>
  </r>
  <r>
    <s v="Regular"/>
    <x v="0"/>
    <x v="2"/>
    <x v="2"/>
    <x v="0"/>
    <x v="0"/>
    <x v="0"/>
    <x v="0"/>
    <x v="2"/>
    <n v="0"/>
    <n v="0"/>
    <n v="94.786000000000001"/>
    <n v="94.786000000000001"/>
    <n v="94.786000000000001"/>
    <n v="94.786000000000001"/>
    <n v="0"/>
    <x v="0"/>
    <n v="0"/>
    <n v="0"/>
    <n v="3"/>
    <n v="48"/>
    <n v="0"/>
    <n v="68.55"/>
    <n v="211.54"/>
    <m/>
    <n v="96.693682586652571"/>
    <n v="196.56876174373542"/>
    <n v="0"/>
    <n v="6497.5802999999996"/>
    <n v="20051.030439999999"/>
    <n v="0"/>
    <n v="9165.2073976584506"/>
    <n v="18631.966650641705"/>
  </r>
  <r>
    <s v="Sistema de Compensação"/>
    <x v="0"/>
    <x v="2"/>
    <x v="2"/>
    <x v="0"/>
    <x v="0"/>
    <x v="0"/>
    <x v="0"/>
    <x v="2"/>
    <n v="0"/>
    <n v="0"/>
    <n v="4.5970000000000004"/>
    <n v="4.5970000000000004"/>
    <n v="4.5970000000000004"/>
    <n v="4.5970000000000004"/>
    <n v="0"/>
    <x v="0"/>
    <n v="0"/>
    <n v="0"/>
    <n v="3"/>
    <n v="48"/>
    <n v="0"/>
    <n v="68.55"/>
    <n v="211.54"/>
    <m/>
    <n v="96.693682586652571"/>
    <n v="196.56876174373542"/>
    <n v="0"/>
    <n v="315.12434999999999"/>
    <n v="972.44938000000002"/>
    <n v="0"/>
    <n v="444.50085885084189"/>
    <n v="903.6265977359518"/>
  </r>
  <r>
    <s v="Regular"/>
    <x v="0"/>
    <x v="2"/>
    <x v="2"/>
    <x v="0"/>
    <x v="0"/>
    <x v="0"/>
    <x v="0"/>
    <x v="3"/>
    <n v="0"/>
    <n v="0"/>
    <n v="129.74700000000001"/>
    <n v="129.74700000000001"/>
    <n v="129.74700000000001"/>
    <n v="129.74700000000001"/>
    <n v="0"/>
    <x v="0"/>
    <n v="0"/>
    <n v="0"/>
    <n v="3"/>
    <n v="48"/>
    <n v="0"/>
    <n v="68.55"/>
    <n v="211.54"/>
    <m/>
    <n v="96.693682586652571"/>
    <n v="196.56876174373542"/>
    <n v="0"/>
    <n v="8894.1568500000012"/>
    <n v="27446.680380000002"/>
    <n v="0"/>
    <n v="12545.715234570413"/>
    <n v="25504.207129964441"/>
  </r>
  <r>
    <s v="Sistema de Compensação"/>
    <x v="0"/>
    <x v="2"/>
    <x v="2"/>
    <x v="0"/>
    <x v="0"/>
    <x v="0"/>
    <x v="0"/>
    <x v="3"/>
    <n v="0"/>
    <n v="0"/>
    <n v="10.166"/>
    <n v="10.166"/>
    <n v="10.166"/>
    <n v="10.166"/>
    <n v="0"/>
    <x v="0"/>
    <n v="0"/>
    <n v="0"/>
    <n v="3"/>
    <n v="48"/>
    <n v="0"/>
    <n v="68.55"/>
    <n v="211.54"/>
    <m/>
    <n v="96.693682586652571"/>
    <n v="196.56876174373542"/>
    <n v="0"/>
    <n v="696.87929999999994"/>
    <n v="2150.5156400000001"/>
    <n v="0"/>
    <n v="982.98797717591003"/>
    <n v="1998.3180318868144"/>
  </r>
  <r>
    <s v="Regular"/>
    <x v="0"/>
    <x v="2"/>
    <x v="2"/>
    <x v="0"/>
    <x v="0"/>
    <x v="0"/>
    <x v="0"/>
    <x v="4"/>
    <n v="0"/>
    <n v="0"/>
    <n v="178.274"/>
    <n v="178.274"/>
    <n v="178.274"/>
    <n v="178.274"/>
    <n v="0"/>
    <x v="0"/>
    <n v="0"/>
    <n v="0"/>
    <n v="3"/>
    <n v="48"/>
    <n v="0"/>
    <n v="68.55"/>
    <n v="211.54"/>
    <m/>
    <n v="96.693682586652571"/>
    <n v="196.56876174373542"/>
    <n v="0"/>
    <n v="12220.682699999999"/>
    <n v="37712.081959999996"/>
    <n v="0"/>
    <n v="17237.9695694529"/>
    <n v="35043.099431102688"/>
  </r>
  <r>
    <s v="Sistema de Compensação"/>
    <x v="0"/>
    <x v="2"/>
    <x v="2"/>
    <x v="0"/>
    <x v="0"/>
    <x v="0"/>
    <x v="0"/>
    <x v="4"/>
    <n v="0"/>
    <n v="0"/>
    <n v="19.777999999999999"/>
    <n v="19.777999999999999"/>
    <n v="19.777999999999999"/>
    <n v="19.777999999999999"/>
    <n v="0"/>
    <x v="0"/>
    <n v="0"/>
    <n v="0"/>
    <n v="3"/>
    <n v="48"/>
    <n v="0"/>
    <n v="68.55"/>
    <n v="211.54"/>
    <m/>
    <n v="96.693682586652571"/>
    <n v="196.56876174373542"/>
    <n v="0"/>
    <n v="1355.7819"/>
    <n v="4183.8381199999994"/>
    <n v="0"/>
    <n v="1912.4076541988145"/>
    <n v="3887.736969767599"/>
  </r>
  <r>
    <s v="Regular"/>
    <x v="0"/>
    <x v="2"/>
    <x v="2"/>
    <x v="0"/>
    <x v="0"/>
    <x v="0"/>
    <x v="0"/>
    <x v="5"/>
    <n v="0"/>
    <n v="0"/>
    <n v="142.62100000000001"/>
    <n v="142.62100000000001"/>
    <n v="142.62100000000001"/>
    <n v="142.62100000000001"/>
    <n v="0"/>
    <x v="0"/>
    <n v="0"/>
    <n v="0"/>
    <n v="3"/>
    <n v="48"/>
    <n v="0"/>
    <n v="68.55"/>
    <n v="211.54"/>
    <m/>
    <n v="96.693682586652571"/>
    <n v="196.56876174373542"/>
    <n v="0"/>
    <n v="9776.6695500000005"/>
    <n v="30170.046340000001"/>
    <n v="0"/>
    <n v="13790.549704190977"/>
    <n v="28034.83336865329"/>
  </r>
  <r>
    <s v="Regular"/>
    <x v="0"/>
    <x v="2"/>
    <x v="2"/>
    <x v="0"/>
    <x v="0"/>
    <x v="0"/>
    <x v="0"/>
    <x v="6"/>
    <n v="0"/>
    <n v="0"/>
    <n v="153.30799999999999"/>
    <n v="153.30799999999999"/>
    <n v="153.30799999999999"/>
    <n v="153.30799999999999"/>
    <n v="0"/>
    <x v="0"/>
    <n v="0"/>
    <n v="0"/>
    <n v="3"/>
    <n v="48"/>
    <n v="0"/>
    <n v="68.55"/>
    <n v="211.54"/>
    <m/>
    <n v="96.693682586652571"/>
    <n v="196.56876174373542"/>
    <n v="0"/>
    <n v="10509.2634"/>
    <n v="32430.774319999997"/>
    <n v="0"/>
    <n v="14823.915089994533"/>
    <n v="30135.563725408589"/>
  </r>
  <r>
    <s v="Regular"/>
    <x v="0"/>
    <x v="2"/>
    <x v="2"/>
    <x v="0"/>
    <x v="0"/>
    <x v="0"/>
    <x v="0"/>
    <x v="7"/>
    <n v="0"/>
    <n v="0"/>
    <n v="141.02199999999999"/>
    <n v="141.02199999999999"/>
    <n v="141.02199999999999"/>
    <n v="141.02199999999999"/>
    <n v="0"/>
    <x v="0"/>
    <n v="0"/>
    <n v="0"/>
    <n v="3"/>
    <n v="48"/>
    <n v="0"/>
    <n v="68.55"/>
    <n v="211.54"/>
    <m/>
    <n v="96.693682586652571"/>
    <n v="196.56876174373542"/>
    <n v="0"/>
    <n v="9667.0580999999984"/>
    <n v="29831.793879999997"/>
    <n v="0"/>
    <n v="13635.936505734919"/>
    <n v="27720.519918625054"/>
  </r>
  <r>
    <s v="Sistema de Compensação"/>
    <x v="0"/>
    <x v="2"/>
    <x v="2"/>
    <x v="0"/>
    <x v="0"/>
    <x v="0"/>
    <x v="0"/>
    <x v="7"/>
    <n v="0"/>
    <n v="0"/>
    <n v="9.3350000000000009"/>
    <n v="9.3350000000000009"/>
    <n v="9.3350000000000009"/>
    <n v="9.3350000000000009"/>
    <n v="0"/>
    <x v="0"/>
    <n v="0"/>
    <n v="0"/>
    <n v="3"/>
    <n v="48"/>
    <n v="0"/>
    <n v="68.55"/>
    <n v="211.54"/>
    <m/>
    <n v="96.693682586652571"/>
    <n v="196.56876174373542"/>
    <n v="0"/>
    <n v="639.91425000000004"/>
    <n v="1974.7259000000001"/>
    <n v="0"/>
    <n v="902.6355269464018"/>
    <n v="1834.9693908777704"/>
  </r>
  <r>
    <s v="Regular"/>
    <x v="0"/>
    <x v="2"/>
    <x v="2"/>
    <x v="0"/>
    <x v="0"/>
    <x v="0"/>
    <x v="0"/>
    <x v="8"/>
    <n v="0"/>
    <n v="0"/>
    <n v="176.18600000000001"/>
    <n v="176.18600000000001"/>
    <n v="176.18600000000001"/>
    <n v="176.18600000000001"/>
    <n v="0"/>
    <x v="0"/>
    <n v="0"/>
    <n v="0"/>
    <n v="3"/>
    <n v="48"/>
    <n v="0"/>
    <n v="68.55"/>
    <n v="211.54"/>
    <m/>
    <n v="96.693682586652571"/>
    <n v="196.56876174373542"/>
    <n v="0"/>
    <n v="12077.550300000001"/>
    <n v="37270.386440000002"/>
    <n v="0"/>
    <n v="17036.07316021197"/>
    <n v="34632.66385658177"/>
  </r>
  <r>
    <s v="Sistema de Compensação"/>
    <x v="0"/>
    <x v="2"/>
    <x v="2"/>
    <x v="0"/>
    <x v="0"/>
    <x v="0"/>
    <x v="0"/>
    <x v="8"/>
    <n v="0"/>
    <n v="0"/>
    <n v="17.908999999999999"/>
    <n v="17.908999999999999"/>
    <n v="17.908999999999999"/>
    <n v="17.908999999999999"/>
    <n v="0"/>
    <x v="0"/>
    <n v="0"/>
    <n v="0"/>
    <n v="3"/>
    <n v="48"/>
    <n v="0"/>
    <n v="68.55"/>
    <n v="211.54"/>
    <m/>
    <n v="96.693682586652571"/>
    <n v="196.56876174373542"/>
    <n v="0"/>
    <n v="1227.6619499999999"/>
    <n v="3788.4698599999997"/>
    <n v="0"/>
    <n v="1731.6871614443608"/>
    <n v="3520.3499540685575"/>
  </r>
  <r>
    <s v="Regular"/>
    <x v="0"/>
    <x v="2"/>
    <x v="2"/>
    <x v="0"/>
    <x v="0"/>
    <x v="0"/>
    <x v="0"/>
    <x v="9"/>
    <n v="0"/>
    <n v="0"/>
    <n v="212.08099999999999"/>
    <n v="212.08099999999999"/>
    <n v="212.08099999999999"/>
    <n v="212.08099999999999"/>
    <n v="0"/>
    <x v="0"/>
    <n v="0"/>
    <n v="0"/>
    <n v="3"/>
    <n v="48"/>
    <n v="0"/>
    <n v="68.55"/>
    <n v="211.54"/>
    <m/>
    <n v="96.693682586652571"/>
    <n v="196.56876174373542"/>
    <n v="0"/>
    <n v="14538.152549999999"/>
    <n v="44863.614739999997"/>
    <n v="0"/>
    <n v="20506.892896659861"/>
    <n v="41688.499559373151"/>
  </r>
  <r>
    <s v="Sistema de Compensação"/>
    <x v="0"/>
    <x v="2"/>
    <x v="2"/>
    <x v="0"/>
    <x v="0"/>
    <x v="0"/>
    <x v="0"/>
    <x v="9"/>
    <n v="0"/>
    <n v="0"/>
    <n v="19.885999999999999"/>
    <n v="19.885999999999999"/>
    <n v="19.885999999999999"/>
    <n v="19.885999999999999"/>
    <n v="0"/>
    <x v="0"/>
    <n v="0"/>
    <n v="0"/>
    <n v="3"/>
    <n v="48"/>
    <n v="0"/>
    <n v="68.55"/>
    <n v="211.54"/>
    <m/>
    <n v="96.693682586652571"/>
    <n v="196.56876174373542"/>
    <n v="0"/>
    <n v="1363.1852999999999"/>
    <n v="4206.68444"/>
    <n v="0"/>
    <n v="1922.850571918173"/>
    <n v="3908.9663960359226"/>
  </r>
  <r>
    <s v="Regular"/>
    <x v="0"/>
    <x v="2"/>
    <x v="2"/>
    <x v="0"/>
    <x v="0"/>
    <x v="0"/>
    <x v="0"/>
    <x v="10"/>
    <n v="0"/>
    <n v="0"/>
    <n v="150.52799999999999"/>
    <n v="150.52799999999999"/>
    <n v="150.52799999999999"/>
    <n v="150.52799999999999"/>
    <n v="0"/>
    <x v="0"/>
    <n v="0"/>
    <n v="0"/>
    <n v="3"/>
    <n v="48"/>
    <n v="0"/>
    <n v="68.55"/>
    <n v="211.54"/>
    <m/>
    <n v="96.693682586652571"/>
    <n v="196.56876174373542"/>
    <n v="0"/>
    <n v="10318.694399999998"/>
    <n v="31842.693119999996"/>
    <n v="0"/>
    <n v="14555.106652403638"/>
    <n v="29589.102567761005"/>
  </r>
  <r>
    <s v="Sistema de Compensação"/>
    <x v="0"/>
    <x v="2"/>
    <x v="2"/>
    <x v="0"/>
    <x v="0"/>
    <x v="0"/>
    <x v="0"/>
    <x v="10"/>
    <n v="0"/>
    <n v="0"/>
    <n v="20.957000000000001"/>
    <n v="20.957000000000001"/>
    <n v="20.957000000000001"/>
    <n v="20.957000000000001"/>
    <n v="0"/>
    <x v="0"/>
    <n v="0"/>
    <n v="0"/>
    <n v="3"/>
    <n v="48"/>
    <n v="0"/>
    <n v="68.55"/>
    <n v="211.54"/>
    <m/>
    <n v="96.693682586652571"/>
    <n v="196.56876174373542"/>
    <n v="0"/>
    <n v="1436.6023499999999"/>
    <n v="4433.2437799999998"/>
    <n v="0"/>
    <n v="2026.409505968478"/>
    <n v="4119.491539863463"/>
  </r>
  <r>
    <s v="Regular"/>
    <x v="0"/>
    <x v="2"/>
    <x v="2"/>
    <x v="0"/>
    <x v="0"/>
    <x v="0"/>
    <x v="0"/>
    <x v="11"/>
    <n v="0"/>
    <n v="0"/>
    <n v="113.307"/>
    <n v="113.307"/>
    <n v="113.307"/>
    <n v="113.307"/>
    <n v="0"/>
    <x v="0"/>
    <n v="0"/>
    <n v="0"/>
    <n v="3"/>
    <n v="48"/>
    <n v="0"/>
    <n v="68.55"/>
    <n v="211.54"/>
    <m/>
    <n v="96.693682586652571"/>
    <n v="196.56876174373542"/>
    <n v="0"/>
    <n v="7767.1948499999999"/>
    <n v="23968.962779999998"/>
    <n v="0"/>
    <n v="10956.071092845843"/>
    <n v="22272.616686897429"/>
  </r>
  <r>
    <s v="Sistema de Compensação"/>
    <x v="0"/>
    <x v="2"/>
    <x v="2"/>
    <x v="0"/>
    <x v="0"/>
    <x v="0"/>
    <x v="0"/>
    <x v="11"/>
    <n v="0"/>
    <n v="0"/>
    <n v="2.9060000000000001"/>
    <n v="2.9060000000000001"/>
    <n v="2.9060000000000001"/>
    <n v="2.9060000000000001"/>
    <n v="0"/>
    <x v="0"/>
    <n v="0"/>
    <n v="0"/>
    <n v="3"/>
    <n v="48"/>
    <n v="0"/>
    <n v="68.55"/>
    <n v="211.54"/>
    <m/>
    <n v="96.693682586652571"/>
    <n v="196.56876174373542"/>
    <n v="0"/>
    <n v="199.2063"/>
    <n v="614.73523999999998"/>
    <n v="0"/>
    <n v="280.99184159681238"/>
    <n v="571.22882162729513"/>
  </r>
  <r>
    <s v="Regular"/>
    <x v="0"/>
    <x v="2"/>
    <x v="2"/>
    <x v="0"/>
    <x v="0"/>
    <x v="0"/>
    <x v="2"/>
    <x v="0"/>
    <n v="808"/>
    <n v="808"/>
    <n v="0"/>
    <n v="0"/>
    <n v="0"/>
    <n v="0"/>
    <n v="8"/>
    <x v="0"/>
    <n v="0"/>
    <n v="31"/>
    <n v="0"/>
    <n v="0"/>
    <n v="38.520000000000003"/>
    <n v="0"/>
    <n v="0"/>
    <n v="44.255213546385811"/>
    <m/>
    <m/>
    <n v="31124.160000000003"/>
    <n v="0"/>
    <n v="0"/>
    <n v="35758.212545479735"/>
    <n v="0"/>
    <n v="0"/>
  </r>
  <r>
    <s v="Sistema de Compensação"/>
    <x v="0"/>
    <x v="2"/>
    <x v="2"/>
    <x v="0"/>
    <x v="0"/>
    <x v="0"/>
    <x v="2"/>
    <x v="0"/>
    <n v="140"/>
    <n v="140"/>
    <n v="0"/>
    <n v="0"/>
    <n v="0"/>
    <n v="0"/>
    <n v="1"/>
    <x v="0"/>
    <n v="0"/>
    <n v="31"/>
    <n v="0"/>
    <n v="0"/>
    <n v="38.520000000000003"/>
    <n v="0"/>
    <n v="0"/>
    <n v="44.255213546385811"/>
    <m/>
    <m/>
    <n v="5392.8"/>
    <n v="0"/>
    <n v="0"/>
    <n v="6195.7298964940137"/>
    <n v="0"/>
    <n v="0"/>
  </r>
  <r>
    <s v="Regular"/>
    <x v="0"/>
    <x v="2"/>
    <x v="2"/>
    <x v="0"/>
    <x v="0"/>
    <x v="0"/>
    <x v="2"/>
    <x v="1"/>
    <n v="752"/>
    <n v="752"/>
    <n v="0"/>
    <n v="0"/>
    <n v="0"/>
    <n v="0"/>
    <n v="8"/>
    <x v="0"/>
    <n v="0"/>
    <n v="31"/>
    <n v="0"/>
    <n v="0"/>
    <n v="38.520000000000003"/>
    <n v="0"/>
    <n v="0"/>
    <n v="44.255213546385811"/>
    <m/>
    <m/>
    <n v="28967.040000000001"/>
    <n v="0"/>
    <n v="0"/>
    <n v="33279.92058688213"/>
    <n v="0"/>
    <n v="0"/>
  </r>
  <r>
    <s v="Regular"/>
    <x v="0"/>
    <x v="2"/>
    <x v="2"/>
    <x v="0"/>
    <x v="0"/>
    <x v="0"/>
    <x v="2"/>
    <x v="2"/>
    <n v="811"/>
    <n v="811"/>
    <n v="0"/>
    <n v="0"/>
    <n v="0"/>
    <n v="0"/>
    <n v="8"/>
    <x v="0"/>
    <n v="0"/>
    <n v="31"/>
    <n v="0"/>
    <n v="0"/>
    <n v="38.520000000000003"/>
    <n v="0"/>
    <n v="0"/>
    <n v="44.255213546385811"/>
    <m/>
    <m/>
    <n v="31239.72"/>
    <n v="0"/>
    <n v="0"/>
    <n v="35890.978186118889"/>
    <n v="0"/>
    <n v="0"/>
  </r>
  <r>
    <s v="Sistema de Compensação"/>
    <x v="0"/>
    <x v="2"/>
    <x v="2"/>
    <x v="0"/>
    <x v="0"/>
    <x v="0"/>
    <x v="2"/>
    <x v="2"/>
    <n v="140"/>
    <n v="140"/>
    <n v="0"/>
    <n v="0"/>
    <n v="0"/>
    <n v="0"/>
    <n v="1"/>
    <x v="0"/>
    <n v="0"/>
    <n v="31"/>
    <n v="0"/>
    <n v="0"/>
    <n v="38.520000000000003"/>
    <n v="0"/>
    <n v="0"/>
    <n v="44.255213546385811"/>
    <m/>
    <m/>
    <n v="5392.8"/>
    <n v="0"/>
    <n v="0"/>
    <n v="6195.7298964940137"/>
    <n v="0"/>
    <n v="0"/>
  </r>
  <r>
    <s v="Regular"/>
    <x v="0"/>
    <x v="2"/>
    <x v="2"/>
    <x v="0"/>
    <x v="0"/>
    <x v="0"/>
    <x v="2"/>
    <x v="3"/>
    <n v="923"/>
    <n v="923"/>
    <n v="0"/>
    <n v="0"/>
    <n v="0"/>
    <n v="0"/>
    <n v="8"/>
    <x v="0"/>
    <n v="0"/>
    <n v="31"/>
    <n v="0"/>
    <n v="0"/>
    <n v="38.520000000000003"/>
    <n v="0"/>
    <n v="0"/>
    <n v="44.255213546385811"/>
    <m/>
    <m/>
    <n v="35553.960000000006"/>
    <n v="0"/>
    <n v="0"/>
    <n v="40847.562103314107"/>
    <n v="0"/>
    <n v="0"/>
  </r>
  <r>
    <s v="Sistema de Compensação"/>
    <x v="0"/>
    <x v="2"/>
    <x v="2"/>
    <x v="0"/>
    <x v="0"/>
    <x v="0"/>
    <x v="2"/>
    <x v="3"/>
    <n v="140"/>
    <n v="140"/>
    <n v="0"/>
    <n v="0"/>
    <n v="0"/>
    <n v="0"/>
    <n v="1"/>
    <x v="0"/>
    <n v="0"/>
    <n v="31"/>
    <n v="0"/>
    <n v="0"/>
    <n v="38.520000000000003"/>
    <n v="0"/>
    <n v="0"/>
    <n v="44.255213546385811"/>
    <m/>
    <m/>
    <n v="5392.8"/>
    <n v="0"/>
    <n v="0"/>
    <n v="6195.7298964940137"/>
    <n v="0"/>
    <n v="0"/>
  </r>
  <r>
    <s v="Regular"/>
    <x v="0"/>
    <x v="2"/>
    <x v="2"/>
    <x v="0"/>
    <x v="0"/>
    <x v="0"/>
    <x v="2"/>
    <x v="4"/>
    <n v="1051"/>
    <n v="1051"/>
    <n v="0"/>
    <n v="0"/>
    <n v="0"/>
    <n v="0"/>
    <n v="8"/>
    <x v="0"/>
    <n v="0"/>
    <n v="31"/>
    <n v="0"/>
    <n v="0"/>
    <n v="38.520000000000003"/>
    <n v="0"/>
    <n v="0"/>
    <n v="44.255213546385811"/>
    <m/>
    <m/>
    <n v="40484.520000000004"/>
    <n v="0"/>
    <n v="0"/>
    <n v="46512.229437251488"/>
    <n v="0"/>
    <n v="0"/>
  </r>
  <r>
    <s v="Sistema de Compensação"/>
    <x v="0"/>
    <x v="2"/>
    <x v="2"/>
    <x v="0"/>
    <x v="0"/>
    <x v="0"/>
    <x v="2"/>
    <x v="4"/>
    <n v="140"/>
    <n v="140"/>
    <n v="0"/>
    <n v="0"/>
    <n v="0"/>
    <n v="0"/>
    <n v="1"/>
    <x v="0"/>
    <n v="0"/>
    <n v="31"/>
    <n v="0"/>
    <n v="0"/>
    <n v="38.520000000000003"/>
    <n v="0"/>
    <n v="0"/>
    <n v="44.255213546385811"/>
    <m/>
    <m/>
    <n v="5392.8"/>
    <n v="0"/>
    <n v="0"/>
    <n v="6195.7298964940137"/>
    <n v="0"/>
    <n v="0"/>
  </r>
  <r>
    <s v="Regular"/>
    <x v="0"/>
    <x v="2"/>
    <x v="2"/>
    <x v="0"/>
    <x v="0"/>
    <x v="0"/>
    <x v="2"/>
    <x v="5"/>
    <n v="895"/>
    <n v="895"/>
    <n v="0"/>
    <n v="0"/>
    <n v="0"/>
    <n v="0"/>
    <n v="8"/>
    <x v="0"/>
    <n v="0"/>
    <n v="31"/>
    <n v="0"/>
    <n v="0"/>
    <n v="38.520000000000003"/>
    <n v="0"/>
    <n v="0"/>
    <n v="44.255213546385811"/>
    <m/>
    <m/>
    <n v="34475.4"/>
    <n v="0"/>
    <n v="0"/>
    <n v="39608.416124015297"/>
    <n v="0"/>
    <n v="0"/>
  </r>
  <r>
    <s v="Sistema de Compensação"/>
    <x v="0"/>
    <x v="2"/>
    <x v="2"/>
    <x v="0"/>
    <x v="0"/>
    <x v="0"/>
    <x v="2"/>
    <x v="5"/>
    <n v="140"/>
    <n v="140"/>
    <n v="0"/>
    <n v="0"/>
    <n v="0"/>
    <n v="0"/>
    <n v="1"/>
    <x v="0"/>
    <n v="0"/>
    <n v="31"/>
    <n v="0"/>
    <n v="0"/>
    <n v="38.520000000000003"/>
    <n v="0"/>
    <n v="0"/>
    <n v="44.255213546385811"/>
    <m/>
    <m/>
    <n v="5392.8"/>
    <n v="0"/>
    <n v="0"/>
    <n v="6195.7298964940137"/>
    <n v="0"/>
    <n v="0"/>
  </r>
  <r>
    <s v="Regular"/>
    <x v="0"/>
    <x v="2"/>
    <x v="2"/>
    <x v="0"/>
    <x v="0"/>
    <x v="0"/>
    <x v="2"/>
    <x v="6"/>
    <n v="963"/>
    <n v="963"/>
    <n v="0"/>
    <n v="0"/>
    <n v="0"/>
    <n v="0"/>
    <n v="8"/>
    <x v="0"/>
    <n v="0"/>
    <n v="31"/>
    <n v="0"/>
    <n v="0"/>
    <n v="38.520000000000003"/>
    <n v="0"/>
    <n v="0"/>
    <n v="44.255213546385811"/>
    <m/>
    <m/>
    <n v="37094.76"/>
    <n v="0"/>
    <n v="0"/>
    <n v="42617.770645169534"/>
    <n v="0"/>
    <n v="0"/>
  </r>
  <r>
    <s v="Sistema de Compensação"/>
    <x v="0"/>
    <x v="2"/>
    <x v="2"/>
    <x v="0"/>
    <x v="0"/>
    <x v="0"/>
    <x v="2"/>
    <x v="6"/>
    <n v="140"/>
    <n v="140"/>
    <n v="0"/>
    <n v="0"/>
    <n v="0"/>
    <n v="0"/>
    <n v="1"/>
    <x v="0"/>
    <n v="0"/>
    <n v="31"/>
    <n v="0"/>
    <n v="0"/>
    <n v="38.520000000000003"/>
    <n v="0"/>
    <n v="0"/>
    <n v="44.255213546385811"/>
    <m/>
    <m/>
    <n v="5392.8"/>
    <n v="0"/>
    <n v="0"/>
    <n v="6195.7298964940137"/>
    <n v="0"/>
    <n v="0"/>
  </r>
  <r>
    <s v="Regular"/>
    <x v="0"/>
    <x v="2"/>
    <x v="2"/>
    <x v="0"/>
    <x v="0"/>
    <x v="0"/>
    <x v="2"/>
    <x v="7"/>
    <n v="992"/>
    <n v="992"/>
    <n v="0"/>
    <n v="0"/>
    <n v="0"/>
    <n v="0"/>
    <n v="8"/>
    <x v="0"/>
    <n v="0"/>
    <n v="31"/>
    <n v="0"/>
    <n v="0"/>
    <n v="38.520000000000003"/>
    <n v="0"/>
    <n v="0"/>
    <n v="44.255213546385811"/>
    <m/>
    <m/>
    <n v="38211.840000000004"/>
    <n v="0"/>
    <n v="0"/>
    <n v="43901.171838014721"/>
    <n v="0"/>
    <n v="0"/>
  </r>
  <r>
    <s v="Sistema de Compensação"/>
    <x v="0"/>
    <x v="2"/>
    <x v="2"/>
    <x v="0"/>
    <x v="0"/>
    <x v="0"/>
    <x v="2"/>
    <x v="7"/>
    <n v="140"/>
    <n v="140"/>
    <n v="0"/>
    <n v="0"/>
    <n v="0"/>
    <n v="0"/>
    <n v="1"/>
    <x v="0"/>
    <n v="0"/>
    <n v="31"/>
    <n v="0"/>
    <n v="0"/>
    <n v="38.520000000000003"/>
    <n v="0"/>
    <n v="0"/>
    <n v="44.255213546385811"/>
    <m/>
    <m/>
    <n v="5392.8"/>
    <n v="0"/>
    <n v="0"/>
    <n v="6195.7298964940137"/>
    <n v="0"/>
    <n v="0"/>
  </r>
  <r>
    <s v="Regular"/>
    <x v="0"/>
    <x v="2"/>
    <x v="2"/>
    <x v="0"/>
    <x v="0"/>
    <x v="0"/>
    <x v="2"/>
    <x v="8"/>
    <n v="1112"/>
    <n v="1112"/>
    <n v="0"/>
    <n v="0"/>
    <n v="0"/>
    <n v="0"/>
    <n v="8"/>
    <x v="0"/>
    <n v="0"/>
    <n v="31"/>
    <n v="0"/>
    <n v="0"/>
    <n v="38.520000000000003"/>
    <n v="0"/>
    <n v="0"/>
    <n v="44.255213546385811"/>
    <m/>
    <m/>
    <n v="42834.240000000005"/>
    <n v="0"/>
    <n v="0"/>
    <n v="49211.797463581024"/>
    <n v="0"/>
    <n v="0"/>
  </r>
  <r>
    <s v="Sistema de Compensação"/>
    <x v="0"/>
    <x v="2"/>
    <x v="2"/>
    <x v="0"/>
    <x v="0"/>
    <x v="0"/>
    <x v="2"/>
    <x v="8"/>
    <n v="140"/>
    <n v="140"/>
    <n v="0"/>
    <n v="0"/>
    <n v="0"/>
    <n v="0"/>
    <n v="1"/>
    <x v="0"/>
    <n v="0"/>
    <n v="31"/>
    <n v="0"/>
    <n v="0"/>
    <n v="38.520000000000003"/>
    <n v="0"/>
    <n v="0"/>
    <n v="44.255213546385811"/>
    <m/>
    <m/>
    <n v="5392.8"/>
    <n v="0"/>
    <n v="0"/>
    <n v="6195.7298964940137"/>
    <n v="0"/>
    <n v="0"/>
  </r>
  <r>
    <s v="Regular"/>
    <x v="0"/>
    <x v="2"/>
    <x v="2"/>
    <x v="0"/>
    <x v="0"/>
    <x v="0"/>
    <x v="2"/>
    <x v="9"/>
    <n v="994"/>
    <n v="994"/>
    <n v="0"/>
    <n v="0"/>
    <n v="0"/>
    <n v="0"/>
    <n v="8"/>
    <x v="0"/>
    <n v="0"/>
    <n v="31"/>
    <n v="0"/>
    <n v="0"/>
    <n v="38.520000000000003"/>
    <n v="0"/>
    <n v="0"/>
    <n v="44.255213546385811"/>
    <m/>
    <m/>
    <n v="38288.880000000005"/>
    <n v="0"/>
    <n v="0"/>
    <n v="43989.682265107498"/>
    <n v="0"/>
    <n v="0"/>
  </r>
  <r>
    <s v="Sistema de Compensação"/>
    <x v="0"/>
    <x v="2"/>
    <x v="2"/>
    <x v="0"/>
    <x v="0"/>
    <x v="0"/>
    <x v="2"/>
    <x v="9"/>
    <n v="140"/>
    <n v="140"/>
    <n v="0"/>
    <n v="0"/>
    <n v="0"/>
    <n v="0"/>
    <n v="1"/>
    <x v="0"/>
    <n v="0"/>
    <n v="31"/>
    <n v="0"/>
    <n v="0"/>
    <n v="38.520000000000003"/>
    <n v="0"/>
    <n v="0"/>
    <n v="44.255213546385811"/>
    <m/>
    <m/>
    <n v="5392.8"/>
    <n v="0"/>
    <n v="0"/>
    <n v="6195.7298964940137"/>
    <n v="0"/>
    <n v="0"/>
  </r>
  <r>
    <s v="Regular"/>
    <x v="0"/>
    <x v="2"/>
    <x v="2"/>
    <x v="0"/>
    <x v="0"/>
    <x v="0"/>
    <x v="2"/>
    <x v="10"/>
    <n v="1251"/>
    <n v="1251"/>
    <n v="0"/>
    <n v="0"/>
    <n v="0"/>
    <n v="0"/>
    <n v="8"/>
    <x v="0"/>
    <n v="0"/>
    <n v="31"/>
    <n v="0"/>
    <n v="0"/>
    <n v="38.520000000000003"/>
    <n v="0"/>
    <n v="0"/>
    <n v="44.255213546385811"/>
    <m/>
    <m/>
    <n v="48188.520000000004"/>
    <n v="0"/>
    <n v="0"/>
    <n v="55363.272146528652"/>
    <n v="0"/>
    <n v="0"/>
  </r>
  <r>
    <s v="Sistema de Compensação"/>
    <x v="0"/>
    <x v="2"/>
    <x v="2"/>
    <x v="0"/>
    <x v="0"/>
    <x v="0"/>
    <x v="2"/>
    <x v="10"/>
    <n v="160"/>
    <n v="160"/>
    <n v="0"/>
    <n v="0"/>
    <n v="0"/>
    <n v="0"/>
    <n v="1"/>
    <x v="0"/>
    <n v="0"/>
    <n v="31"/>
    <n v="0"/>
    <n v="0"/>
    <n v="38.520000000000003"/>
    <n v="0"/>
    <n v="0"/>
    <n v="44.255213546385811"/>
    <m/>
    <m/>
    <n v="6163.2000000000007"/>
    <n v="0"/>
    <n v="0"/>
    <n v="7080.8341674217299"/>
    <n v="0"/>
    <n v="0"/>
  </r>
  <r>
    <s v="Regular"/>
    <x v="0"/>
    <x v="2"/>
    <x v="2"/>
    <x v="0"/>
    <x v="0"/>
    <x v="0"/>
    <x v="2"/>
    <x v="11"/>
    <n v="921"/>
    <n v="921"/>
    <n v="0"/>
    <n v="0"/>
    <n v="0"/>
    <n v="0"/>
    <n v="8"/>
    <x v="0"/>
    <n v="0"/>
    <n v="31"/>
    <n v="0"/>
    <n v="0"/>
    <n v="38.520000000000003"/>
    <n v="0"/>
    <n v="0"/>
    <n v="44.255213546385811"/>
    <m/>
    <m/>
    <n v="35476.920000000006"/>
    <n v="0"/>
    <n v="0"/>
    <n v="40759.05167622133"/>
    <n v="0"/>
    <n v="0"/>
  </r>
  <r>
    <s v="Sistema de Compensação"/>
    <x v="0"/>
    <x v="2"/>
    <x v="2"/>
    <x v="0"/>
    <x v="0"/>
    <x v="0"/>
    <x v="2"/>
    <x v="11"/>
    <n v="140"/>
    <n v="140"/>
    <n v="0"/>
    <n v="0"/>
    <n v="0"/>
    <n v="0"/>
    <n v="1"/>
    <x v="0"/>
    <n v="0"/>
    <n v="31"/>
    <n v="0"/>
    <n v="0"/>
    <n v="38.520000000000003"/>
    <n v="0"/>
    <n v="0"/>
    <n v="44.255213546385811"/>
    <m/>
    <m/>
    <n v="5392.8"/>
    <n v="0"/>
    <n v="0"/>
    <n v="6195.7298964940137"/>
    <n v="0"/>
    <n v="0"/>
  </r>
  <r>
    <s v="Regular"/>
    <x v="0"/>
    <x v="2"/>
    <x v="2"/>
    <x v="0"/>
    <x v="0"/>
    <x v="0"/>
    <x v="1"/>
    <x v="0"/>
    <n v="0"/>
    <n v="0"/>
    <n v="1.228"/>
    <n v="1.228"/>
    <n v="1.228"/>
    <n v="1.228"/>
    <n v="0"/>
    <x v="0"/>
    <n v="0"/>
    <n v="0"/>
    <n v="15"/>
    <n v="24"/>
    <n v="0"/>
    <n v="2115.38"/>
    <n v="211.54"/>
    <m/>
    <n v="2284.2159351470723"/>
    <n v="196.56876174373542"/>
    <n v="0"/>
    <n v="2597.6866399999999"/>
    <n v="259.77112"/>
    <n v="0"/>
    <n v="2805.0171683606045"/>
    <n v="241.3864394213071"/>
  </r>
  <r>
    <s v="Sistema de Compensação"/>
    <x v="0"/>
    <x v="2"/>
    <x v="2"/>
    <x v="0"/>
    <x v="0"/>
    <x v="0"/>
    <x v="1"/>
    <x v="0"/>
    <n v="0"/>
    <n v="0"/>
    <n v="1.0920000000000001"/>
    <n v="1.0920000000000001"/>
    <n v="1.0920000000000001"/>
    <n v="1.0920000000000001"/>
    <n v="0"/>
    <x v="0"/>
    <n v="0"/>
    <n v="0"/>
    <n v="15"/>
    <n v="24"/>
    <n v="0"/>
    <n v="2115.38"/>
    <n v="211.54"/>
    <m/>
    <n v="2284.2159351470723"/>
    <n v="196.56876174373542"/>
    <n v="0"/>
    <n v="2309.9949600000004"/>
    <n v="231.00168000000002"/>
    <n v="0"/>
    <n v="2494.3638011806033"/>
    <n v="214.65308782415909"/>
  </r>
  <r>
    <s v="Regular"/>
    <x v="0"/>
    <x v="2"/>
    <x v="2"/>
    <x v="0"/>
    <x v="0"/>
    <x v="0"/>
    <x v="1"/>
    <x v="1"/>
    <n v="0"/>
    <n v="0"/>
    <n v="1.3069999999999999"/>
    <n v="1.3069999999999999"/>
    <n v="1.3069999999999999"/>
    <n v="1.3069999999999999"/>
    <n v="0"/>
    <x v="0"/>
    <n v="0"/>
    <n v="0"/>
    <n v="15"/>
    <n v="24"/>
    <n v="0"/>
    <n v="2115.38"/>
    <n v="211.54"/>
    <m/>
    <n v="2284.2159351470723"/>
    <n v="196.56876174373542"/>
    <n v="0"/>
    <n v="2764.8016600000001"/>
    <n v="276.48277999999999"/>
    <n v="0"/>
    <n v="2985.4702272372233"/>
    <n v="256.91537159906221"/>
  </r>
  <r>
    <s v="Regular"/>
    <x v="0"/>
    <x v="2"/>
    <x v="2"/>
    <x v="0"/>
    <x v="0"/>
    <x v="0"/>
    <x v="1"/>
    <x v="2"/>
    <n v="0"/>
    <n v="0"/>
    <n v="1.657"/>
    <n v="1.657"/>
    <n v="1.657"/>
    <n v="1.657"/>
    <n v="0"/>
    <x v="0"/>
    <n v="0"/>
    <n v="0"/>
    <n v="15"/>
    <n v="24"/>
    <n v="0"/>
    <n v="2115.38"/>
    <n v="211.54"/>
    <m/>
    <n v="2284.2159351470723"/>
    <n v="196.56876174373542"/>
    <n v="0"/>
    <n v="3505.1846600000003"/>
    <n v="350.52177999999998"/>
    <n v="0"/>
    <n v="3784.9458045386987"/>
    <n v="325.71443820936958"/>
  </r>
  <r>
    <s v="Sistema de Compensação"/>
    <x v="0"/>
    <x v="2"/>
    <x v="2"/>
    <x v="0"/>
    <x v="0"/>
    <x v="0"/>
    <x v="1"/>
    <x v="2"/>
    <n v="0"/>
    <n v="0"/>
    <n v="0.443"/>
    <n v="0.443"/>
    <n v="0.443"/>
    <n v="0.443"/>
    <n v="0"/>
    <x v="0"/>
    <n v="0"/>
    <n v="0"/>
    <n v="15"/>
    <n v="24"/>
    <n v="0"/>
    <n v="2115.38"/>
    <n v="211.54"/>
    <m/>
    <n v="2284.2159351470723"/>
    <n v="196.56876174373542"/>
    <n v="0"/>
    <n v="937.11334000000011"/>
    <n v="93.712220000000002"/>
    <n v="0"/>
    <n v="1011.9076592701531"/>
    <n v="87.079961452474791"/>
  </r>
  <r>
    <s v="Regular"/>
    <x v="0"/>
    <x v="2"/>
    <x v="2"/>
    <x v="0"/>
    <x v="0"/>
    <x v="0"/>
    <x v="1"/>
    <x v="3"/>
    <n v="0"/>
    <n v="0"/>
    <n v="6.5670000000000002"/>
    <n v="6.5670000000000002"/>
    <n v="6.5670000000000002"/>
    <n v="6.5670000000000002"/>
    <n v="0"/>
    <x v="0"/>
    <n v="0"/>
    <n v="0"/>
    <n v="15"/>
    <n v="24"/>
    <n v="0"/>
    <n v="2115.38"/>
    <n v="211.54"/>
    <m/>
    <n v="2284.2159351470723"/>
    <n v="196.56876174373542"/>
    <n v="0"/>
    <n v="13891.700460000002"/>
    <n v="1389.18318"/>
    <n v="0"/>
    <n v="15000.446046110825"/>
    <n v="1290.8670583711105"/>
  </r>
  <r>
    <s v="Sistema de Compensação"/>
    <x v="0"/>
    <x v="2"/>
    <x v="2"/>
    <x v="0"/>
    <x v="0"/>
    <x v="0"/>
    <x v="1"/>
    <x v="3"/>
    <n v="0"/>
    <n v="0"/>
    <n v="1.468"/>
    <n v="1.468"/>
    <n v="1.468"/>
    <n v="1.468"/>
    <n v="0"/>
    <x v="0"/>
    <n v="0"/>
    <n v="0"/>
    <n v="15"/>
    <n v="24"/>
    <n v="0"/>
    <n v="2115.38"/>
    <n v="211.54"/>
    <m/>
    <n v="2284.2159351470723"/>
    <n v="196.56876174373542"/>
    <n v="0"/>
    <n v="3105.3778400000001"/>
    <n v="310.54071999999996"/>
    <n v="0"/>
    <n v="3353.2289927959018"/>
    <n v="288.56294223980359"/>
  </r>
  <r>
    <s v="Regular"/>
    <x v="0"/>
    <x v="2"/>
    <x v="2"/>
    <x v="0"/>
    <x v="0"/>
    <x v="0"/>
    <x v="1"/>
    <x v="4"/>
    <n v="0"/>
    <n v="0"/>
    <n v="13.244999999999999"/>
    <n v="13.244999999999999"/>
    <n v="13.244999999999999"/>
    <n v="13.244999999999999"/>
    <n v="0"/>
    <x v="0"/>
    <n v="0"/>
    <n v="0"/>
    <n v="15"/>
    <n v="24"/>
    <n v="0"/>
    <n v="2115.38"/>
    <n v="211.54"/>
    <m/>
    <n v="2284.2159351470723"/>
    <n v="196.56876174373542"/>
    <n v="0"/>
    <n v="28018.2081"/>
    <n v="2801.8472999999999"/>
    <n v="0"/>
    <n v="30254.440061022971"/>
    <n v="2603.5532492957755"/>
  </r>
  <r>
    <s v="Sistema de Compensação"/>
    <x v="0"/>
    <x v="2"/>
    <x v="2"/>
    <x v="0"/>
    <x v="0"/>
    <x v="0"/>
    <x v="1"/>
    <x v="4"/>
    <n v="0"/>
    <n v="0"/>
    <n v="2.9860000000000002"/>
    <n v="2.9860000000000002"/>
    <n v="2.9860000000000002"/>
    <n v="2.9860000000000002"/>
    <n v="0"/>
    <x v="0"/>
    <n v="0"/>
    <n v="0"/>
    <n v="15"/>
    <n v="24"/>
    <n v="0"/>
    <n v="2115.38"/>
    <n v="211.54"/>
    <m/>
    <n v="2284.2159351470723"/>
    <n v="196.56876174373542"/>
    <n v="0"/>
    <n v="6316.5246800000004"/>
    <n v="631.65844000000004"/>
    <n v="0"/>
    <n v="6820.6687823491584"/>
    <n v="586.95432256679396"/>
  </r>
  <r>
    <s v="Regular"/>
    <x v="0"/>
    <x v="2"/>
    <x v="2"/>
    <x v="0"/>
    <x v="0"/>
    <x v="0"/>
    <x v="1"/>
    <x v="5"/>
    <n v="0"/>
    <n v="0"/>
    <n v="8.3859999999999992"/>
    <n v="8.3859999999999992"/>
    <n v="8.3859999999999992"/>
    <n v="8.3859999999999992"/>
    <n v="0"/>
    <x v="0"/>
    <n v="0"/>
    <n v="0"/>
    <n v="15"/>
    <n v="24"/>
    <n v="0"/>
    <n v="2115.38"/>
    <n v="211.54"/>
    <m/>
    <n v="2284.2159351470723"/>
    <n v="196.56876174373542"/>
    <n v="0"/>
    <n v="17739.576679999998"/>
    <n v="1773.9744399999997"/>
    <n v="0"/>
    <n v="19155.434832143346"/>
    <n v="1648.4256359829651"/>
  </r>
  <r>
    <s v="Regular"/>
    <x v="0"/>
    <x v="2"/>
    <x v="2"/>
    <x v="0"/>
    <x v="0"/>
    <x v="0"/>
    <x v="1"/>
    <x v="6"/>
    <n v="0"/>
    <n v="0"/>
    <n v="2.1819999999999999"/>
    <n v="2.1819999999999999"/>
    <n v="2.1819999999999999"/>
    <n v="2.1819999999999999"/>
    <n v="0"/>
    <x v="0"/>
    <n v="0"/>
    <n v="0"/>
    <n v="15"/>
    <n v="24"/>
    <n v="0"/>
    <n v="2115.38"/>
    <n v="211.54"/>
    <m/>
    <n v="2284.2159351470723"/>
    <n v="196.56876174373542"/>
    <n v="0"/>
    <n v="4615.7591600000005"/>
    <n v="461.58027999999996"/>
    <n v="0"/>
    <n v="4984.1591704909115"/>
    <n v="428.91303812483068"/>
  </r>
  <r>
    <s v="Sistema de Compensação"/>
    <x v="0"/>
    <x v="2"/>
    <x v="2"/>
    <x v="0"/>
    <x v="0"/>
    <x v="0"/>
    <x v="1"/>
    <x v="6"/>
    <n v="0"/>
    <n v="0"/>
    <n v="0.14599999999999999"/>
    <n v="0.14599999999999999"/>
    <n v="0.14599999999999999"/>
    <n v="0.14599999999999999"/>
    <n v="0"/>
    <x v="0"/>
    <n v="0"/>
    <n v="0"/>
    <n v="15"/>
    <n v="24"/>
    <n v="0"/>
    <n v="2115.38"/>
    <n v="211.54"/>
    <m/>
    <n v="2284.2159351470723"/>
    <n v="196.56876174373542"/>
    <n v="0"/>
    <n v="308.84548000000001"/>
    <n v="30.884839999999997"/>
    <n v="0"/>
    <n v="333.49552653147254"/>
    <n v="28.699039214585369"/>
  </r>
  <r>
    <s v="Regular"/>
    <x v="0"/>
    <x v="2"/>
    <x v="2"/>
    <x v="0"/>
    <x v="0"/>
    <x v="0"/>
    <x v="1"/>
    <x v="7"/>
    <n v="0"/>
    <n v="0"/>
    <n v="4.4729999999999999"/>
    <n v="4.4729999999999999"/>
    <n v="4.4729999999999999"/>
    <n v="4.4729999999999999"/>
    <n v="0"/>
    <x v="0"/>
    <n v="0"/>
    <n v="0"/>
    <n v="15"/>
    <n v="24"/>
    <n v="0"/>
    <n v="2115.38"/>
    <n v="211.54"/>
    <m/>
    <n v="2284.2159351470723"/>
    <n v="196.56876174373542"/>
    <n v="0"/>
    <n v="9462.0947400000005"/>
    <n v="946.21841999999992"/>
    <n v="0"/>
    <n v="10217.297877912853"/>
    <n v="879.25207127972851"/>
  </r>
  <r>
    <s v="Sistema de Compensação"/>
    <x v="0"/>
    <x v="2"/>
    <x v="2"/>
    <x v="0"/>
    <x v="0"/>
    <x v="0"/>
    <x v="1"/>
    <x v="7"/>
    <n v="0"/>
    <n v="0"/>
    <n v="2.1549999999999998"/>
    <n v="2.1549999999999998"/>
    <n v="2.1549999999999998"/>
    <n v="2.1549999999999998"/>
    <n v="0"/>
    <x v="0"/>
    <n v="0"/>
    <n v="0"/>
    <n v="15"/>
    <n v="24"/>
    <n v="0"/>
    <n v="2115.38"/>
    <n v="211.54"/>
    <m/>
    <n v="2284.2159351470723"/>
    <n v="196.56876174373542"/>
    <n v="0"/>
    <n v="4558.6439"/>
    <n v="455.86869999999993"/>
    <n v="0"/>
    <n v="4922.4853402419403"/>
    <n v="423.60568155774979"/>
  </r>
  <r>
    <s v="Regular"/>
    <x v="0"/>
    <x v="2"/>
    <x v="2"/>
    <x v="0"/>
    <x v="0"/>
    <x v="0"/>
    <x v="1"/>
    <x v="8"/>
    <n v="0"/>
    <n v="0"/>
    <n v="12.638"/>
    <n v="12.638"/>
    <n v="12.638"/>
    <n v="12.638"/>
    <n v="0"/>
    <x v="0"/>
    <n v="0"/>
    <n v="0"/>
    <n v="15"/>
    <n v="24"/>
    <n v="0"/>
    <n v="2115.38"/>
    <n v="211.54"/>
    <m/>
    <n v="2284.2159351470723"/>
    <n v="196.56876174373542"/>
    <n v="0"/>
    <n v="26734.172440000002"/>
    <n v="2673.4425200000001"/>
    <n v="0"/>
    <n v="28867.920988388698"/>
    <n v="2484.2360109173283"/>
  </r>
  <r>
    <s v="Sistema de Compensação"/>
    <x v="0"/>
    <x v="2"/>
    <x v="2"/>
    <x v="0"/>
    <x v="0"/>
    <x v="0"/>
    <x v="1"/>
    <x v="8"/>
    <n v="0"/>
    <n v="0"/>
    <n v="2.5649999999999999"/>
    <n v="2.5649999999999999"/>
    <n v="2.5649999999999999"/>
    <n v="2.5649999999999999"/>
    <n v="0"/>
    <x v="0"/>
    <n v="0"/>
    <n v="0"/>
    <n v="15"/>
    <n v="24"/>
    <n v="0"/>
    <n v="2115.38"/>
    <n v="211.54"/>
    <m/>
    <n v="2284.2159351470723"/>
    <n v="196.56876174373542"/>
    <n v="0"/>
    <n v="5425.9497000000001"/>
    <n v="542.6001"/>
    <n v="0"/>
    <n v="5859.0138736522404"/>
    <n v="504.19887387268136"/>
  </r>
  <r>
    <s v="Regular"/>
    <x v="0"/>
    <x v="2"/>
    <x v="2"/>
    <x v="0"/>
    <x v="0"/>
    <x v="0"/>
    <x v="1"/>
    <x v="9"/>
    <n v="0"/>
    <n v="0"/>
    <n v="13.042999999999999"/>
    <n v="13.042999999999999"/>
    <n v="13.042999999999999"/>
    <n v="13.042999999999999"/>
    <n v="0"/>
    <x v="0"/>
    <n v="0"/>
    <n v="0"/>
    <n v="15"/>
    <n v="24"/>
    <n v="0"/>
    <n v="2115.38"/>
    <n v="211.54"/>
    <m/>
    <n v="2284.2159351470723"/>
    <n v="196.56876174373542"/>
    <n v="0"/>
    <n v="27590.90134"/>
    <n v="2759.1162199999999"/>
    <n v="0"/>
    <n v="29793.028442123261"/>
    <n v="2563.8463594235409"/>
  </r>
  <r>
    <s v="Sistema de Compensação"/>
    <x v="0"/>
    <x v="2"/>
    <x v="2"/>
    <x v="0"/>
    <x v="0"/>
    <x v="0"/>
    <x v="1"/>
    <x v="9"/>
    <n v="0"/>
    <n v="0"/>
    <n v="1.2010000000000001"/>
    <n v="1.2010000000000001"/>
    <n v="1.2010000000000001"/>
    <n v="1.2010000000000001"/>
    <n v="0"/>
    <x v="0"/>
    <n v="0"/>
    <n v="0"/>
    <n v="15"/>
    <n v="24"/>
    <n v="0"/>
    <n v="2115.38"/>
    <n v="211.54"/>
    <m/>
    <n v="2284.2159351470723"/>
    <n v="196.56876174373542"/>
    <n v="0"/>
    <n v="2540.5713800000003"/>
    <n v="254.05954"/>
    <n v="0"/>
    <n v="2743.3433381116338"/>
    <n v="236.07908285422624"/>
  </r>
  <r>
    <s v="Regular"/>
    <x v="0"/>
    <x v="2"/>
    <x v="2"/>
    <x v="0"/>
    <x v="0"/>
    <x v="0"/>
    <x v="1"/>
    <x v="10"/>
    <n v="0"/>
    <n v="0"/>
    <n v="5.9960000000000004"/>
    <n v="5.9960000000000004"/>
    <n v="5.9960000000000004"/>
    <n v="5.9960000000000004"/>
    <n v="0"/>
    <x v="0"/>
    <n v="0"/>
    <n v="0"/>
    <n v="15"/>
    <n v="24"/>
    <n v="0"/>
    <n v="2115.38"/>
    <n v="211.54"/>
    <m/>
    <n v="2284.2159351470723"/>
    <n v="196.56876174373542"/>
    <n v="0"/>
    <n v="12683.818480000002"/>
    <n v="1268.39384"/>
    <n v="0"/>
    <n v="13696.158747141846"/>
    <n v="1178.6262954154377"/>
  </r>
  <r>
    <s v="Sistema de Compensação"/>
    <x v="0"/>
    <x v="2"/>
    <x v="2"/>
    <x v="0"/>
    <x v="0"/>
    <x v="0"/>
    <x v="1"/>
    <x v="10"/>
    <n v="0"/>
    <n v="0"/>
    <n v="2.4550000000000001"/>
    <n v="2.4550000000000001"/>
    <n v="2.4550000000000001"/>
    <n v="2.4550000000000001"/>
    <n v="0"/>
    <x v="0"/>
    <n v="0"/>
    <n v="0"/>
    <n v="15"/>
    <n v="24"/>
    <n v="0"/>
    <n v="2115.38"/>
    <n v="211.54"/>
    <m/>
    <n v="2284.2159351470723"/>
    <n v="196.56876174373542"/>
    <n v="0"/>
    <n v="5193.2579000000005"/>
    <n v="519.33069999999998"/>
    <n v="0"/>
    <n v="5607.7501207860623"/>
    <n v="482.57631008087048"/>
  </r>
  <r>
    <s v="Regular"/>
    <x v="0"/>
    <x v="2"/>
    <x v="2"/>
    <x v="0"/>
    <x v="0"/>
    <x v="0"/>
    <x v="1"/>
    <x v="11"/>
    <n v="0"/>
    <n v="0"/>
    <n v="3.198"/>
    <n v="3.198"/>
    <n v="3.198"/>
    <n v="3.198"/>
    <n v="0"/>
    <x v="0"/>
    <n v="0"/>
    <n v="0"/>
    <n v="15"/>
    <n v="24"/>
    <n v="0"/>
    <n v="2115.38"/>
    <n v="211.54"/>
    <m/>
    <n v="2284.2159351470723"/>
    <n v="196.56876174373542"/>
    <n v="0"/>
    <n v="6764.98524"/>
    <n v="676.50491999999997"/>
    <n v="0"/>
    <n v="7304.9225606003374"/>
    <n v="628.62690005646584"/>
  </r>
  <r>
    <s v="Sistema de Compensação"/>
    <x v="0"/>
    <x v="2"/>
    <x v="2"/>
    <x v="0"/>
    <x v="0"/>
    <x v="0"/>
    <x v="1"/>
    <x v="11"/>
    <n v="0"/>
    <n v="0"/>
    <n v="0.752"/>
    <n v="0.752"/>
    <n v="0.752"/>
    <n v="0.752"/>
    <n v="0"/>
    <x v="0"/>
    <n v="0"/>
    <n v="0"/>
    <n v="15"/>
    <n v="24"/>
    <n v="0"/>
    <n v="2115.38"/>
    <n v="211.54"/>
    <m/>
    <n v="2284.2159351470723"/>
    <n v="196.56876174373542"/>
    <n v="0"/>
    <n v="1590.76576"/>
    <n v="159.07808"/>
    <n v="0"/>
    <n v="1717.7303832305984"/>
    <n v="147.81970883128903"/>
  </r>
  <r>
    <s v="Regular"/>
    <x v="0"/>
    <x v="2"/>
    <x v="0"/>
    <x v="0"/>
    <x v="0"/>
    <x v="0"/>
    <x v="0"/>
    <x v="0"/>
    <n v="0"/>
    <n v="0"/>
    <n v="1086.672"/>
    <n v="1086.672"/>
    <n v="1086.672"/>
    <n v="1086.672"/>
    <n v="0"/>
    <x v="0"/>
    <n v="0"/>
    <n v="0"/>
    <n v="3"/>
    <n v="48"/>
    <n v="0"/>
    <n v="68.55"/>
    <n v="211.54"/>
    <m/>
    <n v="96.693682586652571"/>
    <n v="196.56876174373542"/>
    <n v="0"/>
    <n v="74491.365600000005"/>
    <n v="229874.59487999999"/>
    <n v="0"/>
    <n v="105074.31744380292"/>
    <n v="213605.76946158847"/>
  </r>
  <r>
    <s v="Regular"/>
    <x v="0"/>
    <x v="2"/>
    <x v="0"/>
    <x v="0"/>
    <x v="0"/>
    <x v="0"/>
    <x v="0"/>
    <x v="1"/>
    <n v="0"/>
    <n v="0"/>
    <n v="1091.9949999999999"/>
    <n v="1091.9949999999999"/>
    <n v="1091.9949999999999"/>
    <n v="1091.9949999999999"/>
    <n v="0"/>
    <x v="0"/>
    <n v="0"/>
    <n v="0"/>
    <n v="3"/>
    <n v="48"/>
    <n v="0"/>
    <n v="68.55"/>
    <n v="211.54"/>
    <m/>
    <n v="96.693682586652571"/>
    <n v="196.56876174373542"/>
    <n v="0"/>
    <n v="74856.257249999995"/>
    <n v="231000.62229999996"/>
    <n v="0"/>
    <n v="105589.01791621167"/>
    <n v="214652.10498035033"/>
  </r>
  <r>
    <s v="Regular"/>
    <x v="0"/>
    <x v="2"/>
    <x v="0"/>
    <x v="0"/>
    <x v="0"/>
    <x v="0"/>
    <x v="0"/>
    <x v="2"/>
    <n v="0"/>
    <n v="0"/>
    <n v="1082.499"/>
    <n v="1082.499"/>
    <n v="1082.499"/>
    <n v="1082.499"/>
    <n v="0"/>
    <x v="0"/>
    <n v="0"/>
    <n v="0"/>
    <n v="3"/>
    <n v="48"/>
    <n v="0"/>
    <n v="68.55"/>
    <n v="211.54"/>
    <m/>
    <n v="96.693682586652571"/>
    <n v="196.56876174373542"/>
    <n v="0"/>
    <n v="74205.306450000004"/>
    <n v="228991.83846"/>
    <n v="0"/>
    <n v="104670.81470636882"/>
    <n v="212785.48801883185"/>
  </r>
  <r>
    <s v="Regular"/>
    <x v="0"/>
    <x v="2"/>
    <x v="0"/>
    <x v="0"/>
    <x v="0"/>
    <x v="0"/>
    <x v="0"/>
    <x v="3"/>
    <n v="0"/>
    <n v="0"/>
    <n v="1057.127"/>
    <n v="1057.127"/>
    <n v="1057.127"/>
    <n v="1057.127"/>
    <n v="0"/>
    <x v="0"/>
    <n v="0"/>
    <n v="0"/>
    <n v="3"/>
    <n v="48"/>
    <n v="0"/>
    <n v="68.55"/>
    <n v="211.54"/>
    <m/>
    <n v="96.693682586652571"/>
    <n v="196.56876174373542"/>
    <n v="0"/>
    <n v="72466.05584999999"/>
    <n v="223624.64557999998"/>
    <n v="0"/>
    <n v="102217.50259178027"/>
    <n v="207798.1453958698"/>
  </r>
  <r>
    <s v="Regular"/>
    <x v="0"/>
    <x v="2"/>
    <x v="0"/>
    <x v="0"/>
    <x v="0"/>
    <x v="0"/>
    <x v="0"/>
    <x v="4"/>
    <n v="0"/>
    <n v="0"/>
    <n v="952.18200000000002"/>
    <n v="952.18200000000002"/>
    <n v="952.18200000000002"/>
    <n v="952.18200000000002"/>
    <n v="0"/>
    <x v="0"/>
    <n v="0"/>
    <n v="0"/>
    <n v="3"/>
    <n v="48"/>
    <n v="0"/>
    <n v="68.55"/>
    <n v="211.54"/>
    <m/>
    <n v="96.693682586652571"/>
    <n v="196.56876174373542"/>
    <n v="0"/>
    <n v="65272.076099999998"/>
    <n v="201424.58027999999"/>
    <n v="0"/>
    <n v="92069.984072724023"/>
    <n v="187169.23669467348"/>
  </r>
  <r>
    <s v="Regular"/>
    <x v="0"/>
    <x v="2"/>
    <x v="0"/>
    <x v="0"/>
    <x v="0"/>
    <x v="0"/>
    <x v="0"/>
    <x v="5"/>
    <n v="0"/>
    <n v="0"/>
    <n v="1038.0909999999999"/>
    <n v="1038.0909999999999"/>
    <n v="1038.0909999999999"/>
    <n v="1038.0909999999999"/>
    <n v="0"/>
    <x v="0"/>
    <n v="0"/>
    <n v="0"/>
    <n v="3"/>
    <n v="48"/>
    <n v="0"/>
    <n v="68.55"/>
    <n v="211.54"/>
    <m/>
    <n v="96.693682586652571"/>
    <n v="196.56876174373542"/>
    <n v="0"/>
    <n v="71161.138049999994"/>
    <n v="219597.77013999998"/>
    <n v="0"/>
    <n v="100376.84165006074"/>
    <n v="204056.26244731602"/>
  </r>
  <r>
    <s v="Regular"/>
    <x v="0"/>
    <x v="2"/>
    <x v="0"/>
    <x v="0"/>
    <x v="0"/>
    <x v="0"/>
    <x v="0"/>
    <x v="6"/>
    <n v="0"/>
    <n v="0"/>
    <n v="1046.152"/>
    <n v="1046.152"/>
    <n v="1046.152"/>
    <n v="1046.152"/>
    <n v="0"/>
    <x v="0"/>
    <n v="0"/>
    <n v="0"/>
    <n v="3"/>
    <n v="48"/>
    <n v="0"/>
    <n v="68.55"/>
    <n v="211.54"/>
    <m/>
    <n v="96.693682586652571"/>
    <n v="196.56876174373542"/>
    <n v="0"/>
    <n v="71713.719599999997"/>
    <n v="221302.99408"/>
    <n v="0"/>
    <n v="101156.28942539176"/>
    <n v="205640.80323573231"/>
  </r>
  <r>
    <s v="Regular"/>
    <x v="0"/>
    <x v="2"/>
    <x v="0"/>
    <x v="0"/>
    <x v="0"/>
    <x v="0"/>
    <x v="0"/>
    <x v="7"/>
    <n v="0"/>
    <n v="0"/>
    <n v="1024.1579999999999"/>
    <n v="1024.1579999999999"/>
    <n v="1024.1579999999999"/>
    <n v="1024.1579999999999"/>
    <n v="0"/>
    <x v="0"/>
    <n v="0"/>
    <n v="0"/>
    <n v="3"/>
    <n v="48"/>
    <n v="0"/>
    <n v="68.55"/>
    <n v="211.54"/>
    <m/>
    <n v="96.693682586652571"/>
    <n v="196.56876174373542"/>
    <n v="0"/>
    <n v="70206.030899999983"/>
    <n v="216650.38331999996"/>
    <n v="0"/>
    <n v="99029.608570580909"/>
    <n v="201317.46988994058"/>
  </r>
  <r>
    <s v="Regular"/>
    <x v="0"/>
    <x v="2"/>
    <x v="0"/>
    <x v="0"/>
    <x v="0"/>
    <x v="0"/>
    <x v="0"/>
    <x v="8"/>
    <n v="0"/>
    <n v="0"/>
    <n v="1130.4449999999999"/>
    <n v="1130.4449999999999"/>
    <n v="1130.4449999999999"/>
    <n v="1130.4449999999999"/>
    <n v="0"/>
    <x v="0"/>
    <n v="0"/>
    <n v="0"/>
    <n v="3"/>
    <n v="48"/>
    <n v="0"/>
    <n v="68.55"/>
    <n v="211.54"/>
    <m/>
    <n v="96.693682586652571"/>
    <n v="196.56876174373542"/>
    <n v="0"/>
    <n v="77492.004749999993"/>
    <n v="239134.33529999998"/>
    <n v="0"/>
    <n v="109306.89001166845"/>
    <n v="222210.17386939697"/>
  </r>
  <r>
    <s v="Regular"/>
    <x v="0"/>
    <x v="2"/>
    <x v="0"/>
    <x v="0"/>
    <x v="0"/>
    <x v="0"/>
    <x v="0"/>
    <x v="9"/>
    <n v="0"/>
    <n v="0"/>
    <n v="998.76900000000001"/>
    <n v="998.76900000000001"/>
    <n v="998.76900000000001"/>
    <n v="998.76900000000001"/>
    <n v="0"/>
    <x v="0"/>
    <n v="0"/>
    <n v="0"/>
    <n v="3"/>
    <n v="48"/>
    <n v="0"/>
    <n v="68.55"/>
    <n v="211.54"/>
    <m/>
    <n v="96.693682586652571"/>
    <n v="196.56876174373542"/>
    <n v="0"/>
    <n v="68465.614950000003"/>
    <n v="211279.59425999998"/>
    <n v="0"/>
    <n v="96574.652663388406"/>
    <n v="196326.78559802889"/>
  </r>
  <r>
    <s v="Regular"/>
    <x v="0"/>
    <x v="2"/>
    <x v="0"/>
    <x v="0"/>
    <x v="0"/>
    <x v="0"/>
    <x v="0"/>
    <x v="10"/>
    <n v="0"/>
    <n v="0"/>
    <n v="1016.205"/>
    <n v="1016.205"/>
    <n v="1016.205"/>
    <n v="1016.205"/>
    <n v="0"/>
    <x v="0"/>
    <n v="0"/>
    <n v="0"/>
    <n v="3"/>
    <n v="48"/>
    <n v="0"/>
    <n v="68.55"/>
    <n v="211.54"/>
    <m/>
    <n v="96.693682586652571"/>
    <n v="196.56876174373542"/>
    <n v="0"/>
    <n v="69660.852750000005"/>
    <n v="214968.00570000001"/>
    <n v="0"/>
    <n v="98260.603712969285"/>
    <n v="199754.15852779266"/>
  </r>
  <r>
    <s v="Regular"/>
    <x v="0"/>
    <x v="2"/>
    <x v="0"/>
    <x v="0"/>
    <x v="0"/>
    <x v="0"/>
    <x v="0"/>
    <x v="11"/>
    <n v="0"/>
    <n v="0"/>
    <n v="929.51199999999994"/>
    <n v="929.51199999999994"/>
    <n v="929.51199999999994"/>
    <n v="929.51199999999994"/>
    <n v="0"/>
    <x v="0"/>
    <n v="0"/>
    <n v="0"/>
    <n v="3"/>
    <n v="48"/>
    <n v="0"/>
    <n v="68.55"/>
    <n v="211.54"/>
    <m/>
    <n v="96.693682586652571"/>
    <n v="196.56876174373542"/>
    <n v="0"/>
    <n v="63718.047599999991"/>
    <n v="196628.96847999998"/>
    <n v="0"/>
    <n v="89877.938288484598"/>
    <n v="182713.022865943"/>
  </r>
  <r>
    <s v="Regular"/>
    <x v="0"/>
    <x v="2"/>
    <x v="0"/>
    <x v="0"/>
    <x v="0"/>
    <x v="0"/>
    <x v="2"/>
    <x v="0"/>
    <n v="4099"/>
    <n v="4099"/>
    <n v="0"/>
    <n v="0"/>
    <n v="0"/>
    <n v="0"/>
    <n v="15"/>
    <x v="0"/>
    <n v="0"/>
    <n v="31"/>
    <n v="0"/>
    <n v="0"/>
    <n v="38.520000000000003"/>
    <n v="0"/>
    <n v="0"/>
    <n v="44.255213546385811"/>
    <m/>
    <m/>
    <n v="157893.48000000001"/>
    <n v="0"/>
    <n v="0"/>
    <n v="181402.12032663543"/>
    <n v="0"/>
    <n v="0"/>
  </r>
  <r>
    <s v="Regular"/>
    <x v="0"/>
    <x v="2"/>
    <x v="0"/>
    <x v="0"/>
    <x v="0"/>
    <x v="0"/>
    <x v="2"/>
    <x v="1"/>
    <n v="3969"/>
    <n v="3969"/>
    <n v="0"/>
    <n v="0"/>
    <n v="0"/>
    <n v="0"/>
    <n v="15"/>
    <x v="0"/>
    <n v="0"/>
    <n v="31"/>
    <n v="0"/>
    <n v="0"/>
    <n v="38.520000000000003"/>
    <n v="0"/>
    <n v="0"/>
    <n v="44.255213546385811"/>
    <m/>
    <m/>
    <n v="152885.88"/>
    <n v="0"/>
    <n v="0"/>
    <n v="175648.94256560528"/>
    <n v="0"/>
    <n v="0"/>
  </r>
  <r>
    <s v="Refaturamento - Regular"/>
    <x v="0"/>
    <x v="2"/>
    <x v="0"/>
    <x v="0"/>
    <x v="0"/>
    <x v="0"/>
    <x v="2"/>
    <x v="1"/>
    <n v="-107"/>
    <n v="-107"/>
    <n v="0"/>
    <n v="0"/>
    <n v="0"/>
    <n v="0"/>
    <n v="0"/>
    <x v="0"/>
    <n v="0"/>
    <n v="31"/>
    <n v="0"/>
    <n v="0"/>
    <n v="38.520000000000003"/>
    <n v="0"/>
    <n v="0"/>
    <n v="44.255213546385811"/>
    <m/>
    <m/>
    <n v="-4121.6400000000003"/>
    <n v="0"/>
    <n v="0"/>
    <n v="-4735.3078494632819"/>
    <n v="0"/>
    <n v="0"/>
  </r>
  <r>
    <s v="Regular"/>
    <x v="0"/>
    <x v="2"/>
    <x v="0"/>
    <x v="0"/>
    <x v="0"/>
    <x v="0"/>
    <x v="2"/>
    <x v="2"/>
    <n v="3996"/>
    <n v="3996"/>
    <n v="0"/>
    <n v="0"/>
    <n v="0"/>
    <n v="0"/>
    <n v="15"/>
    <x v="0"/>
    <n v="0"/>
    <n v="31"/>
    <n v="0"/>
    <n v="0"/>
    <n v="38.520000000000003"/>
    <n v="0"/>
    <n v="0"/>
    <n v="44.255213546385811"/>
    <m/>
    <m/>
    <n v="153925.92000000001"/>
    <n v="0"/>
    <n v="0"/>
    <n v="176843.83333135769"/>
    <n v="0"/>
    <n v="0"/>
  </r>
  <r>
    <s v="Regular"/>
    <x v="0"/>
    <x v="2"/>
    <x v="0"/>
    <x v="0"/>
    <x v="0"/>
    <x v="0"/>
    <x v="2"/>
    <x v="3"/>
    <n v="3949"/>
    <n v="3949"/>
    <n v="0"/>
    <n v="0"/>
    <n v="0"/>
    <n v="0"/>
    <n v="15"/>
    <x v="0"/>
    <n v="0"/>
    <n v="31"/>
    <n v="0"/>
    <n v="0"/>
    <n v="38.520000000000003"/>
    <n v="0"/>
    <n v="0"/>
    <n v="44.255213546385811"/>
    <m/>
    <m/>
    <n v="152115.48000000001"/>
    <n v="0"/>
    <n v="0"/>
    <n v="174763.83829467755"/>
    <n v="0"/>
    <n v="0"/>
  </r>
  <r>
    <s v="Regular"/>
    <x v="0"/>
    <x v="2"/>
    <x v="0"/>
    <x v="0"/>
    <x v="0"/>
    <x v="0"/>
    <x v="2"/>
    <x v="4"/>
    <n v="3981"/>
    <n v="3981"/>
    <n v="0"/>
    <n v="0"/>
    <n v="0"/>
    <n v="0"/>
    <n v="15"/>
    <x v="0"/>
    <n v="0"/>
    <n v="31"/>
    <n v="0"/>
    <n v="0"/>
    <n v="38.520000000000003"/>
    <n v="0"/>
    <n v="0"/>
    <n v="44.255213546385811"/>
    <m/>
    <m/>
    <n v="153348.12000000002"/>
    <n v="0"/>
    <n v="0"/>
    <n v="176180.00512816192"/>
    <n v="0"/>
    <n v="0"/>
  </r>
  <r>
    <s v="Regular"/>
    <x v="0"/>
    <x v="2"/>
    <x v="0"/>
    <x v="0"/>
    <x v="0"/>
    <x v="0"/>
    <x v="2"/>
    <x v="5"/>
    <n v="4076"/>
    <n v="4076"/>
    <n v="0"/>
    <n v="0"/>
    <n v="0"/>
    <n v="0"/>
    <n v="15"/>
    <x v="0"/>
    <n v="0"/>
    <n v="31"/>
    <n v="0"/>
    <n v="0"/>
    <n v="38.520000000000003"/>
    <n v="0"/>
    <n v="0"/>
    <n v="44.255213546385811"/>
    <m/>
    <m/>
    <n v="157007.52000000002"/>
    <n v="0"/>
    <n v="0"/>
    <n v="180384.25041506856"/>
    <n v="0"/>
    <n v="0"/>
  </r>
  <r>
    <s v="Regular"/>
    <x v="0"/>
    <x v="2"/>
    <x v="0"/>
    <x v="0"/>
    <x v="0"/>
    <x v="0"/>
    <x v="2"/>
    <x v="6"/>
    <n v="3928"/>
    <n v="3928"/>
    <n v="0"/>
    <n v="0"/>
    <n v="0"/>
    <n v="0"/>
    <n v="14"/>
    <x v="0"/>
    <n v="0"/>
    <n v="31"/>
    <n v="0"/>
    <n v="0"/>
    <n v="38.520000000000003"/>
    <n v="0"/>
    <n v="0"/>
    <n v="44.255213546385811"/>
    <m/>
    <m/>
    <n v="151306.56000000003"/>
    <n v="0"/>
    <n v="0"/>
    <n v="173834.47881020347"/>
    <n v="0"/>
    <n v="0"/>
  </r>
  <r>
    <s v="Regular"/>
    <x v="0"/>
    <x v="2"/>
    <x v="0"/>
    <x v="0"/>
    <x v="0"/>
    <x v="0"/>
    <x v="2"/>
    <x v="7"/>
    <n v="4044"/>
    <n v="4044"/>
    <n v="0"/>
    <n v="0"/>
    <n v="0"/>
    <n v="0"/>
    <n v="15"/>
    <x v="0"/>
    <n v="0"/>
    <n v="31"/>
    <n v="0"/>
    <n v="0"/>
    <n v="38.520000000000003"/>
    <n v="0"/>
    <n v="0"/>
    <n v="44.255213546385811"/>
    <m/>
    <m/>
    <n v="155774.88"/>
    <n v="0"/>
    <n v="0"/>
    <n v="178968.08358158421"/>
    <n v="0"/>
    <n v="0"/>
  </r>
  <r>
    <s v="Regular"/>
    <x v="0"/>
    <x v="2"/>
    <x v="0"/>
    <x v="0"/>
    <x v="0"/>
    <x v="0"/>
    <x v="2"/>
    <x v="8"/>
    <n v="4189"/>
    <n v="4189"/>
    <n v="0"/>
    <n v="0"/>
    <n v="0"/>
    <n v="0"/>
    <n v="15"/>
    <x v="0"/>
    <n v="0"/>
    <n v="31"/>
    <n v="0"/>
    <n v="0"/>
    <n v="38.520000000000003"/>
    <n v="0"/>
    <n v="0"/>
    <n v="44.255213546385811"/>
    <m/>
    <m/>
    <n v="161360.28"/>
    <n v="0"/>
    <n v="0"/>
    <n v="185385.08954581016"/>
    <n v="0"/>
    <n v="0"/>
  </r>
  <r>
    <s v="Regular"/>
    <x v="0"/>
    <x v="2"/>
    <x v="0"/>
    <x v="0"/>
    <x v="0"/>
    <x v="0"/>
    <x v="2"/>
    <x v="9"/>
    <n v="4169"/>
    <n v="4169"/>
    <n v="0"/>
    <n v="0"/>
    <n v="0"/>
    <n v="0"/>
    <n v="15"/>
    <x v="0"/>
    <n v="0"/>
    <n v="31"/>
    <n v="0"/>
    <n v="0"/>
    <n v="38.520000000000003"/>
    <n v="0"/>
    <n v="0"/>
    <n v="44.255213546385811"/>
    <m/>
    <m/>
    <n v="160589.88"/>
    <n v="0"/>
    <n v="0"/>
    <n v="184499.98527488243"/>
    <n v="0"/>
    <n v="0"/>
  </r>
  <r>
    <s v="Regular"/>
    <x v="0"/>
    <x v="2"/>
    <x v="0"/>
    <x v="0"/>
    <x v="0"/>
    <x v="0"/>
    <x v="2"/>
    <x v="10"/>
    <n v="4091"/>
    <n v="4091"/>
    <n v="0"/>
    <n v="0"/>
    <n v="0"/>
    <n v="0"/>
    <n v="15"/>
    <x v="0"/>
    <n v="0"/>
    <n v="31"/>
    <n v="0"/>
    <n v="0"/>
    <n v="38.520000000000003"/>
    <n v="0"/>
    <n v="0"/>
    <n v="44.255213546385811"/>
    <m/>
    <m/>
    <n v="157585.32"/>
    <n v="0"/>
    <n v="0"/>
    <n v="181048.07861826435"/>
    <n v="0"/>
    <n v="0"/>
  </r>
  <r>
    <s v="Regular"/>
    <x v="0"/>
    <x v="2"/>
    <x v="0"/>
    <x v="0"/>
    <x v="0"/>
    <x v="0"/>
    <x v="2"/>
    <x v="11"/>
    <n v="4046"/>
    <n v="4046"/>
    <n v="0"/>
    <n v="0"/>
    <n v="0"/>
    <n v="0"/>
    <n v="15"/>
    <x v="0"/>
    <n v="0"/>
    <n v="31"/>
    <n v="0"/>
    <n v="0"/>
    <n v="38.520000000000003"/>
    <n v="0"/>
    <n v="0"/>
    <n v="44.255213546385811"/>
    <m/>
    <m/>
    <n v="155851.92000000001"/>
    <n v="0"/>
    <n v="0"/>
    <n v="179056.594008677"/>
    <n v="0"/>
    <n v="0"/>
  </r>
  <r>
    <s v="Regular"/>
    <x v="0"/>
    <x v="2"/>
    <x v="0"/>
    <x v="0"/>
    <x v="0"/>
    <x v="0"/>
    <x v="1"/>
    <x v="0"/>
    <n v="0"/>
    <n v="0"/>
    <n v="19.138000000000002"/>
    <n v="19.138000000000002"/>
    <n v="19.138000000000002"/>
    <n v="19.138000000000002"/>
    <n v="0"/>
    <x v="0"/>
    <n v="0"/>
    <n v="0"/>
    <n v="15"/>
    <n v="24"/>
    <n v="0"/>
    <n v="2115.38"/>
    <n v="211.54"/>
    <m/>
    <n v="2284.2159351470723"/>
    <n v="196.56876174373542"/>
    <n v="0"/>
    <n v="40484.142440000003"/>
    <n v="4048.4525200000003"/>
    <n v="0"/>
    <n v="43715.324566844676"/>
    <n v="3761.9329622516088"/>
  </r>
  <r>
    <s v="Regular"/>
    <x v="0"/>
    <x v="2"/>
    <x v="0"/>
    <x v="0"/>
    <x v="0"/>
    <x v="0"/>
    <x v="1"/>
    <x v="1"/>
    <n v="0"/>
    <n v="0"/>
    <n v="14.223000000000001"/>
    <n v="14.223000000000001"/>
    <n v="14.223000000000001"/>
    <n v="14.223000000000001"/>
    <n v="0"/>
    <x v="0"/>
    <n v="0"/>
    <n v="0"/>
    <n v="15"/>
    <n v="24"/>
    <n v="0"/>
    <n v="2115.38"/>
    <n v="211.54"/>
    <m/>
    <n v="2284.2159351470723"/>
    <n v="196.56876174373542"/>
    <n v="0"/>
    <n v="30087.049740000002"/>
    <n v="3008.73342"/>
    <n v="0"/>
    <n v="32488.403245596812"/>
    <n v="2795.7974982811493"/>
  </r>
  <r>
    <s v="Regular"/>
    <x v="0"/>
    <x v="2"/>
    <x v="0"/>
    <x v="0"/>
    <x v="0"/>
    <x v="0"/>
    <x v="1"/>
    <x v="2"/>
    <n v="0"/>
    <n v="0"/>
    <n v="14.566000000000001"/>
    <n v="14.566000000000001"/>
    <n v="14.566000000000001"/>
    <n v="14.566000000000001"/>
    <n v="0"/>
    <x v="0"/>
    <n v="0"/>
    <n v="0"/>
    <n v="15"/>
    <n v="24"/>
    <n v="0"/>
    <n v="2115.38"/>
    <n v="211.54"/>
    <m/>
    <n v="2284.2159351470723"/>
    <n v="196.56876174373542"/>
    <n v="0"/>
    <n v="30812.625080000002"/>
    <n v="3081.2916399999999"/>
    <n v="0"/>
    <n v="33271.889311352257"/>
    <n v="2863.2205835592504"/>
  </r>
  <r>
    <s v="Regular"/>
    <x v="0"/>
    <x v="2"/>
    <x v="0"/>
    <x v="0"/>
    <x v="0"/>
    <x v="0"/>
    <x v="1"/>
    <x v="3"/>
    <n v="0"/>
    <n v="0"/>
    <n v="14.673"/>
    <n v="14.673"/>
    <n v="14.673"/>
    <n v="14.673"/>
    <n v="0"/>
    <x v="0"/>
    <n v="0"/>
    <n v="0"/>
    <n v="15"/>
    <n v="24"/>
    <n v="0"/>
    <n v="2115.38"/>
    <n v="211.54"/>
    <m/>
    <n v="2284.2159351470723"/>
    <n v="196.56876174373542"/>
    <n v="0"/>
    <n v="31038.970740000001"/>
    <n v="3103.9264199999998"/>
    <n v="0"/>
    <n v="33516.300416412989"/>
    <n v="2884.25344106583"/>
  </r>
  <r>
    <s v="Regular"/>
    <x v="0"/>
    <x v="2"/>
    <x v="0"/>
    <x v="0"/>
    <x v="0"/>
    <x v="0"/>
    <x v="1"/>
    <x v="4"/>
    <n v="0"/>
    <n v="0"/>
    <n v="15.134"/>
    <n v="15.134"/>
    <n v="15.134"/>
    <n v="15.134"/>
    <n v="0"/>
    <x v="0"/>
    <n v="0"/>
    <n v="0"/>
    <n v="15"/>
    <n v="24"/>
    <n v="0"/>
    <n v="2115.38"/>
    <n v="211.54"/>
    <m/>
    <n v="2284.2159351470723"/>
    <n v="196.56876174373542"/>
    <n v="0"/>
    <n v="32014.160920000002"/>
    <n v="3201.4463599999999"/>
    <n v="0"/>
    <n v="34569.323962515795"/>
    <n v="2974.8716402296918"/>
  </r>
  <r>
    <s v="Regular"/>
    <x v="0"/>
    <x v="2"/>
    <x v="0"/>
    <x v="0"/>
    <x v="0"/>
    <x v="0"/>
    <x v="1"/>
    <x v="5"/>
    <n v="0"/>
    <n v="0"/>
    <n v="18.946000000000002"/>
    <n v="18.946000000000002"/>
    <n v="18.946000000000002"/>
    <n v="18.946000000000002"/>
    <n v="0"/>
    <x v="0"/>
    <n v="0"/>
    <n v="0"/>
    <n v="15"/>
    <n v="24"/>
    <n v="0"/>
    <n v="2115.38"/>
    <n v="211.54"/>
    <m/>
    <n v="2284.2159351470723"/>
    <n v="196.56876174373542"/>
    <n v="0"/>
    <n v="40077.989480000004"/>
    <n v="4007.8368400000004"/>
    <n v="0"/>
    <n v="43276.755107296434"/>
    <n v="3724.1917599968115"/>
  </r>
  <r>
    <s v="Regular"/>
    <x v="0"/>
    <x v="2"/>
    <x v="0"/>
    <x v="0"/>
    <x v="0"/>
    <x v="0"/>
    <x v="1"/>
    <x v="6"/>
    <n v="0"/>
    <n v="0"/>
    <n v="18.617999999999999"/>
    <n v="18.617999999999999"/>
    <n v="18.617999999999999"/>
    <n v="18.617999999999999"/>
    <n v="0"/>
    <x v="0"/>
    <n v="0"/>
    <n v="0"/>
    <n v="15"/>
    <n v="24"/>
    <n v="0"/>
    <n v="2115.38"/>
    <n v="211.54"/>
    <m/>
    <n v="2284.2159351470723"/>
    <n v="196.56876174373542"/>
    <n v="0"/>
    <n v="39384.144840000001"/>
    <n v="3938.4517199999996"/>
    <n v="0"/>
    <n v="42527.532280568186"/>
    <n v="3659.7172061448659"/>
  </r>
  <r>
    <s v="Regular"/>
    <x v="0"/>
    <x v="2"/>
    <x v="0"/>
    <x v="0"/>
    <x v="0"/>
    <x v="0"/>
    <x v="1"/>
    <x v="7"/>
    <n v="0"/>
    <n v="0"/>
    <n v="20.439"/>
    <n v="20.439"/>
    <n v="20.439"/>
    <n v="20.439"/>
    <n v="0"/>
    <x v="0"/>
    <n v="0"/>
    <n v="0"/>
    <n v="15"/>
    <n v="24"/>
    <n v="0"/>
    <n v="2115.38"/>
    <n v="211.54"/>
    <m/>
    <n v="2284.2159351470723"/>
    <n v="196.56876174373542"/>
    <n v="0"/>
    <n v="43236.251820000005"/>
    <n v="4323.6660599999996"/>
    <n v="0"/>
    <n v="46687.08949847101"/>
    <n v="4017.6689212802085"/>
  </r>
  <r>
    <s v="Regular"/>
    <x v="0"/>
    <x v="2"/>
    <x v="0"/>
    <x v="0"/>
    <x v="0"/>
    <x v="0"/>
    <x v="1"/>
    <x v="8"/>
    <n v="0"/>
    <n v="0"/>
    <n v="26.832000000000001"/>
    <n v="26.832000000000001"/>
    <n v="26.832000000000001"/>
    <n v="26.832000000000001"/>
    <n v="0"/>
    <x v="0"/>
    <n v="0"/>
    <n v="0"/>
    <n v="15"/>
    <n v="24"/>
    <n v="0"/>
    <n v="2115.38"/>
    <n v="211.54"/>
    <m/>
    <n v="2284.2159351470723"/>
    <n v="196.56876174373542"/>
    <n v="0"/>
    <n v="56759.876160000007"/>
    <n v="5676.0412800000004"/>
    <n v="0"/>
    <n v="61290.081971866246"/>
    <n v="5274.333015107909"/>
  </r>
  <r>
    <s v="Regular"/>
    <x v="0"/>
    <x v="2"/>
    <x v="0"/>
    <x v="0"/>
    <x v="0"/>
    <x v="0"/>
    <x v="1"/>
    <x v="9"/>
    <n v="0"/>
    <n v="0"/>
    <n v="22.404"/>
    <n v="22.404"/>
    <n v="22.404"/>
    <n v="22.404"/>
    <n v="0"/>
    <x v="0"/>
    <n v="0"/>
    <n v="0"/>
    <n v="15"/>
    <n v="24"/>
    <n v="0"/>
    <n v="2115.38"/>
    <n v="211.54"/>
    <m/>
    <n v="2284.2159351470723"/>
    <n v="196.56876174373542"/>
    <n v="0"/>
    <n v="47392.97352"/>
    <n v="4739.3421600000001"/>
    <n v="0"/>
    <n v="51175.573811035007"/>
    <n v="4403.926538106648"/>
  </r>
  <r>
    <s v="Regular"/>
    <x v="0"/>
    <x v="2"/>
    <x v="0"/>
    <x v="0"/>
    <x v="0"/>
    <x v="0"/>
    <x v="1"/>
    <x v="10"/>
    <n v="0"/>
    <n v="0"/>
    <n v="31.343"/>
    <n v="31.343"/>
    <n v="31.343"/>
    <n v="31.343"/>
    <n v="0"/>
    <x v="0"/>
    <n v="0"/>
    <n v="0"/>
    <n v="15"/>
    <n v="24"/>
    <n v="0"/>
    <n v="2115.38"/>
    <n v="211.54"/>
    <m/>
    <n v="2284.2159351470723"/>
    <n v="196.56876174373542"/>
    <n v="0"/>
    <n v="66302.355340000009"/>
    <n v="6630.2982199999997"/>
    <n v="0"/>
    <n v="71594.18005531469"/>
    <n v="6161.0546993338994"/>
  </r>
  <r>
    <s v="Regular"/>
    <x v="0"/>
    <x v="2"/>
    <x v="0"/>
    <x v="0"/>
    <x v="0"/>
    <x v="0"/>
    <x v="1"/>
    <x v="11"/>
    <n v="0"/>
    <n v="0"/>
    <n v="20.602"/>
    <n v="20.602"/>
    <n v="20.602"/>
    <n v="20.602"/>
    <n v="0"/>
    <x v="0"/>
    <n v="0"/>
    <n v="0"/>
    <n v="15"/>
    <n v="24"/>
    <n v="0"/>
    <n v="2115.38"/>
    <n v="211.54"/>
    <m/>
    <n v="2284.2159351470723"/>
    <n v="196.56876174373542"/>
    <n v="0"/>
    <n v="43581.05876"/>
    <n v="4358.1470799999997"/>
    <n v="0"/>
    <n v="47059.416695899985"/>
    <n v="4049.7096294444373"/>
  </r>
  <r>
    <s v="Regular"/>
    <x v="0"/>
    <x v="2"/>
    <x v="3"/>
    <x v="0"/>
    <x v="0"/>
    <x v="0"/>
    <x v="0"/>
    <x v="0"/>
    <n v="0"/>
    <n v="0"/>
    <n v="0.317"/>
    <n v="0.317"/>
    <n v="0.317"/>
    <n v="0.317"/>
    <n v="0"/>
    <x v="0"/>
    <n v="0"/>
    <n v="0"/>
    <n v="3"/>
    <n v="48"/>
    <n v="0"/>
    <n v="68.55"/>
    <n v="211.54"/>
    <m/>
    <n v="96.693682586652571"/>
    <n v="196.56876174373542"/>
    <n v="0"/>
    <n v="21.730349999999998"/>
    <n v="67.058179999999993"/>
    <n v="0"/>
    <n v="30.651897379968865"/>
    <n v="62.312297472764129"/>
  </r>
  <r>
    <s v="Regular"/>
    <x v="0"/>
    <x v="2"/>
    <x v="3"/>
    <x v="0"/>
    <x v="0"/>
    <x v="0"/>
    <x v="0"/>
    <x v="1"/>
    <n v="0"/>
    <n v="0"/>
    <n v="3.6150000000000002"/>
    <n v="3.6150000000000002"/>
    <n v="3.6150000000000002"/>
    <n v="3.6150000000000002"/>
    <n v="0"/>
    <x v="0"/>
    <n v="0"/>
    <n v="0"/>
    <n v="3"/>
    <n v="48"/>
    <n v="0"/>
    <n v="68.55"/>
    <n v="211.54"/>
    <m/>
    <n v="96.693682586652571"/>
    <n v="196.56876174373542"/>
    <n v="0"/>
    <n v="247.80825000000002"/>
    <n v="764.71710000000007"/>
    <n v="0"/>
    <n v="349.54766255074907"/>
    <n v="710.59607370360357"/>
  </r>
  <r>
    <s v="Regular"/>
    <x v="0"/>
    <x v="2"/>
    <x v="3"/>
    <x v="0"/>
    <x v="0"/>
    <x v="0"/>
    <x v="0"/>
    <x v="2"/>
    <n v="0"/>
    <n v="0"/>
    <n v="3.3090000000000002"/>
    <n v="3.3090000000000002"/>
    <n v="3.3090000000000002"/>
    <n v="3.3090000000000002"/>
    <n v="0"/>
    <x v="0"/>
    <n v="0"/>
    <n v="0"/>
    <n v="3"/>
    <n v="48"/>
    <n v="0"/>
    <n v="68.55"/>
    <n v="211.54"/>
    <m/>
    <n v="96.693682586652571"/>
    <n v="196.56876174373542"/>
    <n v="0"/>
    <n v="226.83195000000001"/>
    <n v="699.98586"/>
    <n v="0"/>
    <n v="319.95939567923335"/>
    <n v="650.44603261002055"/>
  </r>
  <r>
    <s v="Regular"/>
    <x v="0"/>
    <x v="2"/>
    <x v="3"/>
    <x v="0"/>
    <x v="0"/>
    <x v="0"/>
    <x v="0"/>
    <x v="3"/>
    <n v="0"/>
    <n v="0"/>
    <n v="4.4640000000000004"/>
    <n v="4.4640000000000004"/>
    <n v="4.4640000000000004"/>
    <n v="4.4640000000000004"/>
    <n v="0"/>
    <x v="0"/>
    <n v="0"/>
    <n v="0"/>
    <n v="3"/>
    <n v="48"/>
    <n v="0"/>
    <n v="68.55"/>
    <n v="211.54"/>
    <m/>
    <n v="96.693682586652571"/>
    <n v="196.56876174373542"/>
    <n v="0"/>
    <n v="306.00720000000001"/>
    <n v="944.31456000000003"/>
    <n v="0"/>
    <n v="431.64059906681712"/>
    <n v="877.48295242403503"/>
  </r>
  <r>
    <s v="Regular"/>
    <x v="0"/>
    <x v="2"/>
    <x v="3"/>
    <x v="0"/>
    <x v="0"/>
    <x v="0"/>
    <x v="0"/>
    <x v="4"/>
    <n v="0"/>
    <n v="0"/>
    <n v="2.29"/>
    <n v="2.29"/>
    <n v="2.29"/>
    <n v="2.29"/>
    <n v="0"/>
    <x v="0"/>
    <n v="0"/>
    <n v="0"/>
    <n v="3"/>
    <n v="48"/>
    <n v="0"/>
    <n v="68.55"/>
    <n v="211.54"/>
    <m/>
    <n v="96.693682586652571"/>
    <n v="196.56876174373542"/>
    <n v="0"/>
    <n v="156.9795"/>
    <n v="484.42660000000001"/>
    <n v="0"/>
    <n v="221.42853312343439"/>
    <n v="450.14246439315411"/>
  </r>
  <r>
    <s v="Regular"/>
    <x v="0"/>
    <x v="2"/>
    <x v="3"/>
    <x v="0"/>
    <x v="0"/>
    <x v="0"/>
    <x v="0"/>
    <x v="5"/>
    <n v="0"/>
    <n v="0"/>
    <n v="5.89"/>
    <n v="5.89"/>
    <n v="5.89"/>
    <n v="5.89"/>
    <n v="0"/>
    <x v="0"/>
    <n v="0"/>
    <n v="0"/>
    <n v="3"/>
    <n v="48"/>
    <n v="0"/>
    <n v="68.55"/>
    <n v="211.54"/>
    <m/>
    <n v="96.693682586652571"/>
    <n v="196.56876174373542"/>
    <n v="0"/>
    <n v="403.75949999999995"/>
    <n v="1245.9705999999999"/>
    <n v="0"/>
    <n v="569.52579043538356"/>
    <n v="1157.7900066706015"/>
  </r>
  <r>
    <s v="Regular"/>
    <x v="0"/>
    <x v="2"/>
    <x v="3"/>
    <x v="0"/>
    <x v="0"/>
    <x v="0"/>
    <x v="0"/>
    <x v="6"/>
    <n v="0"/>
    <n v="0"/>
    <n v="5.4770000000000003"/>
    <n v="5.4770000000000003"/>
    <n v="5.4770000000000003"/>
    <n v="5.4770000000000003"/>
    <n v="0"/>
    <x v="0"/>
    <n v="0"/>
    <n v="0"/>
    <n v="3"/>
    <n v="48"/>
    <n v="0"/>
    <n v="68.55"/>
    <n v="211.54"/>
    <m/>
    <n v="96.693682586652571"/>
    <n v="196.56876174373542"/>
    <n v="0"/>
    <n v="375.44835"/>
    <n v="1158.6045799999999"/>
    <n v="0"/>
    <n v="529.59129952709611"/>
    <n v="1076.6071080704389"/>
  </r>
  <r>
    <s v="Regular"/>
    <x v="0"/>
    <x v="2"/>
    <x v="3"/>
    <x v="0"/>
    <x v="0"/>
    <x v="0"/>
    <x v="0"/>
    <x v="7"/>
    <n v="0"/>
    <n v="0"/>
    <n v="4.9340000000000002"/>
    <n v="4.9340000000000002"/>
    <n v="4.9340000000000002"/>
    <n v="4.9340000000000002"/>
    <n v="0"/>
    <x v="0"/>
    <n v="0"/>
    <n v="0"/>
    <n v="3"/>
    <n v="48"/>
    <n v="0"/>
    <n v="68.55"/>
    <n v="211.54"/>
    <m/>
    <n v="96.693682586652571"/>
    <n v="196.56876174373542"/>
    <n v="0"/>
    <n v="338.22570000000002"/>
    <n v="1043.7383600000001"/>
    <n v="0"/>
    <n v="477.08662988254378"/>
    <n v="969.87027044359058"/>
  </r>
  <r>
    <s v="Regular"/>
    <x v="0"/>
    <x v="2"/>
    <x v="3"/>
    <x v="0"/>
    <x v="0"/>
    <x v="0"/>
    <x v="0"/>
    <x v="8"/>
    <n v="0"/>
    <n v="0"/>
    <n v="2.7629999999999999"/>
    <n v="2.7629999999999999"/>
    <n v="2.7629999999999999"/>
    <n v="2.7629999999999999"/>
    <n v="0"/>
    <x v="0"/>
    <n v="0"/>
    <n v="0"/>
    <n v="3"/>
    <n v="48"/>
    <n v="0"/>
    <n v="68.55"/>
    <n v="211.54"/>
    <m/>
    <n v="96.693682586652571"/>
    <n v="196.56876174373542"/>
    <n v="0"/>
    <n v="189.40365"/>
    <n v="584.48501999999996"/>
    <n v="0"/>
    <n v="267.16464498692102"/>
    <n v="543.11948869794094"/>
  </r>
  <r>
    <s v="Regular"/>
    <x v="0"/>
    <x v="2"/>
    <x v="3"/>
    <x v="0"/>
    <x v="0"/>
    <x v="0"/>
    <x v="0"/>
    <x v="9"/>
    <n v="0"/>
    <n v="0"/>
    <n v="2.9390000000000001"/>
    <n v="2.9390000000000001"/>
    <n v="2.9390000000000001"/>
    <n v="2.9390000000000001"/>
    <n v="0"/>
    <x v="0"/>
    <n v="0"/>
    <n v="0"/>
    <n v="3"/>
    <n v="48"/>
    <n v="0"/>
    <n v="68.55"/>
    <n v="211.54"/>
    <m/>
    <n v="96.693682586652571"/>
    <n v="196.56876174373542"/>
    <n v="0"/>
    <n v="201.46844999999999"/>
    <n v="621.71605999999997"/>
    <n v="0"/>
    <n v="284.1827331221719"/>
    <n v="577.71559076483845"/>
  </r>
  <r>
    <s v="Regular"/>
    <x v="0"/>
    <x v="2"/>
    <x v="3"/>
    <x v="0"/>
    <x v="0"/>
    <x v="0"/>
    <x v="0"/>
    <x v="10"/>
    <n v="0"/>
    <n v="0"/>
    <n v="2.9630000000000001"/>
    <n v="2.9630000000000001"/>
    <n v="2.9630000000000001"/>
    <n v="2.9630000000000001"/>
    <n v="0"/>
    <x v="0"/>
    <n v="0"/>
    <n v="0"/>
    <n v="3"/>
    <n v="48"/>
    <n v="0"/>
    <n v="68.55"/>
    <n v="211.54"/>
    <m/>
    <n v="96.693682586652571"/>
    <n v="196.56876174373542"/>
    <n v="0"/>
    <n v="203.11365000000001"/>
    <n v="626.79301999999996"/>
    <n v="0"/>
    <n v="286.50338150425159"/>
    <n v="582.43324104668807"/>
  </r>
  <r>
    <s v="Regular"/>
    <x v="0"/>
    <x v="2"/>
    <x v="3"/>
    <x v="0"/>
    <x v="0"/>
    <x v="0"/>
    <x v="0"/>
    <x v="11"/>
    <n v="0"/>
    <n v="0"/>
    <n v="3.383"/>
    <n v="3.383"/>
    <n v="3.383"/>
    <n v="3.383"/>
    <n v="0"/>
    <x v="0"/>
    <n v="0"/>
    <n v="0"/>
    <n v="3"/>
    <n v="48"/>
    <n v="0"/>
    <n v="68.55"/>
    <n v="211.54"/>
    <m/>
    <n v="96.693682586652571"/>
    <n v="196.56876174373542"/>
    <n v="0"/>
    <n v="231.90465"/>
    <n v="715.63981999999999"/>
    <n v="0"/>
    <n v="327.11472819064562"/>
    <n v="664.99212097905695"/>
  </r>
  <r>
    <s v="Regular"/>
    <x v="0"/>
    <x v="2"/>
    <x v="3"/>
    <x v="0"/>
    <x v="0"/>
    <x v="0"/>
    <x v="2"/>
    <x v="0"/>
    <n v="96"/>
    <n v="96"/>
    <n v="0"/>
    <n v="0"/>
    <n v="0"/>
    <n v="0"/>
    <n v="1"/>
    <x v="0"/>
    <n v="0"/>
    <n v="31"/>
    <n v="0"/>
    <n v="0"/>
    <n v="38.520000000000003"/>
    <n v="0"/>
    <n v="0"/>
    <n v="44.255213546385811"/>
    <m/>
    <m/>
    <n v="3697.92"/>
    <n v="0"/>
    <n v="0"/>
    <n v="4248.5005004530376"/>
    <n v="0"/>
    <n v="0"/>
  </r>
  <r>
    <s v="Regular"/>
    <x v="0"/>
    <x v="2"/>
    <x v="3"/>
    <x v="0"/>
    <x v="0"/>
    <x v="0"/>
    <x v="2"/>
    <x v="1"/>
    <n v="96"/>
    <n v="96"/>
    <n v="0"/>
    <n v="0"/>
    <n v="0"/>
    <n v="0"/>
    <n v="1"/>
    <x v="0"/>
    <n v="0"/>
    <n v="31"/>
    <n v="0"/>
    <n v="0"/>
    <n v="38.520000000000003"/>
    <n v="0"/>
    <n v="0"/>
    <n v="44.255213546385811"/>
    <m/>
    <m/>
    <n v="3697.92"/>
    <n v="0"/>
    <n v="0"/>
    <n v="4248.5005004530376"/>
    <n v="0"/>
    <n v="0"/>
  </r>
  <r>
    <s v="Regular"/>
    <x v="0"/>
    <x v="2"/>
    <x v="3"/>
    <x v="0"/>
    <x v="0"/>
    <x v="0"/>
    <x v="2"/>
    <x v="2"/>
    <n v="96"/>
    <n v="96"/>
    <n v="0"/>
    <n v="0"/>
    <n v="0"/>
    <n v="0"/>
    <n v="1"/>
    <x v="0"/>
    <n v="0"/>
    <n v="31"/>
    <n v="0"/>
    <n v="0"/>
    <n v="38.520000000000003"/>
    <n v="0"/>
    <n v="0"/>
    <n v="44.255213546385811"/>
    <m/>
    <m/>
    <n v="3697.92"/>
    <n v="0"/>
    <n v="0"/>
    <n v="4248.5005004530376"/>
    <n v="0"/>
    <n v="0"/>
  </r>
  <r>
    <s v="Regular"/>
    <x v="0"/>
    <x v="2"/>
    <x v="3"/>
    <x v="0"/>
    <x v="0"/>
    <x v="0"/>
    <x v="2"/>
    <x v="3"/>
    <n v="96"/>
    <n v="96"/>
    <n v="0"/>
    <n v="0"/>
    <n v="0"/>
    <n v="0"/>
    <n v="1"/>
    <x v="0"/>
    <n v="0"/>
    <n v="31"/>
    <n v="0"/>
    <n v="0"/>
    <n v="38.520000000000003"/>
    <n v="0"/>
    <n v="0"/>
    <n v="44.255213546385811"/>
    <m/>
    <m/>
    <n v="3697.92"/>
    <n v="0"/>
    <n v="0"/>
    <n v="4248.5005004530376"/>
    <n v="0"/>
    <n v="0"/>
  </r>
  <r>
    <s v="Regular"/>
    <x v="0"/>
    <x v="2"/>
    <x v="3"/>
    <x v="0"/>
    <x v="0"/>
    <x v="0"/>
    <x v="2"/>
    <x v="4"/>
    <n v="96"/>
    <n v="96"/>
    <n v="0"/>
    <n v="0"/>
    <n v="0"/>
    <n v="0"/>
    <n v="1"/>
    <x v="0"/>
    <n v="0"/>
    <n v="31"/>
    <n v="0"/>
    <n v="0"/>
    <n v="38.520000000000003"/>
    <n v="0"/>
    <n v="0"/>
    <n v="44.255213546385811"/>
    <m/>
    <m/>
    <n v="3697.92"/>
    <n v="0"/>
    <n v="0"/>
    <n v="4248.5005004530376"/>
    <n v="0"/>
    <n v="0"/>
  </r>
  <r>
    <s v="Regular"/>
    <x v="0"/>
    <x v="2"/>
    <x v="3"/>
    <x v="0"/>
    <x v="0"/>
    <x v="0"/>
    <x v="2"/>
    <x v="5"/>
    <n v="96"/>
    <n v="96"/>
    <n v="0"/>
    <n v="0"/>
    <n v="0"/>
    <n v="0"/>
    <n v="1"/>
    <x v="0"/>
    <n v="0"/>
    <n v="31"/>
    <n v="0"/>
    <n v="0"/>
    <n v="38.520000000000003"/>
    <n v="0"/>
    <n v="0"/>
    <n v="44.255213546385811"/>
    <m/>
    <m/>
    <n v="3697.92"/>
    <n v="0"/>
    <n v="0"/>
    <n v="4248.5005004530376"/>
    <n v="0"/>
    <n v="0"/>
  </r>
  <r>
    <s v="Regular"/>
    <x v="0"/>
    <x v="2"/>
    <x v="3"/>
    <x v="0"/>
    <x v="0"/>
    <x v="0"/>
    <x v="2"/>
    <x v="6"/>
    <n v="126"/>
    <n v="126"/>
    <n v="0"/>
    <n v="0"/>
    <n v="0"/>
    <n v="0"/>
    <n v="2"/>
    <x v="0"/>
    <n v="0"/>
    <n v="31"/>
    <n v="0"/>
    <n v="0"/>
    <n v="38.520000000000003"/>
    <n v="0"/>
    <n v="0"/>
    <n v="44.255213546385811"/>
    <m/>
    <m/>
    <n v="4853.5200000000004"/>
    <n v="0"/>
    <n v="0"/>
    <n v="5576.1569068446124"/>
    <n v="0"/>
    <n v="0"/>
  </r>
  <r>
    <s v="Regular"/>
    <x v="0"/>
    <x v="2"/>
    <x v="3"/>
    <x v="0"/>
    <x v="0"/>
    <x v="0"/>
    <x v="2"/>
    <x v="7"/>
    <n v="126"/>
    <n v="126"/>
    <n v="0"/>
    <n v="0"/>
    <n v="0"/>
    <n v="0"/>
    <n v="2"/>
    <x v="0"/>
    <n v="0"/>
    <n v="31"/>
    <n v="0"/>
    <n v="0"/>
    <n v="38.520000000000003"/>
    <n v="0"/>
    <n v="0"/>
    <n v="44.255213546385811"/>
    <m/>
    <m/>
    <n v="4853.5200000000004"/>
    <n v="0"/>
    <n v="0"/>
    <n v="5576.1569068446124"/>
    <n v="0"/>
    <n v="0"/>
  </r>
  <r>
    <s v="Regular"/>
    <x v="0"/>
    <x v="2"/>
    <x v="3"/>
    <x v="0"/>
    <x v="0"/>
    <x v="0"/>
    <x v="2"/>
    <x v="8"/>
    <n v="96"/>
    <n v="96"/>
    <n v="0"/>
    <n v="0"/>
    <n v="0"/>
    <n v="0"/>
    <n v="1"/>
    <x v="0"/>
    <n v="0"/>
    <n v="31"/>
    <n v="0"/>
    <n v="0"/>
    <n v="38.520000000000003"/>
    <n v="0"/>
    <n v="0"/>
    <n v="44.255213546385811"/>
    <m/>
    <m/>
    <n v="3697.92"/>
    <n v="0"/>
    <n v="0"/>
    <n v="4248.5005004530376"/>
    <n v="0"/>
    <n v="0"/>
  </r>
  <r>
    <s v="Regular"/>
    <x v="0"/>
    <x v="2"/>
    <x v="3"/>
    <x v="0"/>
    <x v="0"/>
    <x v="0"/>
    <x v="2"/>
    <x v="9"/>
    <n v="96"/>
    <n v="96"/>
    <n v="0"/>
    <n v="0"/>
    <n v="0"/>
    <n v="0"/>
    <n v="1"/>
    <x v="0"/>
    <n v="0"/>
    <n v="31"/>
    <n v="0"/>
    <n v="0"/>
    <n v="38.520000000000003"/>
    <n v="0"/>
    <n v="0"/>
    <n v="44.255213546385811"/>
    <m/>
    <m/>
    <n v="3697.92"/>
    <n v="0"/>
    <n v="0"/>
    <n v="4248.5005004530376"/>
    <n v="0"/>
    <n v="0"/>
  </r>
  <r>
    <s v="Regular"/>
    <x v="0"/>
    <x v="2"/>
    <x v="3"/>
    <x v="0"/>
    <x v="0"/>
    <x v="0"/>
    <x v="2"/>
    <x v="10"/>
    <n v="99"/>
    <n v="99"/>
    <n v="0"/>
    <n v="0"/>
    <n v="0"/>
    <n v="0"/>
    <n v="1"/>
    <x v="0"/>
    <n v="0"/>
    <n v="31"/>
    <n v="0"/>
    <n v="0"/>
    <n v="38.520000000000003"/>
    <n v="0"/>
    <n v="0"/>
    <n v="44.255213546385811"/>
    <m/>
    <m/>
    <n v="3813.4800000000005"/>
    <n v="0"/>
    <n v="0"/>
    <n v="4381.2661410921955"/>
    <n v="0"/>
    <n v="0"/>
  </r>
  <r>
    <s v="Regular"/>
    <x v="0"/>
    <x v="2"/>
    <x v="3"/>
    <x v="0"/>
    <x v="0"/>
    <x v="0"/>
    <x v="2"/>
    <x v="11"/>
    <n v="96"/>
    <n v="96"/>
    <n v="0"/>
    <n v="0"/>
    <n v="0"/>
    <n v="0"/>
    <n v="1"/>
    <x v="0"/>
    <n v="0"/>
    <n v="31"/>
    <n v="0"/>
    <n v="0"/>
    <n v="38.520000000000003"/>
    <n v="0"/>
    <n v="0"/>
    <n v="44.255213546385811"/>
    <m/>
    <m/>
    <n v="3697.92"/>
    <n v="0"/>
    <n v="0"/>
    <n v="4248.5005004530376"/>
    <n v="0"/>
    <n v="0"/>
  </r>
  <r>
    <s v="Regular"/>
    <x v="0"/>
    <x v="2"/>
    <x v="3"/>
    <x v="0"/>
    <x v="0"/>
    <x v="0"/>
    <x v="1"/>
    <x v="0"/>
    <n v="0"/>
    <n v="0"/>
    <n v="3.7999999999999999E-2"/>
    <n v="3.7999999999999999E-2"/>
    <n v="3.7999999999999999E-2"/>
    <n v="3.7999999999999999E-2"/>
    <n v="0"/>
    <x v="0"/>
    <n v="0"/>
    <n v="0"/>
    <n v="15"/>
    <n v="24"/>
    <n v="0"/>
    <n v="2115.38"/>
    <n v="211.54"/>
    <m/>
    <n v="2284.2159351470723"/>
    <n v="196.56876174373542"/>
    <n v="0"/>
    <n v="80.384439999999998"/>
    <n v="8.0385200000000001"/>
    <n v="0"/>
    <n v="86.800205535588745"/>
    <n v="7.4696129462619458"/>
  </r>
  <r>
    <s v="Regular"/>
    <x v="0"/>
    <x v="2"/>
    <x v="3"/>
    <x v="0"/>
    <x v="0"/>
    <x v="0"/>
    <x v="1"/>
    <x v="1"/>
    <n v="0"/>
    <n v="0"/>
    <n v="0.03"/>
    <n v="0.03"/>
    <n v="0.03"/>
    <n v="0.03"/>
    <n v="0"/>
    <x v="0"/>
    <n v="0"/>
    <n v="0"/>
    <n v="15"/>
    <n v="24"/>
    <n v="0"/>
    <n v="2115.38"/>
    <n v="211.54"/>
    <m/>
    <n v="2284.2159351470723"/>
    <n v="196.56876174373542"/>
    <n v="0"/>
    <n v="63.461399999999998"/>
    <n v="6.3461999999999996"/>
    <n v="0"/>
    <n v="68.526478054412166"/>
    <n v="5.8970628523120627"/>
  </r>
  <r>
    <s v="Regular"/>
    <x v="0"/>
    <x v="2"/>
    <x v="3"/>
    <x v="0"/>
    <x v="0"/>
    <x v="0"/>
    <x v="1"/>
    <x v="2"/>
    <n v="0"/>
    <n v="0"/>
    <n v="3.7999999999999999E-2"/>
    <n v="3.7999999999999999E-2"/>
    <n v="3.7999999999999999E-2"/>
    <n v="3.7999999999999999E-2"/>
    <n v="0"/>
    <x v="0"/>
    <n v="0"/>
    <n v="0"/>
    <n v="15"/>
    <n v="24"/>
    <n v="0"/>
    <n v="2115.38"/>
    <n v="211.54"/>
    <m/>
    <n v="2284.2159351470723"/>
    <n v="196.56876174373542"/>
    <n v="0"/>
    <n v="80.384439999999998"/>
    <n v="8.0385200000000001"/>
    <n v="0"/>
    <n v="86.800205535588745"/>
    <n v="7.4696129462619458"/>
  </r>
  <r>
    <s v="Regular"/>
    <x v="0"/>
    <x v="2"/>
    <x v="3"/>
    <x v="0"/>
    <x v="0"/>
    <x v="0"/>
    <x v="1"/>
    <x v="3"/>
    <n v="0"/>
    <n v="0"/>
    <n v="2.7E-2"/>
    <n v="2.7E-2"/>
    <n v="2.7E-2"/>
    <n v="2.7E-2"/>
    <n v="0"/>
    <x v="0"/>
    <n v="0"/>
    <n v="0"/>
    <n v="15"/>
    <n v="24"/>
    <n v="0"/>
    <n v="2115.38"/>
    <n v="211.54"/>
    <m/>
    <n v="2284.2159351470723"/>
    <n v="196.56876174373542"/>
    <n v="0"/>
    <n v="57.115259999999999"/>
    <n v="5.7115799999999997"/>
    <n v="0"/>
    <n v="61.673830248970951"/>
    <n v="5.3073565670808565"/>
  </r>
  <r>
    <s v="Regular"/>
    <x v="0"/>
    <x v="2"/>
    <x v="3"/>
    <x v="0"/>
    <x v="0"/>
    <x v="0"/>
    <x v="1"/>
    <x v="4"/>
    <n v="0"/>
    <n v="0"/>
    <n v="1.7999999999999999E-2"/>
    <n v="1.7999999999999999E-2"/>
    <n v="1.7999999999999999E-2"/>
    <n v="1.7999999999999999E-2"/>
    <n v="0"/>
    <x v="0"/>
    <n v="0"/>
    <n v="0"/>
    <n v="15"/>
    <n v="24"/>
    <n v="0"/>
    <n v="2115.38"/>
    <n v="211.54"/>
    <m/>
    <n v="2284.2159351470723"/>
    <n v="196.56876174373542"/>
    <n v="0"/>
    <n v="38.076839999999997"/>
    <n v="3.8077199999999998"/>
    <n v="0"/>
    <n v="41.115886832647298"/>
    <n v="3.5382377113872372"/>
  </r>
  <r>
    <s v="Regular"/>
    <x v="0"/>
    <x v="2"/>
    <x v="3"/>
    <x v="0"/>
    <x v="0"/>
    <x v="0"/>
    <x v="1"/>
    <x v="5"/>
    <n v="0"/>
    <n v="0"/>
    <n v="1.7000000000000001E-2"/>
    <n v="1.7000000000000001E-2"/>
    <n v="1.7000000000000001E-2"/>
    <n v="1.7000000000000001E-2"/>
    <n v="0"/>
    <x v="0"/>
    <n v="0"/>
    <n v="0"/>
    <n v="15"/>
    <n v="24"/>
    <n v="0"/>
    <n v="2115.38"/>
    <n v="211.54"/>
    <m/>
    <n v="2284.2159351470723"/>
    <n v="196.56876174373542"/>
    <n v="0"/>
    <n v="35.961460000000002"/>
    <n v="3.5961799999999999"/>
    <n v="0"/>
    <n v="38.831670897500231"/>
    <n v="3.3416689496435024"/>
  </r>
  <r>
    <s v="Regular"/>
    <x v="0"/>
    <x v="2"/>
    <x v="3"/>
    <x v="0"/>
    <x v="0"/>
    <x v="0"/>
    <x v="1"/>
    <x v="6"/>
    <n v="0"/>
    <n v="0"/>
    <n v="0.114"/>
    <n v="0.114"/>
    <n v="0.114"/>
    <n v="0.114"/>
    <n v="0"/>
    <x v="0"/>
    <n v="0"/>
    <n v="0"/>
    <n v="15"/>
    <n v="24"/>
    <n v="0"/>
    <n v="2115.38"/>
    <n v="211.54"/>
    <m/>
    <n v="2284.2159351470723"/>
    <n v="196.56876174373542"/>
    <n v="0"/>
    <n v="241.15332000000001"/>
    <n v="24.115559999999999"/>
    <n v="0"/>
    <n v="260.40061660676628"/>
    <n v="22.40883883878584"/>
  </r>
  <r>
    <s v="Regular"/>
    <x v="0"/>
    <x v="2"/>
    <x v="3"/>
    <x v="0"/>
    <x v="0"/>
    <x v="0"/>
    <x v="1"/>
    <x v="7"/>
    <n v="0"/>
    <n v="0"/>
    <n v="0.03"/>
    <n v="0.03"/>
    <n v="0.03"/>
    <n v="0.03"/>
    <n v="0"/>
    <x v="0"/>
    <n v="0"/>
    <n v="0"/>
    <n v="15"/>
    <n v="24"/>
    <n v="0"/>
    <n v="2115.38"/>
    <n v="211.54"/>
    <m/>
    <n v="2284.2159351470723"/>
    <n v="196.56876174373542"/>
    <n v="0"/>
    <n v="63.461399999999998"/>
    <n v="6.3461999999999996"/>
    <n v="0"/>
    <n v="68.526478054412166"/>
    <n v="5.8970628523120627"/>
  </r>
  <r>
    <s v="Regular"/>
    <x v="0"/>
    <x v="2"/>
    <x v="3"/>
    <x v="0"/>
    <x v="0"/>
    <x v="0"/>
    <x v="1"/>
    <x v="8"/>
    <n v="0"/>
    <n v="0"/>
    <n v="2.3E-2"/>
    <n v="2.3E-2"/>
    <n v="2.3E-2"/>
    <n v="2.3E-2"/>
    <n v="0"/>
    <x v="0"/>
    <n v="0"/>
    <n v="0"/>
    <n v="15"/>
    <n v="24"/>
    <n v="0"/>
    <n v="2115.38"/>
    <n v="211.54"/>
    <m/>
    <n v="2284.2159351470723"/>
    <n v="196.56876174373542"/>
    <n v="0"/>
    <n v="48.653739999999999"/>
    <n v="4.8654199999999994"/>
    <n v="0"/>
    <n v="52.536966508382662"/>
    <n v="4.5210815201059145"/>
  </r>
  <r>
    <s v="Regular"/>
    <x v="0"/>
    <x v="2"/>
    <x v="3"/>
    <x v="0"/>
    <x v="0"/>
    <x v="0"/>
    <x v="1"/>
    <x v="9"/>
    <n v="0"/>
    <n v="0"/>
    <n v="2.1000000000000001E-2"/>
    <n v="2.1000000000000001E-2"/>
    <n v="2.1000000000000001E-2"/>
    <n v="2.1000000000000001E-2"/>
    <n v="0"/>
    <x v="0"/>
    <n v="0"/>
    <n v="0"/>
    <n v="15"/>
    <n v="24"/>
    <n v="0"/>
    <n v="2115.38"/>
    <n v="211.54"/>
    <m/>
    <n v="2284.2159351470723"/>
    <n v="196.56876174373542"/>
    <n v="0"/>
    <n v="44.422980000000003"/>
    <n v="4.4423399999999997"/>
    <n v="0"/>
    <n v="47.968534638088521"/>
    <n v="4.1279439966184439"/>
  </r>
  <r>
    <s v="Regular"/>
    <x v="0"/>
    <x v="2"/>
    <x v="3"/>
    <x v="0"/>
    <x v="0"/>
    <x v="0"/>
    <x v="1"/>
    <x v="11"/>
    <n v="0"/>
    <n v="0"/>
    <n v="2.8000000000000001E-2"/>
    <n v="2.8000000000000001E-2"/>
    <n v="2.8000000000000001E-2"/>
    <n v="2.8000000000000001E-2"/>
    <n v="0"/>
    <x v="0"/>
    <n v="0"/>
    <n v="0"/>
    <n v="15"/>
    <n v="24"/>
    <n v="0"/>
    <n v="2115.38"/>
    <n v="211.54"/>
    <m/>
    <n v="2284.2159351470723"/>
    <n v="196.56876174373542"/>
    <n v="0"/>
    <n v="59.230640000000001"/>
    <n v="5.9231199999999999"/>
    <n v="0"/>
    <n v="63.958046184118025"/>
    <n v="5.5039253288245922"/>
  </r>
  <r>
    <s v="Regular"/>
    <x v="0"/>
    <x v="2"/>
    <x v="4"/>
    <x v="1"/>
    <x v="1"/>
    <x v="0"/>
    <x v="0"/>
    <x v="0"/>
    <n v="0"/>
    <n v="0"/>
    <n v="6.8289999999999997"/>
    <n v="2.0487000000000002"/>
    <n v="6.8289999999999997"/>
    <n v="2.0487000000000002"/>
    <n v="0"/>
    <x v="0"/>
    <n v="0"/>
    <n v="0"/>
    <n v="3"/>
    <n v="48"/>
    <n v="0"/>
    <n v="68.55"/>
    <n v="211.54"/>
    <m/>
    <n v="96.693682586652571"/>
    <n v="196.56876174373542"/>
    <n v="0"/>
    <n v="140.43838500000001"/>
    <n v="433.38199800000001"/>
    <n v="0"/>
    <n v="198.09634751527514"/>
    <n v="402.71042218439078"/>
  </r>
  <r>
    <s v="Regular"/>
    <x v="0"/>
    <x v="2"/>
    <x v="4"/>
    <x v="1"/>
    <x v="1"/>
    <x v="0"/>
    <x v="0"/>
    <x v="1"/>
    <n v="0"/>
    <n v="0"/>
    <n v="10.128"/>
    <n v="3.0384000000000002"/>
    <n v="10.128"/>
    <n v="3.0384000000000002"/>
    <n v="0"/>
    <x v="0"/>
    <n v="0"/>
    <n v="0"/>
    <n v="3"/>
    <n v="48"/>
    <n v="0"/>
    <n v="68.55"/>
    <n v="211.54"/>
    <m/>
    <n v="96.693682586652571"/>
    <n v="196.56876174373542"/>
    <n v="0"/>
    <n v="208.28232"/>
    <n v="642.74313600000005"/>
    <n v="0"/>
    <n v="293.79408517128519"/>
    <n v="597.25452568216576"/>
  </r>
  <r>
    <s v="Regular"/>
    <x v="0"/>
    <x v="2"/>
    <x v="4"/>
    <x v="1"/>
    <x v="1"/>
    <x v="0"/>
    <x v="0"/>
    <x v="2"/>
    <n v="0"/>
    <n v="0"/>
    <n v="14.759"/>
    <n v="4.4276999999999997"/>
    <n v="14.759"/>
    <n v="4.4276999999999997"/>
    <n v="0"/>
    <x v="0"/>
    <n v="0"/>
    <n v="0"/>
    <n v="3"/>
    <n v="48"/>
    <n v="0"/>
    <n v="68.55"/>
    <n v="211.54"/>
    <m/>
    <n v="96.693682586652571"/>
    <n v="196.56876174373542"/>
    <n v="0"/>
    <n v="303.51883499999997"/>
    <n v="936.63565799999992"/>
    <n v="0"/>
    <n v="428.13061838892156"/>
    <n v="870.34750637273726"/>
  </r>
  <r>
    <s v="Regular"/>
    <x v="0"/>
    <x v="2"/>
    <x v="4"/>
    <x v="1"/>
    <x v="1"/>
    <x v="0"/>
    <x v="0"/>
    <x v="3"/>
    <n v="0"/>
    <n v="0"/>
    <n v="29.698"/>
    <n v="8.9093999999999998"/>
    <n v="29.698"/>
    <n v="8.9093999999999998"/>
    <n v="0"/>
    <x v="0"/>
    <n v="0"/>
    <n v="0"/>
    <n v="3"/>
    <n v="48"/>
    <n v="0"/>
    <n v="68.55"/>
    <n v="211.54"/>
    <m/>
    <n v="96.693682586652571"/>
    <n v="196.56876174373542"/>
    <n v="0"/>
    <n v="610.73937000000001"/>
    <n v="1884.6944759999999"/>
    <n v="0"/>
    <n v="861.4826956375224"/>
    <n v="1751.3097258796363"/>
  </r>
  <r>
    <s v="Regular"/>
    <x v="0"/>
    <x v="2"/>
    <x v="4"/>
    <x v="1"/>
    <x v="1"/>
    <x v="0"/>
    <x v="0"/>
    <x v="4"/>
    <n v="0"/>
    <n v="0"/>
    <n v="118.98"/>
    <n v="35.694000000000003"/>
    <n v="118.98"/>
    <n v="35.694000000000003"/>
    <n v="0"/>
    <x v="0"/>
    <n v="0"/>
    <n v="0"/>
    <n v="3"/>
    <n v="48"/>
    <n v="0"/>
    <n v="68.55"/>
    <n v="211.54"/>
    <m/>
    <n v="96.693682586652571"/>
    <n v="196.56876174373542"/>
    <n v="0"/>
    <n v="2446.8236999999999"/>
    <n v="7550.7087600000004"/>
    <n v="0"/>
    <n v="3451.3843062479773"/>
    <n v="7016.3253816808929"/>
  </r>
  <r>
    <s v="Regular"/>
    <x v="0"/>
    <x v="2"/>
    <x v="4"/>
    <x v="1"/>
    <x v="1"/>
    <x v="0"/>
    <x v="0"/>
    <x v="5"/>
    <n v="0"/>
    <n v="0"/>
    <n v="132.64500000000001"/>
    <n v="39.793500000000002"/>
    <n v="132.64500000000001"/>
    <n v="39.793500000000002"/>
    <n v="0"/>
    <x v="0"/>
    <n v="0"/>
    <n v="0"/>
    <n v="3"/>
    <n v="48"/>
    <n v="0"/>
    <n v="68.55"/>
    <n v="211.54"/>
    <m/>
    <n v="96.693682586652571"/>
    <n v="196.56876174373542"/>
    <n v="0"/>
    <n v="2727.8444249999998"/>
    <n v="8417.9169899999997"/>
    <n v="0"/>
    <n v="3847.7800580119592"/>
    <n v="7822.1590204493359"/>
  </r>
  <r>
    <s v="Regular"/>
    <x v="0"/>
    <x v="2"/>
    <x v="4"/>
    <x v="1"/>
    <x v="1"/>
    <x v="0"/>
    <x v="0"/>
    <x v="6"/>
    <n v="0"/>
    <n v="0"/>
    <n v="39.817"/>
    <n v="11.9451"/>
    <n v="39.817"/>
    <n v="11.9451"/>
    <n v="0"/>
    <x v="0"/>
    <n v="0"/>
    <n v="0"/>
    <n v="3"/>
    <n v="48"/>
    <n v="0"/>
    <n v="68.55"/>
    <n v="211.54"/>
    <m/>
    <n v="96.693682586652571"/>
    <n v="196.56876174373542"/>
    <n v="0"/>
    <n v="818.83660499999996"/>
    <n v="2526.866454"/>
    <n v="0"/>
    <n v="1155.0157078658237"/>
    <n v="2348.0335159050942"/>
  </r>
  <r>
    <s v="Regular"/>
    <x v="0"/>
    <x v="2"/>
    <x v="4"/>
    <x v="1"/>
    <x v="1"/>
    <x v="0"/>
    <x v="0"/>
    <x v="7"/>
    <n v="0"/>
    <n v="0"/>
    <n v="56.661999999999999"/>
    <n v="16.9986"/>
    <n v="56.661999999999999"/>
    <n v="16.9986"/>
    <n v="0"/>
    <x v="0"/>
    <n v="0"/>
    <n v="0"/>
    <n v="3"/>
    <n v="48"/>
    <n v="0"/>
    <n v="68.55"/>
    <n v="211.54"/>
    <m/>
    <n v="96.693682586652571"/>
    <n v="196.56876174373542"/>
    <n v="0"/>
    <n v="1165.2540299999998"/>
    <n v="3595.883844"/>
    <n v="0"/>
    <n v="1643.6572328174723"/>
    <n v="3341.3937533770609"/>
  </r>
  <r>
    <s v="Regular"/>
    <x v="0"/>
    <x v="2"/>
    <x v="4"/>
    <x v="1"/>
    <x v="1"/>
    <x v="0"/>
    <x v="0"/>
    <x v="8"/>
    <n v="0"/>
    <n v="0"/>
    <n v="29.236000000000001"/>
    <n v="8.7707999999999995"/>
    <n v="29.236000000000001"/>
    <n v="8.7707999999999995"/>
    <n v="0"/>
    <x v="0"/>
    <n v="0"/>
    <n v="0"/>
    <n v="3"/>
    <n v="48"/>
    <n v="0"/>
    <n v="68.55"/>
    <n v="211.54"/>
    <m/>
    <n v="96.693682586652571"/>
    <n v="196.56876174373542"/>
    <n v="0"/>
    <n v="601.23833999999999"/>
    <n v="1855.3750319999999"/>
    <n v="0"/>
    <n v="848.08095123101236"/>
    <n v="1724.0652955019546"/>
  </r>
  <r>
    <s v="Regular"/>
    <x v="0"/>
    <x v="2"/>
    <x v="4"/>
    <x v="1"/>
    <x v="1"/>
    <x v="0"/>
    <x v="0"/>
    <x v="9"/>
    <n v="0"/>
    <n v="0"/>
    <n v="17.074000000000002"/>
    <n v="5.1222000000000003"/>
    <n v="17.074000000000002"/>
    <n v="5.1222000000000003"/>
    <n v="0"/>
    <x v="0"/>
    <n v="0"/>
    <n v="0"/>
    <n v="3"/>
    <n v="48"/>
    <n v="0"/>
    <n v="68.55"/>
    <n v="211.54"/>
    <m/>
    <n v="96.693682586652571"/>
    <n v="196.56876174373542"/>
    <n v="0"/>
    <n v="351.12681000000003"/>
    <n v="1083.5501879999999"/>
    <n v="0"/>
    <n v="495.28438094535181"/>
    <n v="1006.8645114037616"/>
  </r>
  <r>
    <s v="Regular"/>
    <x v="0"/>
    <x v="2"/>
    <x v="4"/>
    <x v="1"/>
    <x v="1"/>
    <x v="0"/>
    <x v="0"/>
    <x v="10"/>
    <n v="0"/>
    <n v="0"/>
    <n v="1.331"/>
    <n v="0.39929999999999999"/>
    <n v="1.331"/>
    <n v="0.39929999999999999"/>
    <n v="0"/>
    <x v="0"/>
    <n v="0"/>
    <n v="0"/>
    <n v="3"/>
    <n v="48"/>
    <n v="0"/>
    <n v="68.55"/>
    <n v="211.54"/>
    <m/>
    <n v="96.693682586652571"/>
    <n v="196.56876174373542"/>
    <n v="0"/>
    <n v="27.372014999999998"/>
    <n v="84.467921999999987"/>
    <n v="0"/>
    <n v="38.60978745685037"/>
    <n v="78.489906564273554"/>
  </r>
  <r>
    <s v="Regular"/>
    <x v="0"/>
    <x v="2"/>
    <x v="4"/>
    <x v="1"/>
    <x v="1"/>
    <x v="0"/>
    <x v="0"/>
    <x v="11"/>
    <n v="0"/>
    <n v="0"/>
    <n v="1.8080000000000001"/>
    <n v="0.54239999999999999"/>
    <n v="1.8080000000000001"/>
    <n v="0.54239999999999999"/>
    <n v="0"/>
    <x v="0"/>
    <n v="0"/>
    <n v="0"/>
    <n v="3"/>
    <n v="48"/>
    <n v="0"/>
    <n v="68.55"/>
    <n v="211.54"/>
    <m/>
    <n v="96.693682586652571"/>
    <n v="196.56876174373542"/>
    <n v="0"/>
    <n v="37.181519999999999"/>
    <n v="114.739296"/>
    <n v="0"/>
    <n v="52.446653435000357"/>
    <n v="106.61889636980209"/>
  </r>
  <r>
    <s v="Regular"/>
    <x v="0"/>
    <x v="2"/>
    <x v="4"/>
    <x v="1"/>
    <x v="0"/>
    <x v="0"/>
    <x v="0"/>
    <x v="0"/>
    <n v="0"/>
    <n v="0"/>
    <n v="0.82499999999999996"/>
    <n v="0.82499999999999996"/>
    <n v="0.82499999999999996"/>
    <n v="0.82499999999999996"/>
    <n v="0"/>
    <x v="0"/>
    <n v="0"/>
    <n v="0"/>
    <n v="3"/>
    <n v="48"/>
    <n v="0"/>
    <n v="65.807999999999993"/>
    <n v="203.07839999999999"/>
    <m/>
    <n v="94.759808934919519"/>
    <n v="192.63738650886071"/>
    <n v="0"/>
    <n v="54.291599999999988"/>
    <n v="167.53967999999998"/>
    <n v="0"/>
    <n v="78.176842371308595"/>
    <n v="158.92584386981008"/>
  </r>
  <r>
    <s v="Regular"/>
    <x v="0"/>
    <x v="2"/>
    <x v="4"/>
    <x v="1"/>
    <x v="0"/>
    <x v="0"/>
    <x v="0"/>
    <x v="1"/>
    <n v="0"/>
    <n v="0"/>
    <n v="1.7729999999999999"/>
    <n v="1.7729999999999999"/>
    <n v="1.7729999999999999"/>
    <n v="1.7729999999999999"/>
    <n v="0"/>
    <x v="0"/>
    <n v="0"/>
    <n v="0"/>
    <n v="3"/>
    <n v="48"/>
    <n v="0"/>
    <n v="65.807999999999993"/>
    <n v="203.07839999999999"/>
    <m/>
    <n v="94.759808934919519"/>
    <n v="192.63738650886071"/>
    <n v="0"/>
    <n v="116.67758399999998"/>
    <n v="360.05800319999997"/>
    <n v="0"/>
    <n v="168.0091412416123"/>
    <n v="341.54608628021003"/>
  </r>
  <r>
    <s v="Regular"/>
    <x v="0"/>
    <x v="2"/>
    <x v="4"/>
    <x v="1"/>
    <x v="0"/>
    <x v="0"/>
    <x v="0"/>
    <x v="2"/>
    <n v="0"/>
    <n v="0"/>
    <n v="1.4330000000000001"/>
    <n v="1.4330000000000001"/>
    <n v="1.4330000000000001"/>
    <n v="1.4330000000000001"/>
    <n v="0"/>
    <x v="0"/>
    <n v="0"/>
    <n v="0"/>
    <n v="3"/>
    <n v="48"/>
    <n v="0"/>
    <n v="65.807999999999993"/>
    <n v="203.07839999999999"/>
    <m/>
    <n v="94.759808934919519"/>
    <n v="192.63738650886071"/>
    <n v="0"/>
    <n v="94.302864"/>
    <n v="291.01134719999999"/>
    <n v="0"/>
    <n v="135.79080620373966"/>
    <n v="276.0493748671974"/>
  </r>
  <r>
    <s v="Regular"/>
    <x v="0"/>
    <x v="2"/>
    <x v="4"/>
    <x v="1"/>
    <x v="0"/>
    <x v="0"/>
    <x v="0"/>
    <x v="3"/>
    <n v="0"/>
    <n v="0"/>
    <n v="4.4059999999999997"/>
    <n v="4.4059999999999997"/>
    <n v="4.4059999999999997"/>
    <n v="4.4059999999999997"/>
    <n v="0"/>
    <x v="0"/>
    <n v="0"/>
    <n v="0"/>
    <n v="3"/>
    <n v="48"/>
    <n v="0"/>
    <n v="65.807999999999993"/>
    <n v="203.07839999999999"/>
    <m/>
    <n v="94.759808934919519"/>
    <n v="192.63738650886071"/>
    <n v="0"/>
    <n v="289.95004799999992"/>
    <n v="894.76343039999983"/>
    <n v="0"/>
    <n v="417.51171816725537"/>
    <n v="848.7603249580402"/>
  </r>
  <r>
    <s v="Regular"/>
    <x v="0"/>
    <x v="2"/>
    <x v="4"/>
    <x v="1"/>
    <x v="0"/>
    <x v="0"/>
    <x v="0"/>
    <x v="4"/>
    <n v="0"/>
    <n v="0"/>
    <n v="122.294"/>
    <n v="122.294"/>
    <n v="122.294"/>
    <n v="122.294"/>
    <n v="0"/>
    <x v="0"/>
    <n v="0"/>
    <n v="0"/>
    <n v="3"/>
    <n v="48"/>
    <n v="0"/>
    <n v="65.807999999999993"/>
    <n v="203.07839999999999"/>
    <m/>
    <n v="94.759808934919519"/>
    <n v="192.63738650886071"/>
    <n v="0"/>
    <n v="8047.9235519999993"/>
    <n v="24835.269849599998"/>
    <n v="0"/>
    <n v="11588.556073887048"/>
    <n v="23558.396545714611"/>
  </r>
  <r>
    <s v="Regular"/>
    <x v="0"/>
    <x v="2"/>
    <x v="4"/>
    <x v="1"/>
    <x v="0"/>
    <x v="0"/>
    <x v="0"/>
    <x v="5"/>
    <n v="0"/>
    <n v="0"/>
    <n v="125.315"/>
    <n v="125.315"/>
    <n v="125.315"/>
    <n v="125.315"/>
    <n v="0"/>
    <x v="0"/>
    <n v="0"/>
    <n v="0"/>
    <n v="3"/>
    <n v="48"/>
    <n v="0"/>
    <n v="65.807999999999993"/>
    <n v="203.07839999999999"/>
    <m/>
    <n v="94.759808934919519"/>
    <n v="192.63738650886071"/>
    <n v="0"/>
    <n v="8246.729519999999"/>
    <n v="25448.769695999999"/>
    <n v="0"/>
    <n v="11874.825456679439"/>
    <n v="24140.35409035788"/>
  </r>
  <r>
    <s v="Regular"/>
    <x v="0"/>
    <x v="2"/>
    <x v="4"/>
    <x v="1"/>
    <x v="0"/>
    <x v="0"/>
    <x v="0"/>
    <x v="6"/>
    <n v="0"/>
    <n v="0"/>
    <n v="24.373999999999999"/>
    <n v="24.373999999999999"/>
    <n v="24.373999999999999"/>
    <n v="24.373999999999999"/>
    <n v="0"/>
    <x v="0"/>
    <n v="0"/>
    <n v="0"/>
    <n v="3"/>
    <n v="48"/>
    <n v="0"/>
    <n v="65.807999999999993"/>
    <n v="203.07839999999999"/>
    <m/>
    <n v="94.759808934919519"/>
    <n v="192.63738650886071"/>
    <n v="0"/>
    <n v="1604.0041919999996"/>
    <n v="4949.8329215999993"/>
    <n v="0"/>
    <n v="2309.6755829797285"/>
    <n v="4695.3436587669712"/>
  </r>
  <r>
    <s v="Regular"/>
    <x v="0"/>
    <x v="2"/>
    <x v="4"/>
    <x v="1"/>
    <x v="0"/>
    <x v="0"/>
    <x v="0"/>
    <x v="7"/>
    <n v="0"/>
    <n v="0"/>
    <n v="24.561"/>
    <n v="24.561"/>
    <n v="24.561"/>
    <n v="24.561"/>
    <n v="0"/>
    <x v="0"/>
    <n v="0"/>
    <n v="0"/>
    <n v="3"/>
    <n v="48"/>
    <n v="0"/>
    <n v="65.807999999999993"/>
    <n v="203.07839999999999"/>
    <m/>
    <n v="94.759808934919519"/>
    <n v="192.63738650886071"/>
    <n v="0"/>
    <n v="1616.3102879999999"/>
    <n v="4987.8085824"/>
    <n v="0"/>
    <n v="2327.3956672505583"/>
    <n v="4731.3668500441281"/>
  </r>
  <r>
    <s v="Regular"/>
    <x v="0"/>
    <x v="2"/>
    <x v="4"/>
    <x v="1"/>
    <x v="0"/>
    <x v="0"/>
    <x v="0"/>
    <x v="8"/>
    <n v="0"/>
    <n v="0"/>
    <n v="10.833"/>
    <n v="10.833"/>
    <n v="10.833"/>
    <n v="10.833"/>
    <n v="0"/>
    <x v="0"/>
    <n v="0"/>
    <n v="0"/>
    <n v="3"/>
    <n v="48"/>
    <n v="0"/>
    <n v="65.807999999999993"/>
    <n v="203.07839999999999"/>
    <m/>
    <n v="94.759808934919519"/>
    <n v="192.63738650886071"/>
    <n v="0"/>
    <n v="712.89806399999998"/>
    <n v="2199.9483071999998"/>
    <n v="0"/>
    <n v="1026.5330101919831"/>
    <n v="2086.8408080504882"/>
  </r>
  <r>
    <s v="Regular"/>
    <x v="0"/>
    <x v="2"/>
    <x v="4"/>
    <x v="1"/>
    <x v="0"/>
    <x v="0"/>
    <x v="0"/>
    <x v="9"/>
    <n v="0"/>
    <n v="0"/>
    <n v="9.4120000000000008"/>
    <n v="9.4120000000000008"/>
    <n v="9.4120000000000008"/>
    <n v="9.4120000000000008"/>
    <n v="0"/>
    <x v="0"/>
    <n v="0"/>
    <n v="0"/>
    <n v="3"/>
    <n v="48"/>
    <n v="0"/>
    <n v="65.807999999999993"/>
    <n v="203.07839999999999"/>
    <m/>
    <n v="94.759808934919519"/>
    <n v="192.63738650886071"/>
    <n v="0"/>
    <n v="619.38489600000003"/>
    <n v="1911.3739008"/>
    <n v="0"/>
    <n v="891.87932169546264"/>
    <n v="1813.1030818213972"/>
  </r>
  <r>
    <s v="Regular"/>
    <x v="0"/>
    <x v="2"/>
    <x v="4"/>
    <x v="1"/>
    <x v="0"/>
    <x v="0"/>
    <x v="0"/>
    <x v="10"/>
    <n v="0"/>
    <n v="0"/>
    <n v="3.2890000000000001"/>
    <n v="3.2890000000000001"/>
    <n v="3.2890000000000001"/>
    <n v="3.2890000000000001"/>
    <n v="0"/>
    <x v="0"/>
    <n v="0"/>
    <n v="0"/>
    <n v="3"/>
    <n v="48"/>
    <n v="0"/>
    <n v="65.807999999999993"/>
    <n v="203.07839999999999"/>
    <m/>
    <n v="94.759808934919519"/>
    <n v="192.63738650886071"/>
    <n v="0"/>
    <n v="216.44251199999999"/>
    <n v="667.9248576"/>
    <n v="0"/>
    <n v="311.6650115869503"/>
    <n v="633.58436422764294"/>
  </r>
  <r>
    <s v="Regular"/>
    <x v="0"/>
    <x v="2"/>
    <x v="4"/>
    <x v="1"/>
    <x v="0"/>
    <x v="0"/>
    <x v="0"/>
    <x v="11"/>
    <n v="0"/>
    <n v="0"/>
    <n v="4.3490000000000002"/>
    <n v="4.3490000000000002"/>
    <n v="4.3490000000000002"/>
    <n v="4.3490000000000002"/>
    <n v="0"/>
    <x v="0"/>
    <n v="0"/>
    <n v="0"/>
    <n v="3"/>
    <n v="48"/>
    <n v="0"/>
    <n v="65.807999999999993"/>
    <n v="203.07839999999999"/>
    <m/>
    <n v="94.759808934919519"/>
    <n v="192.63738650886071"/>
    <n v="0"/>
    <n v="286.19899199999998"/>
    <n v="883.18796159999999"/>
    <n v="0"/>
    <n v="412.110409057965"/>
    <n v="837.77999392703532"/>
  </r>
  <r>
    <s v="Regular"/>
    <x v="0"/>
    <x v="2"/>
    <x v="4"/>
    <x v="1"/>
    <x v="0"/>
    <x v="0"/>
    <x v="2"/>
    <x v="0"/>
    <n v="234"/>
    <n v="234"/>
    <n v="0"/>
    <n v="0"/>
    <n v="0"/>
    <n v="0"/>
    <n v="3"/>
    <x v="0"/>
    <n v="0"/>
    <n v="31"/>
    <n v="0"/>
    <n v="0"/>
    <n v="36.979199999999999"/>
    <n v="0"/>
    <n v="0"/>
    <n v="43.370109275458091"/>
    <m/>
    <m/>
    <n v="8653.1327999999994"/>
    <n v="0"/>
    <n v="0"/>
    <n v="10148.605570457194"/>
    <n v="0"/>
    <n v="0"/>
  </r>
  <r>
    <s v="Regular"/>
    <x v="0"/>
    <x v="2"/>
    <x v="4"/>
    <x v="1"/>
    <x v="0"/>
    <x v="0"/>
    <x v="2"/>
    <x v="1"/>
    <n v="363"/>
    <n v="363"/>
    <n v="0"/>
    <n v="0"/>
    <n v="0"/>
    <n v="0"/>
    <n v="3"/>
    <x v="0"/>
    <n v="0"/>
    <n v="31"/>
    <n v="0"/>
    <n v="0"/>
    <n v="36.979199999999999"/>
    <n v="0"/>
    <n v="0"/>
    <n v="43.370109275458091"/>
    <m/>
    <m/>
    <n v="13423.4496"/>
    <n v="0"/>
    <n v="0"/>
    <n v="15743.349666991287"/>
    <n v="0"/>
    <n v="0"/>
  </r>
  <r>
    <s v="Regular"/>
    <x v="0"/>
    <x v="2"/>
    <x v="4"/>
    <x v="1"/>
    <x v="0"/>
    <x v="0"/>
    <x v="2"/>
    <x v="2"/>
    <n v="705"/>
    <n v="705"/>
    <n v="0"/>
    <n v="0"/>
    <n v="0"/>
    <n v="0"/>
    <n v="3"/>
    <x v="0"/>
    <n v="0"/>
    <n v="31"/>
    <n v="0"/>
    <n v="0"/>
    <n v="36.979199999999999"/>
    <n v="0"/>
    <n v="0"/>
    <n v="43.370109275458091"/>
    <m/>
    <m/>
    <n v="26070.335999999999"/>
    <n v="0"/>
    <n v="0"/>
    <n v="30575.927039197955"/>
    <n v="0"/>
    <n v="0"/>
  </r>
  <r>
    <s v="Regular"/>
    <x v="0"/>
    <x v="2"/>
    <x v="4"/>
    <x v="1"/>
    <x v="0"/>
    <x v="0"/>
    <x v="2"/>
    <x v="3"/>
    <n v="637"/>
    <n v="637"/>
    <n v="0"/>
    <n v="0"/>
    <n v="0"/>
    <n v="0"/>
    <n v="3"/>
    <x v="0"/>
    <n v="0"/>
    <n v="31"/>
    <n v="0"/>
    <n v="0"/>
    <n v="36.979199999999999"/>
    <n v="0"/>
    <n v="0"/>
    <n v="43.370109275458091"/>
    <m/>
    <m/>
    <n v="23555.750400000001"/>
    <n v="0"/>
    <n v="0"/>
    <n v="27626.759608466804"/>
    <n v="0"/>
    <n v="0"/>
  </r>
  <r>
    <s v="Regular"/>
    <x v="0"/>
    <x v="2"/>
    <x v="4"/>
    <x v="1"/>
    <x v="0"/>
    <x v="0"/>
    <x v="2"/>
    <x v="4"/>
    <n v="818"/>
    <n v="818"/>
    <n v="0"/>
    <n v="0"/>
    <n v="0"/>
    <n v="0"/>
    <n v="3"/>
    <x v="0"/>
    <n v="0"/>
    <n v="31"/>
    <n v="0"/>
    <n v="0"/>
    <n v="36.979199999999999"/>
    <n v="0"/>
    <n v="0"/>
    <n v="43.370109275458091"/>
    <m/>
    <m/>
    <n v="30248.9856"/>
    <n v="0"/>
    <n v="0"/>
    <n v="35476.749387324722"/>
    <n v="0"/>
    <n v="0"/>
  </r>
  <r>
    <s v="Regular"/>
    <x v="0"/>
    <x v="2"/>
    <x v="4"/>
    <x v="1"/>
    <x v="0"/>
    <x v="0"/>
    <x v="2"/>
    <x v="5"/>
    <n v="802"/>
    <n v="802"/>
    <n v="0"/>
    <n v="0"/>
    <n v="0"/>
    <n v="0"/>
    <n v="3"/>
    <x v="0"/>
    <n v="0"/>
    <n v="31"/>
    <n v="0"/>
    <n v="0"/>
    <n v="36.979199999999999"/>
    <n v="0"/>
    <n v="0"/>
    <n v="43.370109275458091"/>
    <m/>
    <m/>
    <n v="29657.3184"/>
    <n v="0"/>
    <n v="0"/>
    <n v="34782.827638917392"/>
    <n v="0"/>
    <n v="0"/>
  </r>
  <r>
    <s v="Regular"/>
    <x v="0"/>
    <x v="2"/>
    <x v="4"/>
    <x v="1"/>
    <x v="0"/>
    <x v="0"/>
    <x v="2"/>
    <x v="6"/>
    <n v="674"/>
    <n v="674"/>
    <n v="0"/>
    <n v="0"/>
    <n v="0"/>
    <n v="0"/>
    <n v="3"/>
    <x v="0"/>
    <n v="0"/>
    <n v="31"/>
    <n v="0"/>
    <n v="0"/>
    <n v="36.979199999999999"/>
    <n v="0"/>
    <n v="0"/>
    <n v="43.370109275458091"/>
    <m/>
    <m/>
    <n v="24923.980799999998"/>
    <n v="0"/>
    <n v="0"/>
    <n v="29231.453651658754"/>
    <n v="0"/>
    <n v="0"/>
  </r>
  <r>
    <s v="Regular"/>
    <x v="0"/>
    <x v="2"/>
    <x v="4"/>
    <x v="1"/>
    <x v="0"/>
    <x v="0"/>
    <x v="2"/>
    <x v="7"/>
    <n v="697"/>
    <n v="697"/>
    <n v="0"/>
    <n v="0"/>
    <n v="0"/>
    <n v="0"/>
    <n v="3"/>
    <x v="0"/>
    <n v="0"/>
    <n v="31"/>
    <n v="0"/>
    <n v="0"/>
    <n v="36.979199999999999"/>
    <n v="0"/>
    <n v="0"/>
    <n v="43.370109275458091"/>
    <m/>
    <m/>
    <n v="25774.502399999998"/>
    <n v="0"/>
    <n v="0"/>
    <n v="30228.96616499429"/>
    <n v="0"/>
    <n v="0"/>
  </r>
  <r>
    <s v="Regular"/>
    <x v="0"/>
    <x v="2"/>
    <x v="4"/>
    <x v="1"/>
    <x v="0"/>
    <x v="0"/>
    <x v="2"/>
    <x v="8"/>
    <n v="695"/>
    <n v="695"/>
    <n v="0"/>
    <n v="0"/>
    <n v="0"/>
    <n v="0"/>
    <n v="3"/>
    <x v="0"/>
    <n v="0"/>
    <n v="31"/>
    <n v="0"/>
    <n v="0"/>
    <n v="36.979199999999999"/>
    <n v="0"/>
    <n v="0"/>
    <n v="43.370109275458091"/>
    <m/>
    <m/>
    <n v="25700.543999999998"/>
    <n v="0"/>
    <n v="0"/>
    <n v="30142.225946443374"/>
    <n v="0"/>
    <n v="0"/>
  </r>
  <r>
    <s v="Regular"/>
    <x v="0"/>
    <x v="2"/>
    <x v="4"/>
    <x v="1"/>
    <x v="0"/>
    <x v="0"/>
    <x v="2"/>
    <x v="9"/>
    <n v="692"/>
    <n v="692"/>
    <n v="0"/>
    <n v="0"/>
    <n v="0"/>
    <n v="0"/>
    <n v="3"/>
    <x v="0"/>
    <n v="0"/>
    <n v="31"/>
    <n v="0"/>
    <n v="0"/>
    <n v="36.979199999999999"/>
    <n v="0"/>
    <n v="0"/>
    <n v="43.370109275458091"/>
    <m/>
    <m/>
    <n v="25589.606400000001"/>
    <n v="0"/>
    <n v="0"/>
    <n v="30012.115618616997"/>
    <n v="0"/>
    <n v="0"/>
  </r>
  <r>
    <s v="Regular"/>
    <x v="0"/>
    <x v="2"/>
    <x v="4"/>
    <x v="1"/>
    <x v="0"/>
    <x v="0"/>
    <x v="2"/>
    <x v="10"/>
    <n v="208"/>
    <n v="208"/>
    <n v="0"/>
    <n v="0"/>
    <n v="0"/>
    <n v="0"/>
    <n v="3"/>
    <x v="0"/>
    <n v="0"/>
    <n v="31"/>
    <n v="0"/>
    <n v="0"/>
    <n v="36.979199999999999"/>
    <n v="0"/>
    <n v="0"/>
    <n v="43.370109275458091"/>
    <m/>
    <m/>
    <n v="7691.6736000000001"/>
    <n v="0"/>
    <n v="0"/>
    <n v="9020.9827292952832"/>
    <n v="0"/>
    <n v="0"/>
  </r>
  <r>
    <s v="Regular"/>
    <x v="0"/>
    <x v="2"/>
    <x v="4"/>
    <x v="1"/>
    <x v="0"/>
    <x v="0"/>
    <x v="2"/>
    <x v="11"/>
    <n v="948"/>
    <n v="948"/>
    <n v="0"/>
    <n v="0"/>
    <n v="0"/>
    <n v="0"/>
    <n v="3"/>
    <x v="0"/>
    <n v="0"/>
    <n v="31"/>
    <n v="0"/>
    <n v="0"/>
    <n v="36.979199999999999"/>
    <n v="0"/>
    <n v="0"/>
    <n v="43.370109275458091"/>
    <m/>
    <m/>
    <n v="35056.281600000002"/>
    <n v="0"/>
    <n v="0"/>
    <n v="41114.863593134272"/>
    <n v="0"/>
    <n v="0"/>
  </r>
  <r>
    <s v="Regular"/>
    <x v="0"/>
    <x v="2"/>
    <x v="4"/>
    <x v="1"/>
    <x v="0"/>
    <x v="0"/>
    <x v="1"/>
    <x v="0"/>
    <n v="0"/>
    <n v="0"/>
    <n v="0.124"/>
    <n v="0.124"/>
    <n v="0.124"/>
    <n v="0.124"/>
    <n v="0"/>
    <x v="0"/>
    <n v="0"/>
    <n v="0"/>
    <n v="15"/>
    <n v="24"/>
    <n v="0"/>
    <n v="2030.7647999999999"/>
    <n v="203.07839999999999"/>
    <m/>
    <n v="2238.5316164441306"/>
    <n v="192.63738650886071"/>
    <n v="0"/>
    <n v="251.81483519999998"/>
    <n v="25.181721599999999"/>
    <n v="0"/>
    <n v="277.57792043907222"/>
    <n v="23.887035927098729"/>
  </r>
  <r>
    <s v="Regular"/>
    <x v="0"/>
    <x v="2"/>
    <x v="4"/>
    <x v="1"/>
    <x v="0"/>
    <x v="0"/>
    <x v="1"/>
    <x v="1"/>
    <n v="0"/>
    <n v="0"/>
    <n v="2.7E-2"/>
    <n v="2.7E-2"/>
    <n v="2.7E-2"/>
    <n v="2.7E-2"/>
    <n v="0"/>
    <x v="0"/>
    <n v="0"/>
    <n v="0"/>
    <n v="15"/>
    <n v="24"/>
    <n v="0"/>
    <n v="2030.7647999999999"/>
    <n v="203.07839999999999"/>
    <m/>
    <n v="2238.5316164441306"/>
    <n v="192.63738650886071"/>
    <n v="0"/>
    <n v="54.830649599999994"/>
    <n v="5.4831167999999995"/>
    <n v="0"/>
    <n v="60.440353643991521"/>
    <n v="5.2012094357392389"/>
  </r>
  <r>
    <s v="Regular"/>
    <x v="0"/>
    <x v="2"/>
    <x v="4"/>
    <x v="1"/>
    <x v="0"/>
    <x v="0"/>
    <x v="1"/>
    <x v="2"/>
    <n v="0"/>
    <n v="0"/>
    <n v="0.14599999999999999"/>
    <n v="0.14599999999999999"/>
    <n v="0.14599999999999999"/>
    <n v="0.14599999999999999"/>
    <n v="0"/>
    <x v="0"/>
    <n v="0"/>
    <n v="0"/>
    <n v="15"/>
    <n v="24"/>
    <n v="0"/>
    <n v="2030.7647999999999"/>
    <n v="203.07839999999999"/>
    <m/>
    <n v="2238.5316164441306"/>
    <n v="192.63738650886071"/>
    <n v="0"/>
    <n v="296.49166079999998"/>
    <n v="29.649446399999995"/>
    <n v="0"/>
    <n v="326.82561600084307"/>
    <n v="28.125058430293663"/>
  </r>
  <r>
    <s v="Regular"/>
    <x v="0"/>
    <x v="2"/>
    <x v="4"/>
    <x v="1"/>
    <x v="0"/>
    <x v="0"/>
    <x v="1"/>
    <x v="3"/>
    <n v="0"/>
    <n v="0"/>
    <n v="0.158"/>
    <n v="0.158"/>
    <n v="0.158"/>
    <n v="0.158"/>
    <n v="0"/>
    <x v="0"/>
    <n v="0"/>
    <n v="0"/>
    <n v="15"/>
    <n v="24"/>
    <n v="0"/>
    <n v="2030.7647999999999"/>
    <n v="203.07839999999999"/>
    <m/>
    <n v="2238.5316164441306"/>
    <n v="192.63738650886071"/>
    <n v="0"/>
    <n v="320.86083839999998"/>
    <n v="32.086387199999997"/>
    <n v="0"/>
    <n v="353.68799539817263"/>
    <n v="30.436707068399993"/>
  </r>
  <r>
    <s v="Regular"/>
    <x v="0"/>
    <x v="2"/>
    <x v="4"/>
    <x v="1"/>
    <x v="0"/>
    <x v="0"/>
    <x v="1"/>
    <x v="4"/>
    <n v="0"/>
    <n v="0"/>
    <n v="0.41399999999999998"/>
    <n v="0.41399999999999998"/>
    <n v="0.41399999999999998"/>
    <n v="0.41399999999999998"/>
    <n v="0"/>
    <x v="0"/>
    <n v="0"/>
    <n v="0"/>
    <n v="15"/>
    <n v="24"/>
    <n v="0"/>
    <n v="2030.7647999999999"/>
    <n v="203.07839999999999"/>
    <m/>
    <n v="2238.5316164441306"/>
    <n v="192.63738650886071"/>
    <n v="0"/>
    <n v="840.73662719999993"/>
    <n v="84.074457599999988"/>
    <n v="0"/>
    <n v="926.75208920786997"/>
    <n v="79.751878014668335"/>
  </r>
  <r>
    <s v="Regular"/>
    <x v="0"/>
    <x v="2"/>
    <x v="4"/>
    <x v="1"/>
    <x v="0"/>
    <x v="0"/>
    <x v="1"/>
    <x v="5"/>
    <n v="0"/>
    <n v="0"/>
    <n v="0.77700000000000002"/>
    <n v="0.77700000000000002"/>
    <n v="0.77700000000000002"/>
    <n v="0.77700000000000002"/>
    <n v="0"/>
    <x v="0"/>
    <n v="0"/>
    <n v="0"/>
    <n v="15"/>
    <n v="24"/>
    <n v="0"/>
    <n v="2030.7647999999999"/>
    <n v="203.07839999999999"/>
    <m/>
    <n v="2238.5316164441306"/>
    <n v="192.63738650886071"/>
    <n v="0"/>
    <n v="1577.9042496"/>
    <n v="157.7919168"/>
    <n v="0"/>
    <n v="1739.3390659770896"/>
    <n v="149.67924931738477"/>
  </r>
  <r>
    <s v="Regular"/>
    <x v="0"/>
    <x v="2"/>
    <x v="4"/>
    <x v="1"/>
    <x v="0"/>
    <x v="0"/>
    <x v="1"/>
    <x v="6"/>
    <n v="0"/>
    <n v="0"/>
    <n v="0.247"/>
    <n v="0.247"/>
    <n v="0.247"/>
    <n v="0.247"/>
    <n v="0"/>
    <x v="0"/>
    <n v="0"/>
    <n v="0"/>
    <n v="15"/>
    <n v="24"/>
    <n v="0"/>
    <n v="2030.7647999999999"/>
    <n v="203.07839999999999"/>
    <m/>
    <n v="2238.5316164441306"/>
    <n v="192.63738650886071"/>
    <n v="0"/>
    <n v="501.59890559999997"/>
    <n v="50.160364799999996"/>
    <n v="0"/>
    <n v="552.91730926170021"/>
    <n v="47.581434467688595"/>
  </r>
  <r>
    <s v="Regular"/>
    <x v="0"/>
    <x v="2"/>
    <x v="4"/>
    <x v="1"/>
    <x v="0"/>
    <x v="0"/>
    <x v="1"/>
    <x v="7"/>
    <n v="0"/>
    <n v="0"/>
    <n v="1.0189999999999999"/>
    <n v="1.0189999999999999"/>
    <n v="1.0189999999999999"/>
    <n v="1.0189999999999999"/>
    <n v="0"/>
    <x v="0"/>
    <n v="0"/>
    <n v="0"/>
    <n v="15"/>
    <n v="24"/>
    <n v="0"/>
    <n v="2030.7647999999999"/>
    <n v="203.07839999999999"/>
    <m/>
    <n v="2238.5316164441306"/>
    <n v="192.63738650886071"/>
    <n v="0"/>
    <n v="2069.3493311999996"/>
    <n v="206.93688959999997"/>
    <n v="0"/>
    <n v="2281.0637171565691"/>
    <n v="196.29749685252904"/>
  </r>
  <r>
    <s v="Regular"/>
    <x v="0"/>
    <x v="2"/>
    <x v="4"/>
    <x v="1"/>
    <x v="0"/>
    <x v="0"/>
    <x v="1"/>
    <x v="8"/>
    <n v="0"/>
    <n v="0"/>
    <n v="1.1459999999999999"/>
    <n v="1.1459999999999999"/>
    <n v="1.1459999999999999"/>
    <n v="1.1459999999999999"/>
    <n v="0"/>
    <x v="0"/>
    <n v="0"/>
    <n v="0"/>
    <n v="15"/>
    <n v="24"/>
    <n v="0"/>
    <n v="2030.7647999999999"/>
    <n v="203.07839999999999"/>
    <m/>
    <n v="2238.5316164441306"/>
    <n v="192.63738650886071"/>
    <n v="0"/>
    <n v="2327.2564607999998"/>
    <n v="232.72784639999998"/>
    <n v="0"/>
    <n v="2565.3572324449733"/>
    <n v="220.76244493915436"/>
  </r>
  <r>
    <s v="Regular"/>
    <x v="0"/>
    <x v="2"/>
    <x v="4"/>
    <x v="1"/>
    <x v="0"/>
    <x v="0"/>
    <x v="1"/>
    <x v="9"/>
    <n v="0"/>
    <n v="0"/>
    <n v="0.46500000000000002"/>
    <n v="0.46500000000000002"/>
    <n v="0.46500000000000002"/>
    <n v="0.46500000000000002"/>
    <n v="0"/>
    <x v="0"/>
    <n v="0"/>
    <n v="0"/>
    <n v="15"/>
    <n v="24"/>
    <n v="0"/>
    <n v="2030.7647999999999"/>
    <n v="203.07839999999999"/>
    <m/>
    <n v="2238.5316164441306"/>
    <n v="192.63738650886071"/>
    <n v="0"/>
    <n v="944.30563200000006"/>
    <n v="94.431455999999997"/>
    <n v="0"/>
    <n v="1040.9172016465209"/>
    <n v="89.576384726620233"/>
  </r>
  <r>
    <s v="Regular"/>
    <x v="0"/>
    <x v="2"/>
    <x v="4"/>
    <x v="1"/>
    <x v="0"/>
    <x v="0"/>
    <x v="1"/>
    <x v="10"/>
    <n v="0"/>
    <n v="0"/>
    <n v="6.2E-2"/>
    <n v="6.2E-2"/>
    <n v="6.2E-2"/>
    <n v="6.2E-2"/>
    <n v="0"/>
    <x v="0"/>
    <n v="0"/>
    <n v="0"/>
    <n v="15"/>
    <n v="24"/>
    <n v="0"/>
    <n v="2030.7647999999999"/>
    <n v="203.07839999999999"/>
    <m/>
    <n v="2238.5316164441306"/>
    <n v="192.63738650886071"/>
    <n v="0"/>
    <n v="125.90741759999999"/>
    <n v="12.5908608"/>
    <n v="0"/>
    <n v="138.78896021953611"/>
    <n v="11.943517963549365"/>
  </r>
  <r>
    <s v="Regular"/>
    <x v="0"/>
    <x v="2"/>
    <x v="4"/>
    <x v="1"/>
    <x v="0"/>
    <x v="0"/>
    <x v="1"/>
    <x v="11"/>
    <n v="0"/>
    <n v="0"/>
    <n v="9.6000000000000002E-2"/>
    <n v="9.6000000000000002E-2"/>
    <n v="9.6000000000000002E-2"/>
    <n v="9.6000000000000002E-2"/>
    <n v="0"/>
    <x v="0"/>
    <n v="0"/>
    <n v="0"/>
    <n v="15"/>
    <n v="24"/>
    <n v="0"/>
    <n v="2030.7647999999999"/>
    <n v="203.07839999999999"/>
    <m/>
    <n v="2238.5316164441306"/>
    <n v="192.63738650886071"/>
    <n v="0"/>
    <n v="194.9534208"/>
    <n v="19.495526399999999"/>
    <n v="0"/>
    <n v="214.89903517863655"/>
    <n v="18.493189104850629"/>
  </r>
  <r>
    <s v="Regular"/>
    <x v="0"/>
    <x v="2"/>
    <x v="4"/>
    <x v="0"/>
    <x v="0"/>
    <x v="0"/>
    <x v="0"/>
    <x v="0"/>
    <n v="0"/>
    <n v="0"/>
    <n v="8.3209999999999997"/>
    <n v="8.3209999999999997"/>
    <n v="8.3209999999999997"/>
    <n v="8.3209999999999997"/>
    <n v="0"/>
    <x v="0"/>
    <n v="0"/>
    <n v="0"/>
    <n v="3"/>
    <n v="48"/>
    <n v="0"/>
    <n v="65.807999999999993"/>
    <n v="203.07839999999999"/>
    <m/>
    <n v="94.759808934919519"/>
    <n v="192.63738650886071"/>
    <n v="0"/>
    <n v="547.58836799999995"/>
    <n v="1689.8153663999999"/>
    <n v="0"/>
    <n v="788.49637014746531"/>
    <n v="1602.9356931402299"/>
  </r>
  <r>
    <s v="Regular"/>
    <x v="0"/>
    <x v="2"/>
    <x v="4"/>
    <x v="0"/>
    <x v="0"/>
    <x v="0"/>
    <x v="0"/>
    <x v="1"/>
    <n v="0"/>
    <n v="0"/>
    <n v="1.4419999999999999"/>
    <n v="1.4419999999999999"/>
    <n v="1.4419999999999999"/>
    <n v="1.4419999999999999"/>
    <n v="0"/>
    <x v="0"/>
    <n v="0"/>
    <n v="0"/>
    <n v="3"/>
    <n v="48"/>
    <n v="0"/>
    <n v="65.807999999999993"/>
    <n v="203.07839999999999"/>
    <m/>
    <n v="94.759808934919519"/>
    <n v="192.63738650886071"/>
    <n v="0"/>
    <n v="94.89513599999998"/>
    <n v="292.83905279999999"/>
    <n v="0"/>
    <n v="136.64364448415395"/>
    <n v="277.78311134577712"/>
  </r>
  <r>
    <s v="Regular"/>
    <x v="0"/>
    <x v="2"/>
    <x v="4"/>
    <x v="0"/>
    <x v="0"/>
    <x v="0"/>
    <x v="0"/>
    <x v="2"/>
    <n v="0"/>
    <n v="0"/>
    <n v="2.9969999999999999"/>
    <n v="2.9969999999999999"/>
    <n v="2.9969999999999999"/>
    <n v="2.9969999999999999"/>
    <n v="0"/>
    <x v="0"/>
    <n v="0"/>
    <n v="0"/>
    <n v="3"/>
    <n v="48"/>
    <n v="0"/>
    <n v="65.807999999999993"/>
    <n v="203.07839999999999"/>
    <m/>
    <n v="94.759808934919519"/>
    <n v="192.63738650886071"/>
    <n v="0"/>
    <n v="197.22657599999997"/>
    <n v="608.62596479999991"/>
    <n v="0"/>
    <n v="283.9951473779538"/>
    <n v="577.33424736705558"/>
  </r>
  <r>
    <s v="Regular"/>
    <x v="0"/>
    <x v="2"/>
    <x v="4"/>
    <x v="0"/>
    <x v="0"/>
    <x v="0"/>
    <x v="0"/>
    <x v="3"/>
    <n v="0"/>
    <n v="0"/>
    <n v="17.882000000000001"/>
    <n v="17.882000000000001"/>
    <n v="17.882000000000001"/>
    <n v="17.882000000000001"/>
    <n v="0"/>
    <x v="0"/>
    <n v="0"/>
    <n v="0"/>
    <n v="3"/>
    <n v="48"/>
    <n v="0"/>
    <n v="65.807999999999993"/>
    <n v="203.07839999999999"/>
    <m/>
    <n v="94.759808934919519"/>
    <n v="192.63738650886071"/>
    <n v="0"/>
    <n v="1176.778656"/>
    <n v="3631.4479488000002"/>
    <n v="0"/>
    <n v="1694.4949033742309"/>
    <n v="3444.7417455514474"/>
  </r>
  <r>
    <s v="Regular"/>
    <x v="0"/>
    <x v="2"/>
    <x v="4"/>
    <x v="0"/>
    <x v="0"/>
    <x v="0"/>
    <x v="0"/>
    <x v="4"/>
    <n v="0"/>
    <n v="0"/>
    <n v="29.914000000000001"/>
    <n v="29.914000000000001"/>
    <n v="29.914000000000001"/>
    <n v="29.914000000000001"/>
    <n v="0"/>
    <x v="0"/>
    <n v="0"/>
    <n v="0"/>
    <n v="3"/>
    <n v="48"/>
    <n v="0"/>
    <n v="65.807999999999993"/>
    <n v="203.07839999999999"/>
    <m/>
    <n v="94.759808934919519"/>
    <n v="192.63738650886071"/>
    <n v="0"/>
    <n v="1968.5805119999998"/>
    <n v="6074.8872576000003"/>
    <n v="0"/>
    <n v="2834.6449244791825"/>
    <n v="5762.5547800260601"/>
  </r>
  <r>
    <s v="Regular"/>
    <x v="0"/>
    <x v="2"/>
    <x v="4"/>
    <x v="0"/>
    <x v="0"/>
    <x v="0"/>
    <x v="0"/>
    <x v="5"/>
    <n v="0"/>
    <n v="0"/>
    <n v="35.438000000000002"/>
    <n v="35.438000000000002"/>
    <n v="35.438000000000002"/>
    <n v="35.438000000000002"/>
    <n v="0"/>
    <x v="0"/>
    <n v="0"/>
    <n v="0"/>
    <n v="3"/>
    <n v="48"/>
    <n v="0"/>
    <n v="65.807999999999993"/>
    <n v="203.07839999999999"/>
    <m/>
    <n v="94.759808934919519"/>
    <n v="192.63738650886071"/>
    <n v="0"/>
    <n v="2332.1039040000001"/>
    <n v="7196.6923391999999"/>
    <n v="0"/>
    <n v="3358.0981090356781"/>
    <n v="6826.6837031010064"/>
  </r>
  <r>
    <s v="Regular"/>
    <x v="0"/>
    <x v="2"/>
    <x v="4"/>
    <x v="0"/>
    <x v="0"/>
    <x v="0"/>
    <x v="0"/>
    <x v="6"/>
    <n v="0"/>
    <n v="0"/>
    <n v="67.201999999999998"/>
    <n v="67.201999999999998"/>
    <n v="67.201999999999998"/>
    <n v="67.201999999999998"/>
    <n v="0"/>
    <x v="0"/>
    <n v="0"/>
    <n v="0"/>
    <n v="3"/>
    <n v="48"/>
    <n v="0"/>
    <n v="65.807999999999993"/>
    <n v="203.07839999999999"/>
    <m/>
    <n v="94.759808934919519"/>
    <n v="192.63738650886071"/>
    <n v="0"/>
    <n v="4422.4292159999995"/>
    <n v="13647.274636799999"/>
    <n v="0"/>
    <n v="6368.0486800444614"/>
    <n v="12945.617648168458"/>
  </r>
  <r>
    <s v="Regular"/>
    <x v="0"/>
    <x v="2"/>
    <x v="4"/>
    <x v="0"/>
    <x v="0"/>
    <x v="0"/>
    <x v="0"/>
    <x v="7"/>
    <n v="0"/>
    <n v="0"/>
    <n v="33.357999999999997"/>
    <n v="33.357999999999997"/>
    <n v="33.357999999999997"/>
    <n v="33.357999999999997"/>
    <n v="0"/>
    <x v="0"/>
    <n v="0"/>
    <n v="0"/>
    <n v="3"/>
    <n v="48"/>
    <n v="0"/>
    <n v="65.807999999999993"/>
    <n v="203.07839999999999"/>
    <m/>
    <n v="94.759808934919519"/>
    <n v="192.63738650886071"/>
    <n v="0"/>
    <n v="2195.2232639999997"/>
    <n v="6774.2892671999989"/>
    <n v="0"/>
    <n v="3160.9977064510449"/>
    <n v="6425.9979391625748"/>
  </r>
  <r>
    <s v="Regular"/>
    <x v="0"/>
    <x v="2"/>
    <x v="4"/>
    <x v="0"/>
    <x v="0"/>
    <x v="0"/>
    <x v="0"/>
    <x v="8"/>
    <n v="0"/>
    <n v="0"/>
    <n v="31.106000000000002"/>
    <n v="31.106000000000002"/>
    <n v="31.106000000000002"/>
    <n v="31.106000000000002"/>
    <n v="0"/>
    <x v="0"/>
    <n v="0"/>
    <n v="0"/>
    <n v="3"/>
    <n v="48"/>
    <n v="0"/>
    <n v="65.807999999999993"/>
    <n v="203.07839999999999"/>
    <m/>
    <n v="94.759808934919519"/>
    <n v="192.63738650886071"/>
    <n v="0"/>
    <n v="2047.0236479999999"/>
    <n v="6316.9567103999998"/>
    <n v="0"/>
    <n v="2947.5986167296069"/>
    <n v="5992.1785447446218"/>
  </r>
  <r>
    <s v="Regular"/>
    <x v="0"/>
    <x v="2"/>
    <x v="4"/>
    <x v="0"/>
    <x v="0"/>
    <x v="0"/>
    <x v="0"/>
    <x v="9"/>
    <n v="0"/>
    <n v="0"/>
    <n v="23.597999999999999"/>
    <n v="23.597999999999999"/>
    <n v="23.597999999999999"/>
    <n v="23.597999999999999"/>
    <n v="0"/>
    <x v="0"/>
    <n v="0"/>
    <n v="0"/>
    <n v="3"/>
    <n v="48"/>
    <n v="0"/>
    <n v="65.807999999999993"/>
    <n v="203.07839999999999"/>
    <m/>
    <n v="94.759808934919519"/>
    <n v="192.63738650886071"/>
    <n v="0"/>
    <n v="1552.9371839999997"/>
    <n v="4792.2440831999993"/>
    <n v="0"/>
    <n v="2236.1419712462307"/>
    <n v="4545.8570468360949"/>
  </r>
  <r>
    <s v="Regular"/>
    <x v="0"/>
    <x v="2"/>
    <x v="4"/>
    <x v="0"/>
    <x v="0"/>
    <x v="0"/>
    <x v="0"/>
    <x v="10"/>
    <n v="0"/>
    <n v="0"/>
    <n v="19.457999999999998"/>
    <n v="19.457999999999998"/>
    <n v="19.457999999999998"/>
    <n v="19.457999999999998"/>
    <n v="0"/>
    <x v="0"/>
    <n v="0"/>
    <n v="0"/>
    <n v="3"/>
    <n v="48"/>
    <n v="0"/>
    <n v="65.807999999999993"/>
    <n v="203.07839999999999"/>
    <m/>
    <n v="94.759808934919519"/>
    <n v="192.63738650886071"/>
    <n v="0"/>
    <n v="1280.4920639999998"/>
    <n v="3951.4995071999992"/>
    <n v="0"/>
    <n v="1843.8363622556637"/>
    <n v="3748.3382666894113"/>
  </r>
  <r>
    <s v="Regular"/>
    <x v="0"/>
    <x v="2"/>
    <x v="4"/>
    <x v="0"/>
    <x v="0"/>
    <x v="0"/>
    <x v="0"/>
    <x v="11"/>
    <n v="0"/>
    <n v="0"/>
    <n v="18.079000000000001"/>
    <n v="18.079000000000001"/>
    <n v="18.079000000000001"/>
    <n v="18.079000000000001"/>
    <n v="0"/>
    <x v="0"/>
    <n v="0"/>
    <n v="0"/>
    <n v="3"/>
    <n v="48"/>
    <n v="0"/>
    <n v="65.807999999999993"/>
    <n v="203.07839999999999"/>
    <m/>
    <n v="94.759808934919519"/>
    <n v="192.63738650886071"/>
    <n v="0"/>
    <n v="1189.7428319999999"/>
    <n v="3671.4543936"/>
    <n v="0"/>
    <n v="1713.16258573441"/>
    <n v="3482.6913106936931"/>
  </r>
  <r>
    <s v="Regular"/>
    <x v="0"/>
    <x v="2"/>
    <x v="4"/>
    <x v="0"/>
    <x v="0"/>
    <x v="0"/>
    <x v="2"/>
    <x v="0"/>
    <n v="110"/>
    <n v="110"/>
    <n v="0"/>
    <n v="0"/>
    <n v="0"/>
    <n v="0"/>
    <n v="1"/>
    <x v="0"/>
    <n v="0"/>
    <n v="31"/>
    <n v="0"/>
    <n v="0"/>
    <n v="36.979199999999999"/>
    <n v="0"/>
    <n v="0"/>
    <n v="43.370109275458091"/>
    <m/>
    <m/>
    <n v="4067.712"/>
    <n v="0"/>
    <n v="0"/>
    <n v="4770.7120203003897"/>
    <n v="0"/>
    <n v="0"/>
  </r>
  <r>
    <s v="Regular"/>
    <x v="0"/>
    <x v="2"/>
    <x v="4"/>
    <x v="0"/>
    <x v="0"/>
    <x v="0"/>
    <x v="2"/>
    <x v="1"/>
    <n v="110"/>
    <n v="110"/>
    <n v="0"/>
    <n v="0"/>
    <n v="0"/>
    <n v="0"/>
    <n v="1"/>
    <x v="0"/>
    <n v="0"/>
    <n v="31"/>
    <n v="0"/>
    <n v="0"/>
    <n v="36.979199999999999"/>
    <n v="0"/>
    <n v="0"/>
    <n v="43.370109275458091"/>
    <m/>
    <m/>
    <n v="4067.712"/>
    <n v="0"/>
    <n v="0"/>
    <n v="4770.7120203003897"/>
    <n v="0"/>
    <n v="0"/>
  </r>
  <r>
    <s v="Regular"/>
    <x v="0"/>
    <x v="2"/>
    <x v="4"/>
    <x v="0"/>
    <x v="0"/>
    <x v="0"/>
    <x v="2"/>
    <x v="2"/>
    <n v="110"/>
    <n v="110"/>
    <n v="0"/>
    <n v="0"/>
    <n v="0"/>
    <n v="0"/>
    <n v="1"/>
    <x v="0"/>
    <n v="0"/>
    <n v="31"/>
    <n v="0"/>
    <n v="0"/>
    <n v="36.979199999999999"/>
    <n v="0"/>
    <n v="0"/>
    <n v="43.370109275458091"/>
    <m/>
    <m/>
    <n v="4067.712"/>
    <n v="0"/>
    <n v="0"/>
    <n v="4770.7120203003897"/>
    <n v="0"/>
    <n v="0"/>
  </r>
  <r>
    <s v="Regular"/>
    <x v="0"/>
    <x v="2"/>
    <x v="4"/>
    <x v="0"/>
    <x v="0"/>
    <x v="0"/>
    <x v="2"/>
    <x v="3"/>
    <n v="110"/>
    <n v="110"/>
    <n v="0"/>
    <n v="0"/>
    <n v="0"/>
    <n v="0"/>
    <n v="1"/>
    <x v="0"/>
    <n v="0"/>
    <n v="31"/>
    <n v="0"/>
    <n v="0"/>
    <n v="36.979199999999999"/>
    <n v="0"/>
    <n v="0"/>
    <n v="43.370109275458091"/>
    <m/>
    <m/>
    <n v="4067.712"/>
    <n v="0"/>
    <n v="0"/>
    <n v="4770.7120203003897"/>
    <n v="0"/>
    <n v="0"/>
  </r>
  <r>
    <s v="Regular"/>
    <x v="0"/>
    <x v="2"/>
    <x v="4"/>
    <x v="0"/>
    <x v="0"/>
    <x v="0"/>
    <x v="2"/>
    <x v="4"/>
    <n v="119"/>
    <n v="119"/>
    <n v="0"/>
    <n v="0"/>
    <n v="0"/>
    <n v="0"/>
    <n v="1"/>
    <x v="0"/>
    <n v="0"/>
    <n v="31"/>
    <n v="0"/>
    <n v="0"/>
    <n v="36.979199999999999"/>
    <n v="0"/>
    <n v="0"/>
    <n v="43.370109275458091"/>
    <m/>
    <m/>
    <n v="4400.5248000000001"/>
    <n v="0"/>
    <n v="0"/>
    <n v="5161.0430037795131"/>
    <n v="0"/>
    <n v="0"/>
  </r>
  <r>
    <s v="Regular"/>
    <x v="0"/>
    <x v="2"/>
    <x v="4"/>
    <x v="0"/>
    <x v="0"/>
    <x v="0"/>
    <x v="2"/>
    <x v="5"/>
    <n v="116"/>
    <n v="116"/>
    <n v="0"/>
    <n v="0"/>
    <n v="0"/>
    <n v="0"/>
    <n v="1"/>
    <x v="0"/>
    <n v="0"/>
    <n v="31"/>
    <n v="0"/>
    <n v="0"/>
    <n v="36.979199999999999"/>
    <n v="0"/>
    <n v="0"/>
    <n v="43.370109275458091"/>
    <m/>
    <m/>
    <n v="4289.5871999999999"/>
    <n v="0"/>
    <n v="0"/>
    <n v="5030.9326759531386"/>
    <n v="0"/>
    <n v="0"/>
  </r>
  <r>
    <s v="Regular"/>
    <x v="0"/>
    <x v="2"/>
    <x v="4"/>
    <x v="0"/>
    <x v="0"/>
    <x v="0"/>
    <x v="2"/>
    <x v="6"/>
    <n v="119"/>
    <n v="119"/>
    <n v="0"/>
    <n v="0"/>
    <n v="0"/>
    <n v="0"/>
    <n v="1"/>
    <x v="0"/>
    <n v="0"/>
    <n v="31"/>
    <n v="0"/>
    <n v="0"/>
    <n v="36.979199999999999"/>
    <n v="0"/>
    <n v="0"/>
    <n v="43.370109275458091"/>
    <m/>
    <m/>
    <n v="4400.5248000000001"/>
    <n v="0"/>
    <n v="0"/>
    <n v="5161.0430037795131"/>
    <n v="0"/>
    <n v="0"/>
  </r>
  <r>
    <s v="Regular"/>
    <x v="0"/>
    <x v="2"/>
    <x v="4"/>
    <x v="0"/>
    <x v="0"/>
    <x v="0"/>
    <x v="2"/>
    <x v="7"/>
    <n v="117"/>
    <n v="117"/>
    <n v="0"/>
    <n v="0"/>
    <n v="0"/>
    <n v="0"/>
    <n v="1"/>
    <x v="0"/>
    <n v="0"/>
    <n v="31"/>
    <n v="0"/>
    <n v="0"/>
    <n v="36.979199999999999"/>
    <n v="0"/>
    <n v="0"/>
    <n v="43.370109275458091"/>
    <m/>
    <m/>
    <n v="4326.5663999999997"/>
    <n v="0"/>
    <n v="0"/>
    <n v="5074.3027852285968"/>
    <n v="0"/>
    <n v="0"/>
  </r>
  <r>
    <s v="Regular"/>
    <x v="0"/>
    <x v="2"/>
    <x v="4"/>
    <x v="0"/>
    <x v="0"/>
    <x v="0"/>
    <x v="2"/>
    <x v="8"/>
    <n v="118"/>
    <n v="118"/>
    <n v="0"/>
    <n v="0"/>
    <n v="0"/>
    <n v="0"/>
    <n v="1"/>
    <x v="0"/>
    <n v="0"/>
    <n v="31"/>
    <n v="0"/>
    <n v="0"/>
    <n v="36.979199999999999"/>
    <n v="0"/>
    <n v="0"/>
    <n v="43.370109275458091"/>
    <m/>
    <m/>
    <n v="4363.5455999999995"/>
    <n v="0"/>
    <n v="0"/>
    <n v="5117.672894504055"/>
    <n v="0"/>
    <n v="0"/>
  </r>
  <r>
    <s v="Regular"/>
    <x v="0"/>
    <x v="2"/>
    <x v="4"/>
    <x v="0"/>
    <x v="0"/>
    <x v="0"/>
    <x v="2"/>
    <x v="9"/>
    <n v="111"/>
    <n v="111"/>
    <n v="0"/>
    <n v="0"/>
    <n v="0"/>
    <n v="0"/>
    <n v="1"/>
    <x v="0"/>
    <n v="0"/>
    <n v="31"/>
    <n v="0"/>
    <n v="0"/>
    <n v="36.979199999999999"/>
    <n v="0"/>
    <n v="0"/>
    <n v="43.370109275458091"/>
    <m/>
    <m/>
    <n v="4104.6912000000002"/>
    <n v="0"/>
    <n v="0"/>
    <n v="4814.0821295758478"/>
    <n v="0"/>
    <n v="0"/>
  </r>
  <r>
    <s v="Regular"/>
    <x v="0"/>
    <x v="2"/>
    <x v="4"/>
    <x v="0"/>
    <x v="0"/>
    <x v="0"/>
    <x v="2"/>
    <x v="10"/>
    <n v="110"/>
    <n v="110"/>
    <n v="0"/>
    <n v="0"/>
    <n v="0"/>
    <n v="0"/>
    <n v="1"/>
    <x v="0"/>
    <n v="0"/>
    <n v="31"/>
    <n v="0"/>
    <n v="0"/>
    <n v="36.979199999999999"/>
    <n v="0"/>
    <n v="0"/>
    <n v="43.370109275458091"/>
    <m/>
    <m/>
    <n v="4067.712"/>
    <n v="0"/>
    <n v="0"/>
    <n v="4770.7120203003897"/>
    <n v="0"/>
    <n v="0"/>
  </r>
  <r>
    <s v="Regular"/>
    <x v="0"/>
    <x v="2"/>
    <x v="4"/>
    <x v="0"/>
    <x v="0"/>
    <x v="0"/>
    <x v="2"/>
    <x v="11"/>
    <n v="110"/>
    <n v="110"/>
    <n v="0"/>
    <n v="0"/>
    <n v="0"/>
    <n v="0"/>
    <n v="1"/>
    <x v="0"/>
    <n v="0"/>
    <n v="31"/>
    <n v="0"/>
    <n v="0"/>
    <n v="36.979199999999999"/>
    <n v="0"/>
    <n v="0"/>
    <n v="43.370109275458091"/>
    <m/>
    <m/>
    <n v="4067.712"/>
    <n v="0"/>
    <n v="0"/>
    <n v="4770.7120203003897"/>
    <n v="0"/>
    <n v="0"/>
  </r>
  <r>
    <s v="Regular"/>
    <x v="0"/>
    <x v="2"/>
    <x v="4"/>
    <x v="0"/>
    <x v="0"/>
    <x v="0"/>
    <x v="1"/>
    <x v="0"/>
    <n v="0"/>
    <n v="0"/>
    <n v="0.60699999999999998"/>
    <n v="0.60699999999999998"/>
    <n v="0.60699999999999998"/>
    <n v="0.60699999999999998"/>
    <n v="0"/>
    <x v="0"/>
    <n v="0"/>
    <n v="0"/>
    <n v="15"/>
    <n v="24"/>
    <n v="0"/>
    <n v="2030.7647999999999"/>
    <n v="203.07839999999999"/>
    <m/>
    <n v="2238.5316164441306"/>
    <n v="192.63738650886071"/>
    <n v="0"/>
    <n v="1232.6742336"/>
    <n v="123.26858879999999"/>
    <n v="0"/>
    <n v="1358.7886911815872"/>
    <n v="116.93089361087846"/>
  </r>
  <r>
    <s v="Regular"/>
    <x v="0"/>
    <x v="2"/>
    <x v="4"/>
    <x v="0"/>
    <x v="0"/>
    <x v="0"/>
    <x v="1"/>
    <x v="1"/>
    <n v="0"/>
    <n v="0"/>
    <n v="0.193"/>
    <n v="0.193"/>
    <n v="0.193"/>
    <n v="0.193"/>
    <n v="0"/>
    <x v="0"/>
    <n v="0"/>
    <n v="0"/>
    <n v="15"/>
    <n v="24"/>
    <n v="0"/>
    <n v="2030.7647999999999"/>
    <n v="203.07839999999999"/>
    <m/>
    <n v="2238.5316164441306"/>
    <n v="192.63738650886071"/>
    <n v="0"/>
    <n v="391.93760639999999"/>
    <n v="39.194131200000001"/>
    <n v="0"/>
    <n v="432.03660197371721"/>
    <n v="37.179015596210121"/>
  </r>
  <r>
    <s v="Regular"/>
    <x v="0"/>
    <x v="2"/>
    <x v="4"/>
    <x v="0"/>
    <x v="0"/>
    <x v="0"/>
    <x v="1"/>
    <x v="2"/>
    <n v="0"/>
    <n v="0"/>
    <n v="0.314"/>
    <n v="0.314"/>
    <n v="0.314"/>
    <n v="0.314"/>
    <n v="0"/>
    <x v="0"/>
    <n v="0"/>
    <n v="0"/>
    <n v="15"/>
    <n v="24"/>
    <n v="0"/>
    <n v="2030.7647999999999"/>
    <n v="203.07839999999999"/>
    <m/>
    <n v="2238.5316164441306"/>
    <n v="192.63738650886071"/>
    <n v="0"/>
    <n v="637.66014719999998"/>
    <n v="63.766617599999996"/>
    <n v="0"/>
    <n v="702.89892756345705"/>
    <n v="60.488139363782267"/>
  </r>
  <r>
    <s v="Regular"/>
    <x v="0"/>
    <x v="2"/>
    <x v="4"/>
    <x v="0"/>
    <x v="0"/>
    <x v="0"/>
    <x v="1"/>
    <x v="3"/>
    <n v="0"/>
    <n v="0"/>
    <n v="1.246"/>
    <n v="1.246"/>
    <n v="1.246"/>
    <n v="1.246"/>
    <n v="0"/>
    <x v="0"/>
    <n v="0"/>
    <n v="0"/>
    <n v="15"/>
    <n v="24"/>
    <n v="0"/>
    <n v="2030.7647999999999"/>
    <n v="203.07839999999999"/>
    <m/>
    <n v="2238.5316164441306"/>
    <n v="192.63738650886071"/>
    <n v="0"/>
    <n v="2530.3329408"/>
    <n v="253.03568639999997"/>
    <n v="0"/>
    <n v="2789.2103940893867"/>
    <n v="240.02618359004046"/>
  </r>
  <r>
    <s v="Regular"/>
    <x v="0"/>
    <x v="2"/>
    <x v="4"/>
    <x v="0"/>
    <x v="0"/>
    <x v="0"/>
    <x v="1"/>
    <x v="4"/>
    <n v="0"/>
    <n v="0"/>
    <n v="2.6160000000000001"/>
    <n v="2.6160000000000001"/>
    <n v="2.6160000000000001"/>
    <n v="2.6160000000000001"/>
    <n v="0"/>
    <x v="0"/>
    <n v="0"/>
    <n v="0"/>
    <n v="15"/>
    <n v="24"/>
    <n v="0"/>
    <n v="2030.7647999999999"/>
    <n v="203.07839999999999"/>
    <m/>
    <n v="2238.5316164441306"/>
    <n v="192.63738650886071"/>
    <n v="0"/>
    <n v="5312.4807167999998"/>
    <n v="531.25309440000001"/>
    <n v="0"/>
    <n v="5855.9987086178462"/>
    <n v="503.93940310717966"/>
  </r>
  <r>
    <s v="Regular"/>
    <x v="0"/>
    <x v="2"/>
    <x v="4"/>
    <x v="0"/>
    <x v="0"/>
    <x v="0"/>
    <x v="1"/>
    <x v="5"/>
    <n v="0"/>
    <n v="0"/>
    <n v="3.5259999999999998"/>
    <n v="3.5259999999999998"/>
    <n v="3.5259999999999998"/>
    <n v="3.5259999999999998"/>
    <n v="0"/>
    <x v="0"/>
    <n v="0"/>
    <n v="0"/>
    <n v="15"/>
    <n v="24"/>
    <n v="0"/>
    <n v="2030.7647999999999"/>
    <n v="203.07839999999999"/>
    <m/>
    <n v="2238.5316164441306"/>
    <n v="192.63738650886071"/>
    <n v="0"/>
    <n v="7160.476684799999"/>
    <n v="716.05443839999987"/>
    <n v="0"/>
    <n v="7893.062479582004"/>
    <n v="679.2394248302428"/>
  </r>
  <r>
    <s v="Regular"/>
    <x v="0"/>
    <x v="2"/>
    <x v="4"/>
    <x v="0"/>
    <x v="0"/>
    <x v="0"/>
    <x v="1"/>
    <x v="6"/>
    <n v="0"/>
    <n v="0"/>
    <n v="3.8039999999999998"/>
    <n v="3.8039999999999998"/>
    <n v="3.8039999999999998"/>
    <n v="3.8039999999999998"/>
    <n v="0"/>
    <x v="0"/>
    <n v="0"/>
    <n v="0"/>
    <n v="15"/>
    <n v="24"/>
    <n v="0"/>
    <n v="2030.7647999999999"/>
    <n v="203.07839999999999"/>
    <m/>
    <n v="2238.5316164441306"/>
    <n v="192.63738650886071"/>
    <n v="0"/>
    <n v="7725.0292991999995"/>
    <n v="772.51023359999988"/>
    <n v="0"/>
    <n v="8515.374268953472"/>
    <n v="732.79261827970618"/>
  </r>
  <r>
    <s v="Regular"/>
    <x v="0"/>
    <x v="2"/>
    <x v="4"/>
    <x v="0"/>
    <x v="0"/>
    <x v="0"/>
    <x v="1"/>
    <x v="7"/>
    <n v="0"/>
    <n v="0"/>
    <n v="3.0819999999999999"/>
    <n v="3.0819999999999999"/>
    <n v="3.0819999999999999"/>
    <n v="3.0819999999999999"/>
    <n v="0"/>
    <x v="0"/>
    <n v="0"/>
    <n v="0"/>
    <n v="15"/>
    <n v="24"/>
    <n v="0"/>
    <n v="2030.7647999999999"/>
    <n v="203.07839999999999"/>
    <m/>
    <n v="2238.5316164441306"/>
    <n v="192.63738650886071"/>
    <n v="0"/>
    <n v="6258.8171135999992"/>
    <n v="625.8876287999999"/>
    <n v="0"/>
    <n v="6899.1544418808098"/>
    <n v="593.70842522030864"/>
  </r>
  <r>
    <s v="Regular"/>
    <x v="0"/>
    <x v="2"/>
    <x v="4"/>
    <x v="0"/>
    <x v="0"/>
    <x v="0"/>
    <x v="1"/>
    <x v="8"/>
    <n v="0"/>
    <n v="0"/>
    <n v="2.762"/>
    <n v="2.762"/>
    <n v="2.762"/>
    <n v="2.762"/>
    <n v="0"/>
    <x v="0"/>
    <n v="0"/>
    <n v="0"/>
    <n v="15"/>
    <n v="24"/>
    <n v="0"/>
    <n v="2030.7647999999999"/>
    <n v="203.07839999999999"/>
    <m/>
    <n v="2238.5316164441306"/>
    <n v="192.63738650886071"/>
    <n v="0"/>
    <n v="5608.9723776000001"/>
    <n v="560.9025408"/>
    <n v="0"/>
    <n v="6182.8243246186885"/>
    <n v="532.06446153747333"/>
  </r>
  <r>
    <s v="Regular"/>
    <x v="0"/>
    <x v="2"/>
    <x v="4"/>
    <x v="0"/>
    <x v="0"/>
    <x v="0"/>
    <x v="1"/>
    <x v="9"/>
    <n v="0"/>
    <n v="0"/>
    <n v="1.7370000000000001"/>
    <n v="1.7370000000000001"/>
    <n v="1.7370000000000001"/>
    <n v="1.7370000000000001"/>
    <n v="0"/>
    <x v="0"/>
    <n v="0"/>
    <n v="0"/>
    <n v="15"/>
    <n v="24"/>
    <n v="0"/>
    <n v="2030.7647999999999"/>
    <n v="203.07839999999999"/>
    <m/>
    <n v="2238.5316164441306"/>
    <n v="192.63738650886071"/>
    <n v="0"/>
    <n v="3527.4384576000002"/>
    <n v="352.74718080000002"/>
    <n v="0"/>
    <n v="3888.3294177634552"/>
    <n v="334.61114036589106"/>
  </r>
  <r>
    <s v="Regular"/>
    <x v="0"/>
    <x v="2"/>
    <x v="4"/>
    <x v="0"/>
    <x v="0"/>
    <x v="0"/>
    <x v="1"/>
    <x v="10"/>
    <n v="0"/>
    <n v="0"/>
    <n v="1.429"/>
    <n v="1.429"/>
    <n v="1.429"/>
    <n v="1.429"/>
    <n v="0"/>
    <x v="0"/>
    <n v="0"/>
    <n v="0"/>
    <n v="15"/>
    <n v="24"/>
    <n v="0"/>
    <n v="2030.7647999999999"/>
    <n v="203.07839999999999"/>
    <m/>
    <n v="2238.5316164441306"/>
    <n v="192.63738650886071"/>
    <n v="0"/>
    <n v="2901.9628991999998"/>
    <n v="290.19903360000001"/>
    <n v="0"/>
    <n v="3198.8616798986627"/>
    <n v="275.27882532116195"/>
  </r>
  <r>
    <s v="Regular"/>
    <x v="0"/>
    <x v="2"/>
    <x v="4"/>
    <x v="0"/>
    <x v="0"/>
    <x v="0"/>
    <x v="1"/>
    <x v="11"/>
    <n v="0"/>
    <n v="0"/>
    <n v="1.288"/>
    <n v="1.288"/>
    <n v="1.288"/>
    <n v="1.288"/>
    <n v="0"/>
    <x v="0"/>
    <n v="0"/>
    <n v="0"/>
    <n v="15"/>
    <n v="24"/>
    <n v="0"/>
    <n v="2030.7647999999999"/>
    <n v="203.07839999999999"/>
    <m/>
    <n v="2238.5316164441306"/>
    <n v="192.63738650886071"/>
    <n v="0"/>
    <n v="2615.6250623999999"/>
    <n v="261.56497919999998"/>
    <n v="0"/>
    <n v="2883.2287219800401"/>
    <n v="248.11695382341262"/>
  </r>
  <r>
    <s v="Regular"/>
    <x v="1"/>
    <x v="3"/>
    <x v="5"/>
    <x v="2"/>
    <x v="0"/>
    <x v="0"/>
    <x v="2"/>
    <x v="0"/>
    <n v="0"/>
    <n v="0"/>
    <n v="373.61099999999999"/>
    <n v="373.61099999999999"/>
    <n v="373.61099999999999"/>
    <n v="373.61099999999999"/>
    <n v="2299"/>
    <x v="0"/>
    <n v="0"/>
    <n v="0"/>
    <n v="20"/>
    <n v="62"/>
    <n v="0"/>
    <n v="489.03"/>
    <n v="211.54"/>
    <m/>
    <n v="570.88759713673926"/>
    <n v="196.56876174373542"/>
    <n v="0"/>
    <n v="182706.98732999997"/>
    <n v="79033.670939999996"/>
    <n v="0"/>
    <n v="213289.88605385428"/>
    <n v="73440.251643838739"/>
  </r>
  <r>
    <s v="Refaturamento - Regular"/>
    <x v="1"/>
    <x v="3"/>
    <x v="5"/>
    <x v="2"/>
    <x v="0"/>
    <x v="0"/>
    <x v="2"/>
    <x v="0"/>
    <n v="0"/>
    <n v="0"/>
    <n v="-1.41"/>
    <n v="-1.41"/>
    <n v="-1.41"/>
    <n v="-1.41"/>
    <n v="0"/>
    <x v="0"/>
    <n v="0"/>
    <n v="0"/>
    <n v="20"/>
    <n v="62"/>
    <n v="0"/>
    <n v="489.03"/>
    <n v="211.54"/>
    <m/>
    <n v="570.88759713673926"/>
    <n v="196.56876174373542"/>
    <n v="0"/>
    <n v="-689.53229999999996"/>
    <n v="-298.27139999999997"/>
    <n v="0"/>
    <n v="-804.95151196280233"/>
    <n v="-277.16195405866694"/>
  </r>
  <r>
    <s v="Sistema de Compensação"/>
    <x v="1"/>
    <x v="3"/>
    <x v="5"/>
    <x v="2"/>
    <x v="0"/>
    <x v="0"/>
    <x v="2"/>
    <x v="0"/>
    <n v="0"/>
    <n v="0"/>
    <n v="1.0149999999999999"/>
    <n v="1.0149999999999999"/>
    <n v="1.0149999999999999"/>
    <n v="1.0149999999999999"/>
    <n v="14"/>
    <x v="0"/>
    <n v="0"/>
    <n v="0"/>
    <n v="20"/>
    <n v="62"/>
    <n v="0"/>
    <n v="489.03"/>
    <n v="211.54"/>
    <m/>
    <n v="570.88759713673926"/>
    <n v="196.56876174373542"/>
    <n v="0"/>
    <n v="496.3654499999999"/>
    <n v="214.71309999999997"/>
    <n v="0"/>
    <n v="579.4509110937903"/>
    <n v="199.51729316989145"/>
  </r>
  <r>
    <s v="Regular"/>
    <x v="1"/>
    <x v="3"/>
    <x v="5"/>
    <x v="2"/>
    <x v="0"/>
    <x v="0"/>
    <x v="2"/>
    <x v="1"/>
    <n v="0"/>
    <n v="0"/>
    <n v="390.56099999999998"/>
    <n v="390.56099999999998"/>
    <n v="390.56099999999998"/>
    <n v="390.56099999999998"/>
    <n v="2325"/>
    <x v="0"/>
    <n v="0"/>
    <n v="0"/>
    <n v="20"/>
    <n v="62"/>
    <n v="0"/>
    <n v="489.03"/>
    <n v="211.54"/>
    <m/>
    <n v="570.88759713673926"/>
    <n v="196.56876174373542"/>
    <n v="0"/>
    <n v="190996.04582999999"/>
    <n v="82619.273939999999"/>
    <n v="0"/>
    <n v="222966.43082532202"/>
    <n v="76772.092155395047"/>
  </r>
  <r>
    <s v="Refaturamento - Regular"/>
    <x v="1"/>
    <x v="3"/>
    <x v="5"/>
    <x v="2"/>
    <x v="0"/>
    <x v="0"/>
    <x v="2"/>
    <x v="1"/>
    <n v="0"/>
    <n v="0"/>
    <n v="-4.266"/>
    <n v="-4.266"/>
    <n v="-4.266"/>
    <n v="-4.266"/>
    <n v="0"/>
    <x v="0"/>
    <n v="0"/>
    <n v="0"/>
    <n v="20"/>
    <n v="62"/>
    <n v="0"/>
    <n v="489.03"/>
    <n v="211.54"/>
    <m/>
    <n v="570.88759713673926"/>
    <n v="196.56876174373542"/>
    <n v="0"/>
    <n v="-2086.2019799999998"/>
    <n v="-902.42963999999995"/>
    <n v="0"/>
    <n v="-2435.4064893853297"/>
    <n v="-838.56233759877534"/>
  </r>
  <r>
    <s v="Regular"/>
    <x v="1"/>
    <x v="3"/>
    <x v="5"/>
    <x v="2"/>
    <x v="0"/>
    <x v="0"/>
    <x v="2"/>
    <x v="2"/>
    <n v="0"/>
    <n v="0"/>
    <n v="364.50099999999998"/>
    <n v="364.50099999999998"/>
    <n v="364.50099999999998"/>
    <n v="364.50099999999998"/>
    <n v="2331"/>
    <x v="0"/>
    <n v="0"/>
    <n v="0"/>
    <n v="20"/>
    <n v="62"/>
    <n v="0"/>
    <n v="489.03"/>
    <n v="211.54"/>
    <m/>
    <n v="570.88759713673926"/>
    <n v="196.56876174373542"/>
    <n v="0"/>
    <n v="178251.92402999997"/>
    <n v="77106.541539999991"/>
    <n v="0"/>
    <n v="208089.10004393858"/>
    <n v="71649.510224353304"/>
  </r>
  <r>
    <s v="Refaturamento - Regular"/>
    <x v="1"/>
    <x v="3"/>
    <x v="5"/>
    <x v="2"/>
    <x v="0"/>
    <x v="0"/>
    <x v="2"/>
    <x v="2"/>
    <n v="0"/>
    <n v="0"/>
    <n v="-1.931"/>
    <n v="-1.931"/>
    <n v="-1.931"/>
    <n v="-1.931"/>
    <n v="0"/>
    <x v="0"/>
    <n v="0"/>
    <n v="0"/>
    <n v="20"/>
    <n v="62"/>
    <n v="0"/>
    <n v="489.03"/>
    <n v="211.54"/>
    <m/>
    <n v="570.88759713673926"/>
    <n v="196.56876174373542"/>
    <n v="0"/>
    <n v="-944.31692999999996"/>
    <n v="-408.48374000000001"/>
    <n v="0"/>
    <n v="-1102.3839500710435"/>
    <n v="-379.5742789271531"/>
  </r>
  <r>
    <s v="Sistema de Compensação"/>
    <x v="1"/>
    <x v="3"/>
    <x v="5"/>
    <x v="2"/>
    <x v="0"/>
    <x v="0"/>
    <x v="2"/>
    <x v="2"/>
    <n v="0"/>
    <n v="0"/>
    <n v="1.6839999999999999"/>
    <n v="1.6839999999999999"/>
    <n v="1.6839999999999999"/>
    <n v="1.6839999999999999"/>
    <n v="20"/>
    <x v="0"/>
    <n v="0"/>
    <n v="0"/>
    <n v="20"/>
    <n v="62"/>
    <n v="0"/>
    <n v="489.03"/>
    <n v="211.54"/>
    <m/>
    <n v="570.88759713673926"/>
    <n v="196.56876174373542"/>
    <n v="0"/>
    <n v="823.52651999999989"/>
    <n v="356.23335999999995"/>
    <n v="0"/>
    <n v="961.37471357826882"/>
    <n v="331.02179477645046"/>
  </r>
  <r>
    <s v="Regular"/>
    <x v="1"/>
    <x v="3"/>
    <x v="5"/>
    <x v="2"/>
    <x v="0"/>
    <x v="0"/>
    <x v="2"/>
    <x v="3"/>
    <n v="0"/>
    <n v="0"/>
    <n v="386.245"/>
    <n v="386.245"/>
    <n v="386.245"/>
    <n v="386.245"/>
    <n v="2342"/>
    <x v="0"/>
    <n v="0"/>
    <n v="0"/>
    <n v="20"/>
    <n v="62"/>
    <n v="0"/>
    <n v="489.03"/>
    <n v="211.54"/>
    <m/>
    <n v="570.88759713673926"/>
    <n v="196.56876174373542"/>
    <n v="0"/>
    <n v="188885.39234999998"/>
    <n v="81706.267299999992"/>
    <n v="0"/>
    <n v="220502.47995607986"/>
    <n v="75923.701379709091"/>
  </r>
  <r>
    <s v="Refaturamento - Regular"/>
    <x v="1"/>
    <x v="3"/>
    <x v="5"/>
    <x v="2"/>
    <x v="0"/>
    <x v="0"/>
    <x v="2"/>
    <x v="3"/>
    <n v="0"/>
    <n v="0"/>
    <n v="-4.8209999999999997"/>
    <n v="-4.8209999999999997"/>
    <n v="-4.8209999999999997"/>
    <n v="-4.8209999999999997"/>
    <n v="0"/>
    <x v="0"/>
    <n v="0"/>
    <n v="0"/>
    <n v="20"/>
    <n v="62"/>
    <n v="0"/>
    <n v="489.03"/>
    <n v="211.54"/>
    <m/>
    <n v="570.88759713673926"/>
    <n v="196.56876174373542"/>
    <n v="0"/>
    <n v="-2357.6136299999998"/>
    <n v="-1019.8343399999999"/>
    <n v="0"/>
    <n v="-2752.2491057962197"/>
    <n v="-947.65800036654844"/>
  </r>
  <r>
    <s v="Sistema de Compensação"/>
    <x v="1"/>
    <x v="3"/>
    <x v="5"/>
    <x v="2"/>
    <x v="0"/>
    <x v="0"/>
    <x v="2"/>
    <x v="3"/>
    <n v="0"/>
    <n v="0"/>
    <n v="1.2250000000000001"/>
    <n v="1.2250000000000001"/>
    <n v="1.2250000000000001"/>
    <n v="1.2250000000000001"/>
    <n v="21"/>
    <x v="0"/>
    <n v="0"/>
    <n v="0"/>
    <n v="20"/>
    <n v="62"/>
    <n v="0"/>
    <n v="489.03"/>
    <n v="211.54"/>
    <m/>
    <n v="570.88759713673926"/>
    <n v="196.56876174373542"/>
    <n v="0"/>
    <n v="599.06174999999996"/>
    <n v="259.13650000000001"/>
    <n v="0"/>
    <n v="699.3373064925056"/>
    <n v="240.79673313607591"/>
  </r>
  <r>
    <s v="Sistema de Compensação"/>
    <x v="1"/>
    <x v="3"/>
    <x v="5"/>
    <x v="2"/>
    <x v="0"/>
    <x v="0"/>
    <x v="2"/>
    <x v="3"/>
    <n v="0"/>
    <n v="0"/>
    <n v="-0.26900000000000002"/>
    <n v="-0.26900000000000002"/>
    <n v="-0.26900000000000002"/>
    <n v="-0.26900000000000002"/>
    <n v="2"/>
    <x v="0"/>
    <n v="0"/>
    <n v="0"/>
    <n v="20"/>
    <n v="62"/>
    <n v="0"/>
    <n v="489.03"/>
    <n v="211.54"/>
    <m/>
    <n v="570.88759713673926"/>
    <n v="196.56876174373542"/>
    <n v="0"/>
    <n v="-131.54907"/>
    <n v="-56.904260000000001"/>
    <n v="0"/>
    <n v="-153.56876362978286"/>
    <n v="-52.876996909064829"/>
  </r>
  <r>
    <s v="Regular"/>
    <x v="1"/>
    <x v="3"/>
    <x v="5"/>
    <x v="2"/>
    <x v="0"/>
    <x v="0"/>
    <x v="2"/>
    <x v="4"/>
    <n v="0"/>
    <n v="0"/>
    <n v="354.29500000000002"/>
    <n v="354.29500000000002"/>
    <n v="354.29500000000002"/>
    <n v="354.29500000000002"/>
    <n v="2347"/>
    <x v="0"/>
    <n v="0"/>
    <n v="0"/>
    <n v="20"/>
    <n v="62"/>
    <n v="0"/>
    <n v="489.03"/>
    <n v="211.54"/>
    <m/>
    <n v="570.88759713673926"/>
    <n v="196.56876174373542"/>
    <n v="0"/>
    <n v="173260.88384999998"/>
    <n v="74947.564299999998"/>
    <n v="0"/>
    <n v="202262.62122756103"/>
    <n v="69643.329441996742"/>
  </r>
  <r>
    <s v="Refaturamento - Regular"/>
    <x v="1"/>
    <x v="3"/>
    <x v="5"/>
    <x v="2"/>
    <x v="0"/>
    <x v="0"/>
    <x v="2"/>
    <x v="4"/>
    <n v="0"/>
    <n v="0"/>
    <n v="-6.1360000000000001"/>
    <n v="-6.1360000000000001"/>
    <n v="-6.1360000000000001"/>
    <n v="-6.1360000000000001"/>
    <n v="0"/>
    <x v="0"/>
    <n v="0"/>
    <n v="0"/>
    <n v="20"/>
    <n v="62"/>
    <n v="0"/>
    <n v="489.03"/>
    <n v="211.54"/>
    <m/>
    <n v="570.88759713673926"/>
    <n v="196.56876174373542"/>
    <n v="0"/>
    <n v="-3000.6880799999999"/>
    <n v="-1298.00944"/>
    <n v="0"/>
    <n v="-3502.966296031032"/>
    <n v="-1206.1459220595605"/>
  </r>
  <r>
    <s v="Sistema de Compensação"/>
    <x v="1"/>
    <x v="3"/>
    <x v="5"/>
    <x v="2"/>
    <x v="0"/>
    <x v="0"/>
    <x v="2"/>
    <x v="4"/>
    <n v="0"/>
    <n v="0"/>
    <n v="1.427"/>
    <n v="1.427"/>
    <n v="1.427"/>
    <n v="1.427"/>
    <n v="23"/>
    <x v="0"/>
    <n v="0"/>
    <n v="0"/>
    <n v="20"/>
    <n v="62"/>
    <n v="0"/>
    <n v="489.03"/>
    <n v="211.54"/>
    <m/>
    <n v="570.88759713673926"/>
    <n v="196.56876174373542"/>
    <n v="0"/>
    <n v="697.84581000000003"/>
    <n v="301.86757999999998"/>
    <n v="0"/>
    <n v="814.65660111412694"/>
    <n v="280.50362300831046"/>
  </r>
  <r>
    <s v="Regular"/>
    <x v="1"/>
    <x v="3"/>
    <x v="5"/>
    <x v="2"/>
    <x v="0"/>
    <x v="0"/>
    <x v="2"/>
    <x v="5"/>
    <n v="0"/>
    <n v="0"/>
    <n v="418.39699999999999"/>
    <n v="418.39699999999999"/>
    <n v="418.39699999999999"/>
    <n v="418.39699999999999"/>
    <n v="2402"/>
    <x v="0"/>
    <n v="0"/>
    <n v="0"/>
    <n v="20"/>
    <n v="62"/>
    <n v="0"/>
    <n v="489.03"/>
    <n v="211.54"/>
    <m/>
    <n v="570.88759713673926"/>
    <n v="196.56876174373542"/>
    <n v="0"/>
    <n v="204608.68490999998"/>
    <n v="88507.701379999999"/>
    <n v="0"/>
    <n v="238857.6579792203"/>
    <n v="82243.780207293661"/>
  </r>
  <r>
    <s v="Refaturamento - Regular"/>
    <x v="1"/>
    <x v="3"/>
    <x v="5"/>
    <x v="2"/>
    <x v="0"/>
    <x v="0"/>
    <x v="2"/>
    <x v="5"/>
    <n v="0"/>
    <n v="0"/>
    <n v="-1.6339999999999999"/>
    <n v="-1.6339999999999999"/>
    <n v="-1.6339999999999999"/>
    <n v="-1.6339999999999999"/>
    <n v="0"/>
    <x v="0"/>
    <n v="0"/>
    <n v="0"/>
    <n v="20"/>
    <n v="62"/>
    <n v="0"/>
    <n v="489.03"/>
    <n v="211.54"/>
    <m/>
    <n v="570.88759713673926"/>
    <n v="196.56876174373542"/>
    <n v="0"/>
    <n v="-799.07501999999988"/>
    <n v="-345.65635999999995"/>
    <n v="0"/>
    <n v="-932.83033372143188"/>
    <n v="-321.19335668926368"/>
  </r>
  <r>
    <s v="Sistema de Compensação"/>
    <x v="1"/>
    <x v="3"/>
    <x v="5"/>
    <x v="2"/>
    <x v="0"/>
    <x v="0"/>
    <x v="2"/>
    <x v="5"/>
    <n v="0"/>
    <n v="0"/>
    <n v="1.5840000000000001"/>
    <n v="1.5840000000000001"/>
    <n v="1.5840000000000001"/>
    <n v="1.5840000000000001"/>
    <n v="28"/>
    <x v="0"/>
    <n v="0"/>
    <n v="0"/>
    <n v="20"/>
    <n v="62"/>
    <n v="0"/>
    <n v="489.03"/>
    <n v="211.54"/>
    <m/>
    <n v="570.88759713673926"/>
    <n v="196.56876174373542"/>
    <n v="0"/>
    <n v="774.62351999999998"/>
    <n v="335.07936000000001"/>
    <n v="0"/>
    <n v="904.28595386459506"/>
    <n v="311.3649186020769"/>
  </r>
  <r>
    <s v="Regular"/>
    <x v="1"/>
    <x v="3"/>
    <x v="5"/>
    <x v="2"/>
    <x v="0"/>
    <x v="0"/>
    <x v="2"/>
    <x v="6"/>
    <n v="0"/>
    <n v="0"/>
    <n v="476.59500000000003"/>
    <n v="476.59500000000003"/>
    <n v="476.59500000000003"/>
    <n v="476.59500000000003"/>
    <n v="2381"/>
    <x v="0"/>
    <n v="0"/>
    <n v="0"/>
    <n v="20"/>
    <n v="62"/>
    <n v="0"/>
    <n v="489.03"/>
    <n v="211.54"/>
    <m/>
    <n v="570.88759713673926"/>
    <n v="196.56876174373542"/>
    <n v="0"/>
    <n v="233069.25284999999"/>
    <n v="100818.9063"/>
    <n v="0"/>
    <n v="272082.17435738427"/>
    <n v="93683.689003255582"/>
  </r>
  <r>
    <s v="Refaturamento - Regular"/>
    <x v="1"/>
    <x v="3"/>
    <x v="5"/>
    <x v="2"/>
    <x v="0"/>
    <x v="0"/>
    <x v="2"/>
    <x v="6"/>
    <n v="0"/>
    <n v="0"/>
    <n v="-0.69899999999999995"/>
    <n v="-0.69899999999999995"/>
    <n v="-0.69899999999999995"/>
    <n v="-0.69899999999999995"/>
    <n v="0"/>
    <x v="0"/>
    <n v="0"/>
    <n v="0"/>
    <n v="20"/>
    <n v="62"/>
    <n v="0"/>
    <n v="489.03"/>
    <n v="211.54"/>
    <m/>
    <n v="570.88759713673926"/>
    <n v="196.56876174373542"/>
    <n v="0"/>
    <n v="-341.83196999999996"/>
    <n v="-147.86645999999999"/>
    <n v="0"/>
    <n v="-399.05043039858072"/>
    <n v="-137.40156445887106"/>
  </r>
  <r>
    <s v="Sistema de Compensação"/>
    <x v="1"/>
    <x v="3"/>
    <x v="5"/>
    <x v="2"/>
    <x v="0"/>
    <x v="0"/>
    <x v="2"/>
    <x v="6"/>
    <n v="0"/>
    <n v="0"/>
    <n v="3.1269999999999998"/>
    <n v="3.1269999999999998"/>
    <n v="3.1269999999999998"/>
    <n v="3.1269999999999998"/>
    <n v="31"/>
    <x v="0"/>
    <n v="0"/>
    <n v="0"/>
    <n v="20"/>
    <n v="62"/>
    <n v="0"/>
    <n v="489.03"/>
    <n v="211.54"/>
    <m/>
    <n v="570.88759713673926"/>
    <n v="196.56876174373542"/>
    <n v="0"/>
    <n v="1529.1968099999999"/>
    <n v="661.48557999999991"/>
    <n v="0"/>
    <n v="1785.1655162465836"/>
    <n v="614.6705179726606"/>
  </r>
  <r>
    <s v="Regular"/>
    <x v="1"/>
    <x v="3"/>
    <x v="5"/>
    <x v="2"/>
    <x v="0"/>
    <x v="0"/>
    <x v="2"/>
    <x v="7"/>
    <n v="0"/>
    <n v="0"/>
    <n v="448.05700000000002"/>
    <n v="448.05700000000002"/>
    <n v="448.05700000000002"/>
    <n v="448.05700000000002"/>
    <n v="2310"/>
    <x v="0"/>
    <n v="0"/>
    <n v="0"/>
    <n v="20"/>
    <n v="62"/>
    <n v="0"/>
    <n v="489.03"/>
    <n v="211.54"/>
    <m/>
    <n v="570.88759713673926"/>
    <n v="196.56876174373542"/>
    <n v="0"/>
    <n v="219113.31471000001"/>
    <n v="94781.977780000001"/>
    <n v="0"/>
    <n v="255790.18411029599"/>
    <n v="88074.009680612871"/>
  </r>
  <r>
    <s v="Refaturamento - Regular"/>
    <x v="1"/>
    <x v="3"/>
    <x v="5"/>
    <x v="2"/>
    <x v="0"/>
    <x v="0"/>
    <x v="2"/>
    <x v="7"/>
    <n v="0"/>
    <n v="0"/>
    <n v="-9.7710000000000008"/>
    <n v="-9.7710000000000008"/>
    <n v="-9.7710000000000008"/>
    <n v="-9.7710000000000008"/>
    <n v="0"/>
    <x v="0"/>
    <n v="0"/>
    <n v="0"/>
    <n v="20"/>
    <n v="62"/>
    <n v="0"/>
    <n v="489.03"/>
    <n v="211.54"/>
    <m/>
    <n v="570.88759713673926"/>
    <n v="196.56876174373542"/>
    <n v="0"/>
    <n v="-4778.3121300000003"/>
    <n v="-2066.9573399999999"/>
    <n v="0"/>
    <n v="-5578.1427116230798"/>
    <n v="-1920.673370998039"/>
  </r>
  <r>
    <s v="Sistema de Compensação"/>
    <x v="1"/>
    <x v="3"/>
    <x v="5"/>
    <x v="2"/>
    <x v="0"/>
    <x v="0"/>
    <x v="2"/>
    <x v="7"/>
    <n v="0"/>
    <n v="0"/>
    <n v="2.4260000000000002"/>
    <n v="2.4260000000000002"/>
    <n v="2.4260000000000002"/>
    <n v="2.4260000000000002"/>
    <n v="35"/>
    <x v="0"/>
    <n v="0"/>
    <n v="0"/>
    <n v="20"/>
    <n v="62"/>
    <n v="0"/>
    <n v="489.03"/>
    <n v="211.54"/>
    <m/>
    <n v="570.88759713673926"/>
    <n v="196.56876174373542"/>
    <n v="0"/>
    <n v="1186.38678"/>
    <n v="513.19604000000004"/>
    <n v="0"/>
    <n v="1384.9733106537296"/>
    <n v="476.87581599030216"/>
  </r>
  <r>
    <s v="Regular"/>
    <x v="1"/>
    <x v="3"/>
    <x v="5"/>
    <x v="2"/>
    <x v="0"/>
    <x v="0"/>
    <x v="2"/>
    <x v="8"/>
    <n v="0"/>
    <n v="0"/>
    <n v="414.14699999999999"/>
    <n v="414.14699999999999"/>
    <n v="414.14699999999999"/>
    <n v="414.14699999999999"/>
    <n v="2246"/>
    <x v="0"/>
    <n v="0"/>
    <n v="0"/>
    <n v="20"/>
    <n v="62"/>
    <n v="0"/>
    <n v="489.03"/>
    <n v="211.54"/>
    <m/>
    <n v="570.88759713673926"/>
    <n v="196.56876174373542"/>
    <n v="0"/>
    <n v="202530.30740999998"/>
    <n v="87608.65638"/>
    <n v="0"/>
    <n v="236431.38569138915"/>
    <n v="81408.362969882786"/>
  </r>
  <r>
    <s v="Refaturamento - Regular"/>
    <x v="1"/>
    <x v="3"/>
    <x v="5"/>
    <x v="2"/>
    <x v="0"/>
    <x v="0"/>
    <x v="2"/>
    <x v="8"/>
    <n v="0"/>
    <n v="0"/>
    <n v="-4.1360000000000001"/>
    <n v="-4.1360000000000001"/>
    <n v="-4.1360000000000001"/>
    <n v="-4.1360000000000001"/>
    <n v="0"/>
    <x v="0"/>
    <n v="0"/>
    <n v="0"/>
    <n v="20"/>
    <n v="62"/>
    <n v="0"/>
    <n v="489.03"/>
    <n v="211.54"/>
    <m/>
    <n v="570.88759713673926"/>
    <n v="196.56876174373542"/>
    <n v="0"/>
    <n v="-2022.62808"/>
    <n v="-874.92944"/>
    <n v="0"/>
    <n v="-2361.1911017575535"/>
    <n v="-813.00839857208973"/>
  </r>
  <r>
    <s v="Sistema de Compensação"/>
    <x v="1"/>
    <x v="3"/>
    <x v="5"/>
    <x v="2"/>
    <x v="0"/>
    <x v="0"/>
    <x v="2"/>
    <x v="8"/>
    <n v="0"/>
    <n v="0"/>
    <n v="5.5460000000000003"/>
    <n v="5.5460000000000003"/>
    <n v="5.5460000000000003"/>
    <n v="5.5460000000000003"/>
    <n v="44"/>
    <x v="0"/>
    <n v="0"/>
    <n v="0"/>
    <n v="20"/>
    <n v="62"/>
    <n v="0"/>
    <n v="489.03"/>
    <n v="211.54"/>
    <m/>
    <n v="570.88759713673926"/>
    <n v="196.56876174373542"/>
    <n v="0"/>
    <n v="2712.1603799999998"/>
    <n v="1173.20084"/>
    <n v="0"/>
    <n v="3166.1426137203562"/>
    <n v="1090.1703526307567"/>
  </r>
  <r>
    <s v="Regular"/>
    <x v="1"/>
    <x v="3"/>
    <x v="5"/>
    <x v="2"/>
    <x v="0"/>
    <x v="0"/>
    <x v="2"/>
    <x v="9"/>
    <n v="0"/>
    <n v="0"/>
    <n v="399.78699999999998"/>
    <n v="399.78699999999998"/>
    <n v="399.78699999999998"/>
    <n v="399.78699999999998"/>
    <n v="2262"/>
    <x v="0"/>
    <n v="0"/>
    <n v="0"/>
    <n v="20"/>
    <n v="62"/>
    <n v="0"/>
    <n v="489.03"/>
    <n v="211.54"/>
    <m/>
    <n v="570.88759713673926"/>
    <n v="196.56876174373542"/>
    <n v="0"/>
    <n v="195507.83660999997"/>
    <n v="84570.941979999989"/>
    <n v="0"/>
    <n v="228233.43979650555"/>
    <n v="78585.635551242754"/>
  </r>
  <r>
    <s v="Refaturamento - Regular"/>
    <x v="1"/>
    <x v="3"/>
    <x v="5"/>
    <x v="2"/>
    <x v="0"/>
    <x v="0"/>
    <x v="2"/>
    <x v="9"/>
    <n v="0"/>
    <n v="0"/>
    <n v="-1.4179999999999999"/>
    <n v="-1.4179999999999999"/>
    <n v="-1.4179999999999999"/>
    <n v="-1.4179999999999999"/>
    <n v="0"/>
    <x v="0"/>
    <n v="0"/>
    <n v="0"/>
    <n v="20"/>
    <n v="62"/>
    <n v="0"/>
    <n v="489.03"/>
    <n v="211.54"/>
    <m/>
    <n v="570.88759713673926"/>
    <n v="196.56876174373542"/>
    <n v="0"/>
    <n v="-693.44453999999996"/>
    <n v="-299.96371999999997"/>
    <n v="0"/>
    <n v="-809.51861273989618"/>
    <n v="-278.73450415261681"/>
  </r>
  <r>
    <s v="Sistema de Compensação"/>
    <x v="1"/>
    <x v="3"/>
    <x v="5"/>
    <x v="2"/>
    <x v="0"/>
    <x v="0"/>
    <x v="2"/>
    <x v="9"/>
    <n v="0"/>
    <n v="0"/>
    <n v="5.649"/>
    <n v="5.649"/>
    <n v="5.649"/>
    <n v="5.649"/>
    <n v="49"/>
    <x v="0"/>
    <n v="0"/>
    <n v="0"/>
    <n v="20"/>
    <n v="62"/>
    <n v="0"/>
    <n v="489.03"/>
    <n v="211.54"/>
    <m/>
    <n v="570.88759713673926"/>
    <n v="196.56876174373542"/>
    <n v="0"/>
    <n v="2762.5304699999997"/>
    <n v="1194.98946"/>
    <n v="0"/>
    <n v="3224.94403622544"/>
    <n v="1110.4169350903614"/>
  </r>
  <r>
    <s v="Regular"/>
    <x v="1"/>
    <x v="3"/>
    <x v="5"/>
    <x v="2"/>
    <x v="0"/>
    <x v="0"/>
    <x v="2"/>
    <x v="10"/>
    <n v="0"/>
    <n v="0"/>
    <n v="393.137"/>
    <n v="393.137"/>
    <n v="393.137"/>
    <n v="393.137"/>
    <n v="2399"/>
    <x v="0"/>
    <n v="0"/>
    <n v="0"/>
    <n v="20"/>
    <n v="62"/>
    <n v="0"/>
    <n v="489.03"/>
    <n v="211.54"/>
    <m/>
    <n v="570.88759713673926"/>
    <n v="196.56876174373542"/>
    <n v="0"/>
    <n v="192255.78710999998"/>
    <n v="83164.200979999994"/>
    <n v="0"/>
    <n v="224437.03727554626"/>
    <n v="77278.453285646916"/>
  </r>
  <r>
    <s v="Refaturamento - Regular"/>
    <x v="1"/>
    <x v="3"/>
    <x v="5"/>
    <x v="2"/>
    <x v="0"/>
    <x v="0"/>
    <x v="2"/>
    <x v="10"/>
    <n v="0"/>
    <n v="0"/>
    <n v="-1.246"/>
    <n v="-1.246"/>
    <n v="-1.246"/>
    <n v="-1.246"/>
    <n v="0"/>
    <x v="0"/>
    <n v="0"/>
    <n v="0"/>
    <n v="20"/>
    <n v="62"/>
    <n v="0"/>
    <n v="489.03"/>
    <n v="211.54"/>
    <m/>
    <n v="570.88759713673926"/>
    <n v="196.56876174373542"/>
    <n v="0"/>
    <n v="-609.33137999999997"/>
    <n v="-263.57884000000001"/>
    <n v="0"/>
    <n v="-711.32594603237715"/>
    <n v="-244.92467713269434"/>
  </r>
  <r>
    <s v="Sistema de Compensação"/>
    <x v="1"/>
    <x v="3"/>
    <x v="5"/>
    <x v="2"/>
    <x v="0"/>
    <x v="0"/>
    <x v="2"/>
    <x v="10"/>
    <n v="0"/>
    <n v="0"/>
    <n v="3.6890000000000001"/>
    <n v="3.6890000000000001"/>
    <n v="3.6890000000000001"/>
    <n v="3.6890000000000001"/>
    <n v="50"/>
    <x v="0"/>
    <n v="0"/>
    <n v="0"/>
    <n v="20"/>
    <n v="62"/>
    <n v="0"/>
    <n v="489.03"/>
    <n v="211.54"/>
    <m/>
    <n v="570.88759713673926"/>
    <n v="196.56876174373542"/>
    <n v="0"/>
    <n v="1804.0316699999998"/>
    <n v="780.37105999999994"/>
    <n v="0"/>
    <n v="2106.0043458374312"/>
    <n v="725.14216207263996"/>
  </r>
  <r>
    <s v="Regular"/>
    <x v="1"/>
    <x v="3"/>
    <x v="5"/>
    <x v="2"/>
    <x v="0"/>
    <x v="0"/>
    <x v="2"/>
    <x v="11"/>
    <n v="0"/>
    <n v="0"/>
    <n v="389.04899999999998"/>
    <n v="389.04899999999998"/>
    <n v="389.04899999999998"/>
    <n v="389.04899999999998"/>
    <n v="2411"/>
    <x v="0"/>
    <n v="0"/>
    <n v="0"/>
    <n v="20"/>
    <n v="62"/>
    <n v="0"/>
    <n v="489.03"/>
    <n v="211.54"/>
    <m/>
    <n v="570.88759713673926"/>
    <n v="196.56876174373542"/>
    <n v="0"/>
    <n v="190256.63246999998"/>
    <n v="82299.425459999999"/>
    <n v="0"/>
    <n v="222103.24877845126"/>
    <n v="76474.880187638511"/>
  </r>
  <r>
    <s v="Refaturamento - Regular"/>
    <x v="1"/>
    <x v="3"/>
    <x v="5"/>
    <x v="2"/>
    <x v="0"/>
    <x v="0"/>
    <x v="2"/>
    <x v="11"/>
    <n v="0"/>
    <n v="0"/>
    <n v="-1.4059999999999999"/>
    <n v="-1.4059999999999999"/>
    <n v="-1.4059999999999999"/>
    <n v="-1.4059999999999999"/>
    <n v="0"/>
    <x v="0"/>
    <n v="0"/>
    <n v="0"/>
    <n v="20"/>
    <n v="62"/>
    <n v="0"/>
    <n v="489.03"/>
    <n v="211.54"/>
    <m/>
    <n v="570.88759713673926"/>
    <n v="196.56876174373542"/>
    <n v="0"/>
    <n v="-687.57617999999991"/>
    <n v="-297.42523999999997"/>
    <n v="0"/>
    <n v="-802.6679615742554"/>
    <n v="-276.375679011692"/>
  </r>
  <r>
    <s v="Sistema de Compensação"/>
    <x v="1"/>
    <x v="3"/>
    <x v="5"/>
    <x v="2"/>
    <x v="0"/>
    <x v="0"/>
    <x v="2"/>
    <x v="11"/>
    <n v="0"/>
    <n v="0"/>
    <n v="7.2370000000000001"/>
    <n v="7.2370000000000001"/>
    <n v="7.2370000000000001"/>
    <n v="7.2370000000000001"/>
    <n v="55"/>
    <x v="0"/>
    <n v="0"/>
    <n v="0"/>
    <n v="20"/>
    <n v="62"/>
    <n v="0"/>
    <n v="489.03"/>
    <n v="211.54"/>
    <m/>
    <n v="570.88759713673926"/>
    <n v="196.56876174373542"/>
    <n v="0"/>
    <n v="3539.1101100000001"/>
    <n v="1530.91498"/>
    <n v="0"/>
    <n v="4131.5135404785824"/>
    <n v="1422.5681287394132"/>
  </r>
  <r>
    <s v="Regular"/>
    <x v="1"/>
    <x v="3"/>
    <x v="5"/>
    <x v="3"/>
    <x v="0"/>
    <x v="0"/>
    <x v="2"/>
    <x v="0"/>
    <n v="0"/>
    <n v="0"/>
    <n v="0.69"/>
    <n v="0.69"/>
    <n v="0.69"/>
    <n v="0.69"/>
    <n v="4"/>
    <x v="0"/>
    <n v="0"/>
    <n v="0"/>
    <n v="11"/>
    <n v="71"/>
    <n v="0"/>
    <n v="148.09"/>
    <n v="74.040000000000006"/>
    <m/>
    <n v="163.38168093159149"/>
    <n v="68.799066610307392"/>
    <n v="0"/>
    <n v="102.18209999999999"/>
    <n v="51.087600000000002"/>
    <n v="0"/>
    <n v="112.73335984279812"/>
    <n v="47.471355961112096"/>
  </r>
  <r>
    <s v="Regular"/>
    <x v="1"/>
    <x v="3"/>
    <x v="5"/>
    <x v="3"/>
    <x v="0"/>
    <x v="0"/>
    <x v="2"/>
    <x v="1"/>
    <n v="0"/>
    <n v="0"/>
    <n v="0.69"/>
    <n v="0.69"/>
    <n v="0.69"/>
    <n v="0.69"/>
    <n v="2"/>
    <x v="0"/>
    <n v="0"/>
    <n v="0"/>
    <n v="11"/>
    <n v="71"/>
    <n v="0"/>
    <n v="148.09"/>
    <n v="74.040000000000006"/>
    <m/>
    <n v="163.38168093159149"/>
    <n v="68.799066610307392"/>
    <n v="0"/>
    <n v="102.18209999999999"/>
    <n v="51.087600000000002"/>
    <n v="0"/>
    <n v="112.73335984279812"/>
    <n v="47.471355961112096"/>
  </r>
  <r>
    <s v="Regular"/>
    <x v="1"/>
    <x v="3"/>
    <x v="5"/>
    <x v="3"/>
    <x v="0"/>
    <x v="0"/>
    <x v="2"/>
    <x v="2"/>
    <n v="0"/>
    <n v="0"/>
    <n v="0.69"/>
    <n v="0.69"/>
    <n v="0.69"/>
    <n v="0.69"/>
    <n v="2"/>
    <x v="0"/>
    <n v="0"/>
    <n v="0"/>
    <n v="11"/>
    <n v="71"/>
    <n v="0"/>
    <n v="148.09"/>
    <n v="74.040000000000006"/>
    <m/>
    <n v="163.38168093159149"/>
    <n v="68.799066610307392"/>
    <n v="0"/>
    <n v="102.18209999999999"/>
    <n v="51.087600000000002"/>
    <n v="0"/>
    <n v="112.73335984279812"/>
    <n v="47.471355961112096"/>
  </r>
  <r>
    <s v="Regular"/>
    <x v="1"/>
    <x v="3"/>
    <x v="5"/>
    <x v="3"/>
    <x v="0"/>
    <x v="0"/>
    <x v="2"/>
    <x v="3"/>
    <n v="0"/>
    <n v="0"/>
    <n v="0.69"/>
    <n v="0.69"/>
    <n v="0.69"/>
    <n v="0.69"/>
    <n v="2"/>
    <x v="0"/>
    <n v="0"/>
    <n v="0"/>
    <n v="11"/>
    <n v="71"/>
    <n v="0"/>
    <n v="148.09"/>
    <n v="74.040000000000006"/>
    <m/>
    <n v="163.38168093159149"/>
    <n v="68.799066610307392"/>
    <n v="0"/>
    <n v="102.18209999999999"/>
    <n v="51.087600000000002"/>
    <n v="0"/>
    <n v="112.73335984279812"/>
    <n v="47.471355961112096"/>
  </r>
  <r>
    <s v="Regular"/>
    <x v="1"/>
    <x v="3"/>
    <x v="5"/>
    <x v="3"/>
    <x v="0"/>
    <x v="0"/>
    <x v="2"/>
    <x v="4"/>
    <n v="0"/>
    <n v="0"/>
    <n v="0.69"/>
    <n v="0.69"/>
    <n v="0.69"/>
    <n v="0.69"/>
    <n v="3"/>
    <x v="0"/>
    <n v="0"/>
    <n v="0"/>
    <n v="11"/>
    <n v="71"/>
    <n v="0"/>
    <n v="148.09"/>
    <n v="74.040000000000006"/>
    <m/>
    <n v="163.38168093159149"/>
    <n v="68.799066610307392"/>
    <n v="0"/>
    <n v="102.18209999999999"/>
    <n v="51.087600000000002"/>
    <n v="0"/>
    <n v="112.73335984279812"/>
    <n v="47.471355961112096"/>
  </r>
  <r>
    <s v="Regular"/>
    <x v="1"/>
    <x v="3"/>
    <x v="5"/>
    <x v="3"/>
    <x v="0"/>
    <x v="0"/>
    <x v="2"/>
    <x v="5"/>
    <n v="0"/>
    <n v="0"/>
    <n v="0.69"/>
    <n v="0.69"/>
    <n v="0.69"/>
    <n v="0.69"/>
    <n v="3"/>
    <x v="0"/>
    <n v="0"/>
    <n v="0"/>
    <n v="11"/>
    <n v="71"/>
    <n v="0"/>
    <n v="148.09"/>
    <n v="74.040000000000006"/>
    <m/>
    <n v="163.38168093159149"/>
    <n v="68.799066610307392"/>
    <n v="0"/>
    <n v="102.18209999999999"/>
    <n v="51.087600000000002"/>
    <n v="0"/>
    <n v="112.73335984279812"/>
    <n v="47.471355961112096"/>
  </r>
  <r>
    <s v="Regular"/>
    <x v="1"/>
    <x v="3"/>
    <x v="5"/>
    <x v="3"/>
    <x v="0"/>
    <x v="0"/>
    <x v="2"/>
    <x v="6"/>
    <n v="0"/>
    <n v="0"/>
    <n v="1.29"/>
    <n v="1.29"/>
    <n v="1.29"/>
    <n v="1.29"/>
    <n v="5"/>
    <x v="0"/>
    <n v="0"/>
    <n v="0"/>
    <n v="11"/>
    <n v="71"/>
    <n v="0"/>
    <n v="148.09"/>
    <n v="74.040000000000006"/>
    <m/>
    <n v="163.38168093159149"/>
    <n v="68.799066610307392"/>
    <n v="0"/>
    <n v="191.0361"/>
    <n v="95.511600000000016"/>
    <n v="0"/>
    <n v="210.76236840175304"/>
    <n v="88.750795927296537"/>
  </r>
  <r>
    <s v="Regular"/>
    <x v="1"/>
    <x v="3"/>
    <x v="5"/>
    <x v="3"/>
    <x v="0"/>
    <x v="0"/>
    <x v="2"/>
    <x v="7"/>
    <n v="0"/>
    <n v="0"/>
    <n v="4.62"/>
    <n v="4.62"/>
    <n v="4.62"/>
    <n v="4.62"/>
    <n v="7"/>
    <x v="0"/>
    <n v="0"/>
    <n v="0"/>
    <n v="11"/>
    <n v="71"/>
    <n v="0"/>
    <n v="148.09"/>
    <n v="74.040000000000006"/>
    <m/>
    <n v="163.38168093159149"/>
    <n v="68.799066610307392"/>
    <n v="0"/>
    <n v="684.17579999999998"/>
    <n v="342.06480000000005"/>
    <n v="0"/>
    <n v="754.82336590395266"/>
    <n v="317.85168773962016"/>
  </r>
  <r>
    <s v="Regular"/>
    <x v="1"/>
    <x v="3"/>
    <x v="5"/>
    <x v="3"/>
    <x v="0"/>
    <x v="0"/>
    <x v="2"/>
    <x v="8"/>
    <n v="0"/>
    <n v="0"/>
    <n v="6.45"/>
    <n v="6.45"/>
    <n v="6.45"/>
    <n v="6.45"/>
    <n v="16"/>
    <x v="0"/>
    <n v="0"/>
    <n v="0"/>
    <n v="11"/>
    <n v="71"/>
    <n v="0"/>
    <n v="148.09"/>
    <n v="74.040000000000006"/>
    <m/>
    <n v="163.38168093159149"/>
    <n v="68.799066610307392"/>
    <n v="0"/>
    <n v="955.18050000000005"/>
    <n v="477.55800000000005"/>
    <n v="0"/>
    <n v="1053.8118420087651"/>
    <n v="443.75397963648271"/>
  </r>
  <r>
    <s v="Regular"/>
    <x v="1"/>
    <x v="3"/>
    <x v="5"/>
    <x v="3"/>
    <x v="0"/>
    <x v="0"/>
    <x v="2"/>
    <x v="9"/>
    <n v="0"/>
    <n v="0"/>
    <n v="6.57"/>
    <n v="6.57"/>
    <n v="6.57"/>
    <n v="6.57"/>
    <n v="20"/>
    <x v="0"/>
    <n v="0"/>
    <n v="0"/>
    <n v="11"/>
    <n v="71"/>
    <n v="0"/>
    <n v="148.09"/>
    <n v="74.040000000000006"/>
    <m/>
    <n v="163.38168093159149"/>
    <n v="68.799066610307392"/>
    <n v="0"/>
    <n v="972.95130000000006"/>
    <n v="486.44280000000003"/>
    <n v="0"/>
    <n v="1073.417643720556"/>
    <n v="452.00986762971957"/>
  </r>
  <r>
    <s v="Regular"/>
    <x v="1"/>
    <x v="3"/>
    <x v="5"/>
    <x v="3"/>
    <x v="0"/>
    <x v="0"/>
    <x v="2"/>
    <x v="10"/>
    <n v="0"/>
    <n v="0"/>
    <n v="2.64"/>
    <n v="2.64"/>
    <n v="2.64"/>
    <n v="2.64"/>
    <n v="11"/>
    <x v="0"/>
    <n v="0"/>
    <n v="0"/>
    <n v="11"/>
    <n v="71"/>
    <n v="0"/>
    <n v="148.09"/>
    <n v="74.040000000000006"/>
    <m/>
    <n v="163.38168093159149"/>
    <n v="68.799066610307392"/>
    <n v="0"/>
    <n v="390.95760000000001"/>
    <n v="195.46560000000002"/>
    <n v="0"/>
    <n v="431.32763765940155"/>
    <n v="181.62953585121153"/>
  </r>
  <r>
    <s v="Regular"/>
    <x v="1"/>
    <x v="3"/>
    <x v="5"/>
    <x v="3"/>
    <x v="0"/>
    <x v="0"/>
    <x v="2"/>
    <x v="11"/>
    <n v="0"/>
    <n v="0"/>
    <n v="2.58"/>
    <n v="2.58"/>
    <n v="2.58"/>
    <n v="2.58"/>
    <n v="9"/>
    <x v="0"/>
    <n v="0"/>
    <n v="0"/>
    <n v="11"/>
    <n v="71"/>
    <n v="0"/>
    <n v="148.09"/>
    <n v="74.040000000000006"/>
    <m/>
    <n v="163.38168093159149"/>
    <n v="68.799066610307392"/>
    <n v="0"/>
    <n v="382.07220000000001"/>
    <n v="191.02320000000003"/>
    <n v="0"/>
    <n v="421.52473680350607"/>
    <n v="177.50159185459307"/>
  </r>
  <r>
    <s v="Regular"/>
    <x v="1"/>
    <x v="3"/>
    <x v="5"/>
    <x v="4"/>
    <x v="0"/>
    <x v="0"/>
    <x v="2"/>
    <x v="0"/>
    <n v="0"/>
    <n v="0"/>
    <n v="1.113"/>
    <n v="1.113"/>
    <n v="1.113"/>
    <n v="1.113"/>
    <n v="8"/>
    <x v="0"/>
    <n v="0"/>
    <n v="0"/>
    <n v="40"/>
    <n v="55"/>
    <n v="0"/>
    <n v="253.87"/>
    <n v="126.93"/>
    <m/>
    <n v="280.08288159701397"/>
    <n v="117.94125704624125"/>
    <n v="0"/>
    <n v="282.55731000000003"/>
    <n v="141.27309"/>
    <n v="0"/>
    <n v="311.73224721747653"/>
    <n v="131.26861909246651"/>
  </r>
  <r>
    <s v="Regular"/>
    <x v="1"/>
    <x v="3"/>
    <x v="5"/>
    <x v="4"/>
    <x v="0"/>
    <x v="0"/>
    <x v="2"/>
    <x v="1"/>
    <n v="0"/>
    <n v="0"/>
    <n v="1.236"/>
    <n v="1.236"/>
    <n v="1.236"/>
    <n v="1.236"/>
    <n v="6"/>
    <x v="0"/>
    <n v="0"/>
    <n v="0"/>
    <n v="40"/>
    <n v="55"/>
    <n v="0"/>
    <n v="253.87"/>
    <n v="126.93"/>
    <m/>
    <n v="280.08288159701397"/>
    <n v="117.94125704624125"/>
    <n v="0"/>
    <n v="313.78332"/>
    <n v="156.88548"/>
    <n v="0"/>
    <n v="346.18244165390928"/>
    <n v="145.77539370915417"/>
  </r>
  <r>
    <s v="Regular"/>
    <x v="1"/>
    <x v="3"/>
    <x v="5"/>
    <x v="4"/>
    <x v="0"/>
    <x v="0"/>
    <x v="2"/>
    <x v="2"/>
    <n v="0"/>
    <n v="0"/>
    <n v="1.165"/>
    <n v="1.165"/>
    <n v="1.165"/>
    <n v="1.165"/>
    <n v="8"/>
    <x v="0"/>
    <n v="0"/>
    <n v="0"/>
    <n v="40"/>
    <n v="55"/>
    <n v="0"/>
    <n v="253.87"/>
    <n v="126.93"/>
    <m/>
    <n v="280.08288159701397"/>
    <n v="117.94125704624125"/>
    <n v="0"/>
    <n v="295.75855000000001"/>
    <n v="147.87345000000002"/>
    <n v="0"/>
    <n v="326.29655706052125"/>
    <n v="137.40156445887106"/>
  </r>
  <r>
    <s v="Regular"/>
    <x v="1"/>
    <x v="3"/>
    <x v="5"/>
    <x v="4"/>
    <x v="0"/>
    <x v="0"/>
    <x v="2"/>
    <x v="3"/>
    <n v="0"/>
    <n v="0"/>
    <n v="1.2390000000000001"/>
    <n v="1.2390000000000001"/>
    <n v="1.2390000000000001"/>
    <n v="1.2390000000000001"/>
    <n v="6"/>
    <x v="0"/>
    <n v="0"/>
    <n v="0"/>
    <n v="40"/>
    <n v="55"/>
    <n v="0"/>
    <n v="253.87"/>
    <n v="126.93"/>
    <m/>
    <n v="280.08288159701397"/>
    <n v="117.94125704624125"/>
    <n v="0"/>
    <n v="314.54493000000002"/>
    <n v="157.26627000000002"/>
    <n v="0"/>
    <n v="347.02269029870035"/>
    <n v="146.12921748029291"/>
  </r>
  <r>
    <s v="Regular"/>
    <x v="1"/>
    <x v="3"/>
    <x v="5"/>
    <x v="4"/>
    <x v="0"/>
    <x v="0"/>
    <x v="2"/>
    <x v="4"/>
    <n v="0"/>
    <n v="0"/>
    <n v="1.137"/>
    <n v="1.137"/>
    <n v="1.137"/>
    <n v="1.137"/>
    <n v="6"/>
    <x v="0"/>
    <n v="0"/>
    <n v="0"/>
    <n v="40"/>
    <n v="55"/>
    <n v="0"/>
    <n v="253.87"/>
    <n v="126.93"/>
    <m/>
    <n v="280.08288159701397"/>
    <n v="117.94125704624125"/>
    <n v="0"/>
    <n v="288.65019000000001"/>
    <n v="144.31941"/>
    <n v="0"/>
    <n v="318.4542363758049"/>
    <n v="134.09920926157631"/>
  </r>
  <r>
    <s v="Regular"/>
    <x v="1"/>
    <x v="3"/>
    <x v="5"/>
    <x v="4"/>
    <x v="0"/>
    <x v="0"/>
    <x v="2"/>
    <x v="5"/>
    <n v="0"/>
    <n v="0"/>
    <n v="1.1419999999999999"/>
    <n v="1.1419999999999999"/>
    <n v="1.1419999999999999"/>
    <n v="1.1419999999999999"/>
    <n v="6"/>
    <x v="0"/>
    <n v="0"/>
    <n v="0"/>
    <n v="40"/>
    <n v="55"/>
    <n v="0"/>
    <n v="253.87"/>
    <n v="126.93"/>
    <m/>
    <n v="280.08288159701397"/>
    <n v="117.94125704624125"/>
    <n v="0"/>
    <n v="289.91953999999998"/>
    <n v="144.95406"/>
    <n v="0"/>
    <n v="319.85465078378991"/>
    <n v="134.68891554680749"/>
  </r>
  <r>
    <s v="Regular"/>
    <x v="1"/>
    <x v="3"/>
    <x v="5"/>
    <x v="4"/>
    <x v="0"/>
    <x v="0"/>
    <x v="2"/>
    <x v="6"/>
    <n v="0"/>
    <n v="0"/>
    <n v="2.14"/>
    <n v="2.14"/>
    <n v="2.14"/>
    <n v="2.14"/>
    <n v="14"/>
    <x v="0"/>
    <n v="0"/>
    <n v="0"/>
    <n v="40"/>
    <n v="55"/>
    <n v="0"/>
    <n v="253.87"/>
    <n v="126.93"/>
    <m/>
    <n v="280.08288159701397"/>
    <n v="117.94125704624125"/>
    <n v="0"/>
    <n v="543.28180000000009"/>
    <n v="271.6302"/>
    <n v="0"/>
    <n v="599.37736661760994"/>
    <n v="252.39429007895629"/>
  </r>
  <r>
    <s v="Regular"/>
    <x v="1"/>
    <x v="3"/>
    <x v="5"/>
    <x v="4"/>
    <x v="0"/>
    <x v="0"/>
    <x v="2"/>
    <x v="7"/>
    <n v="0"/>
    <n v="0"/>
    <n v="8.7059999999999995"/>
    <n v="8.7059999999999995"/>
    <n v="8.7059999999999995"/>
    <n v="8.7059999999999995"/>
    <n v="49"/>
    <x v="0"/>
    <n v="0"/>
    <n v="0"/>
    <n v="40"/>
    <n v="55"/>
    <n v="0"/>
    <n v="253.87"/>
    <n v="126.93"/>
    <m/>
    <n v="280.08288159701397"/>
    <n v="117.94125704624125"/>
    <n v="0"/>
    <n v="2210.1922199999999"/>
    <n v="1105.05258"/>
    <n v="0"/>
    <n v="2438.4015671836037"/>
    <n v="1026.7965838445762"/>
  </r>
  <r>
    <s v="Regular"/>
    <x v="1"/>
    <x v="3"/>
    <x v="5"/>
    <x v="4"/>
    <x v="0"/>
    <x v="0"/>
    <x v="2"/>
    <x v="8"/>
    <n v="0"/>
    <n v="0"/>
    <n v="11.788"/>
    <n v="11.788"/>
    <n v="11.788"/>
    <n v="11.788"/>
    <n v="67"/>
    <x v="0"/>
    <n v="0"/>
    <n v="0"/>
    <n v="40"/>
    <n v="55"/>
    <n v="0"/>
    <n v="253.87"/>
    <n v="126.93"/>
    <m/>
    <n v="280.08288159701397"/>
    <n v="117.94125704624125"/>
    <n v="0"/>
    <n v="2992.6195600000001"/>
    <n v="1496.2508400000002"/>
    <n v="0"/>
    <n v="3301.6170082656008"/>
    <n v="1390.2915380610918"/>
  </r>
  <r>
    <s v="Regular"/>
    <x v="1"/>
    <x v="3"/>
    <x v="5"/>
    <x v="4"/>
    <x v="0"/>
    <x v="0"/>
    <x v="2"/>
    <x v="9"/>
    <n v="0"/>
    <n v="0"/>
    <n v="11.923999999999999"/>
    <n v="11.923999999999999"/>
    <n v="11.923999999999999"/>
    <n v="11.923999999999999"/>
    <n v="66"/>
    <x v="0"/>
    <n v="0"/>
    <n v="0"/>
    <n v="40"/>
    <n v="55"/>
    <n v="0"/>
    <n v="253.87"/>
    <n v="126.93"/>
    <m/>
    <n v="280.08288159701397"/>
    <n v="117.94125704624125"/>
    <n v="0"/>
    <n v="3027.14588"/>
    <n v="1513.51332"/>
    <n v="0"/>
    <n v="3339.7082801627944"/>
    <n v="1406.3315490193806"/>
  </r>
  <r>
    <s v="Regular"/>
    <x v="1"/>
    <x v="3"/>
    <x v="5"/>
    <x v="4"/>
    <x v="0"/>
    <x v="0"/>
    <x v="2"/>
    <x v="10"/>
    <n v="0"/>
    <n v="0"/>
    <n v="4.3550000000000004"/>
    <n v="4.3550000000000004"/>
    <n v="4.3550000000000004"/>
    <n v="4.3550000000000004"/>
    <n v="28"/>
    <x v="0"/>
    <n v="0"/>
    <n v="0"/>
    <n v="40"/>
    <n v="55"/>
    <n v="0"/>
    <n v="253.87"/>
    <n v="126.93"/>
    <m/>
    <n v="280.08288159701397"/>
    <n v="117.94125704624125"/>
    <n v="0"/>
    <n v="1105.6038500000002"/>
    <n v="552.78015000000005"/>
    <n v="0"/>
    <n v="1219.760949354996"/>
    <n v="513.6341744363807"/>
  </r>
  <r>
    <s v="Regular"/>
    <x v="1"/>
    <x v="3"/>
    <x v="5"/>
    <x v="4"/>
    <x v="0"/>
    <x v="0"/>
    <x v="2"/>
    <x v="11"/>
    <n v="0"/>
    <n v="0"/>
    <n v="4.5709999999999997"/>
    <n v="4.5709999999999997"/>
    <n v="4.5709999999999997"/>
    <n v="4.5709999999999997"/>
    <n v="29"/>
    <x v="0"/>
    <n v="0"/>
    <n v="0"/>
    <n v="40"/>
    <n v="55"/>
    <n v="0"/>
    <n v="253.87"/>
    <n v="126.93"/>
    <m/>
    <n v="280.08288159701397"/>
    <n v="117.94125704624125"/>
    <n v="0"/>
    <n v="1160.43977"/>
    <n v="580.19703000000004"/>
    <n v="0"/>
    <n v="1280.2588517799509"/>
    <n v="539.10948595836874"/>
  </r>
  <r>
    <s v="Regular"/>
    <x v="1"/>
    <x v="3"/>
    <x v="5"/>
    <x v="5"/>
    <x v="0"/>
    <x v="0"/>
    <x v="2"/>
    <x v="0"/>
    <n v="0"/>
    <n v="0"/>
    <n v="0.63"/>
    <n v="0.63"/>
    <n v="0.63"/>
    <n v="0.63"/>
    <n v="9"/>
    <x v="0"/>
    <n v="0"/>
    <n v="0"/>
    <n v="26"/>
    <n v="73"/>
    <n v="0"/>
    <n v="380.8"/>
    <n v="190.39"/>
    <m/>
    <n v="420.12432239552095"/>
    <n v="176.91188556936189"/>
    <n v="0"/>
    <n v="239.904"/>
    <n v="119.94569999999999"/>
    <n v="0"/>
    <n v="264.67832310917822"/>
    <n v="111.45448790869798"/>
  </r>
  <r>
    <s v="Regular"/>
    <x v="1"/>
    <x v="3"/>
    <x v="5"/>
    <x v="5"/>
    <x v="0"/>
    <x v="0"/>
    <x v="2"/>
    <x v="1"/>
    <n v="0"/>
    <n v="0"/>
    <n v="0.96299999999999997"/>
    <n v="0.96299999999999997"/>
    <n v="0.96299999999999997"/>
    <n v="0.96299999999999997"/>
    <n v="11"/>
    <x v="0"/>
    <n v="0"/>
    <n v="0"/>
    <n v="26"/>
    <n v="73"/>
    <n v="0"/>
    <n v="380.8"/>
    <n v="190.39"/>
    <m/>
    <n v="420.12432239552095"/>
    <n v="176.91188556936189"/>
    <n v="0"/>
    <n v="366.71039999999999"/>
    <n v="183.34556999999998"/>
    <n v="0"/>
    <n v="404.57972246688666"/>
    <n v="170.3661458032955"/>
  </r>
  <r>
    <s v="Regular"/>
    <x v="1"/>
    <x v="3"/>
    <x v="5"/>
    <x v="5"/>
    <x v="0"/>
    <x v="0"/>
    <x v="2"/>
    <x v="2"/>
    <n v="0"/>
    <n v="0"/>
    <n v="0.84799999999999998"/>
    <n v="0.84799999999999998"/>
    <n v="0.84799999999999998"/>
    <n v="0.84799999999999998"/>
    <n v="9"/>
    <x v="0"/>
    <n v="0"/>
    <n v="0"/>
    <n v="26"/>
    <n v="73"/>
    <n v="0"/>
    <n v="380.8"/>
    <n v="190.39"/>
    <m/>
    <n v="420.12432239552095"/>
    <n v="176.91188556936189"/>
    <n v="0"/>
    <n v="322.91840000000002"/>
    <n v="161.45071999999999"/>
    <n v="0"/>
    <n v="356.26542539140178"/>
    <n v="150.02127896281888"/>
  </r>
  <r>
    <s v="Regular"/>
    <x v="1"/>
    <x v="3"/>
    <x v="5"/>
    <x v="5"/>
    <x v="0"/>
    <x v="0"/>
    <x v="2"/>
    <x v="3"/>
    <n v="0"/>
    <n v="0"/>
    <n v="1.123"/>
    <n v="1.123"/>
    <n v="1.123"/>
    <n v="1.123"/>
    <n v="10"/>
    <x v="0"/>
    <n v="0"/>
    <n v="0"/>
    <n v="26"/>
    <n v="73"/>
    <n v="0"/>
    <n v="380.8"/>
    <n v="190.39"/>
    <m/>
    <n v="420.12432239552095"/>
    <n v="176.91188556936189"/>
    <n v="0"/>
    <n v="427.63839999999999"/>
    <n v="213.80796999999998"/>
    <n v="0"/>
    <n v="471.79961405017002"/>
    <n v="198.67204749439341"/>
  </r>
  <r>
    <s v="Regular"/>
    <x v="1"/>
    <x v="3"/>
    <x v="5"/>
    <x v="5"/>
    <x v="0"/>
    <x v="0"/>
    <x v="2"/>
    <x v="4"/>
    <n v="0"/>
    <n v="0"/>
    <n v="0.91800000000000004"/>
    <n v="0.91800000000000004"/>
    <n v="0.91800000000000004"/>
    <n v="0.91800000000000004"/>
    <n v="10"/>
    <x v="0"/>
    <n v="0"/>
    <n v="0"/>
    <n v="26"/>
    <n v="73"/>
    <n v="0"/>
    <n v="380.8"/>
    <n v="190.39"/>
    <m/>
    <n v="420.12432239552095"/>
    <n v="176.91188556936189"/>
    <n v="0"/>
    <n v="349.57440000000003"/>
    <n v="174.77802"/>
    <n v="0"/>
    <n v="385.67412795908825"/>
    <n v="162.40511095267422"/>
  </r>
  <r>
    <s v="Regular"/>
    <x v="1"/>
    <x v="3"/>
    <x v="5"/>
    <x v="5"/>
    <x v="0"/>
    <x v="0"/>
    <x v="2"/>
    <x v="5"/>
    <n v="0"/>
    <n v="0"/>
    <n v="1.099"/>
    <n v="1.099"/>
    <n v="1.099"/>
    <n v="1.099"/>
    <n v="10"/>
    <x v="0"/>
    <n v="0"/>
    <n v="0"/>
    <n v="26"/>
    <n v="73"/>
    <n v="0"/>
    <n v="380.8"/>
    <n v="190.39"/>
    <m/>
    <n v="420.12432239552095"/>
    <n v="176.91188556936189"/>
    <n v="0"/>
    <n v="418.49920000000003"/>
    <n v="209.23860999999999"/>
    <n v="0"/>
    <n v="461.71663031267752"/>
    <n v="194.4261622407287"/>
  </r>
  <r>
    <s v="Regular"/>
    <x v="1"/>
    <x v="3"/>
    <x v="5"/>
    <x v="5"/>
    <x v="0"/>
    <x v="0"/>
    <x v="2"/>
    <x v="6"/>
    <n v="0"/>
    <n v="0"/>
    <n v="1.78"/>
    <n v="1.78"/>
    <n v="1.78"/>
    <n v="1.78"/>
    <n v="18"/>
    <x v="0"/>
    <n v="0"/>
    <n v="0"/>
    <n v="26"/>
    <n v="73"/>
    <n v="0"/>
    <n v="380.8"/>
    <n v="190.39"/>
    <m/>
    <n v="420.12432239552095"/>
    <n v="176.91188556936189"/>
    <n v="0"/>
    <n v="677.82400000000007"/>
    <n v="338.89419999999996"/>
    <n v="0"/>
    <n v="747.82129386402733"/>
    <n v="314.90315631346414"/>
  </r>
  <r>
    <s v="Regular"/>
    <x v="1"/>
    <x v="3"/>
    <x v="5"/>
    <x v="5"/>
    <x v="0"/>
    <x v="0"/>
    <x v="2"/>
    <x v="7"/>
    <n v="0"/>
    <n v="0"/>
    <n v="6.9859999999999998"/>
    <n v="6.9859999999999998"/>
    <n v="6.9859999999999998"/>
    <n v="6.9859999999999998"/>
    <n v="69"/>
    <x v="0"/>
    <n v="0"/>
    <n v="0"/>
    <n v="26"/>
    <n v="73"/>
    <n v="0"/>
    <n v="380.8"/>
    <n v="190.39"/>
    <m/>
    <n v="420.12432239552095"/>
    <n v="176.91188556936189"/>
    <n v="0"/>
    <n v="2660.2687999999998"/>
    <n v="1330.0645399999999"/>
    <n v="0"/>
    <n v="2934.9885162551091"/>
    <n v="1235.906432587562"/>
  </r>
  <r>
    <s v="Regular"/>
    <x v="1"/>
    <x v="3"/>
    <x v="5"/>
    <x v="5"/>
    <x v="0"/>
    <x v="0"/>
    <x v="2"/>
    <x v="8"/>
    <n v="0"/>
    <n v="0"/>
    <n v="9.4109999999999996"/>
    <n v="9.4109999999999996"/>
    <n v="9.4109999999999996"/>
    <n v="9.4109999999999996"/>
    <n v="98"/>
    <x v="0"/>
    <n v="0"/>
    <n v="0"/>
    <n v="26"/>
    <n v="73"/>
    <n v="0"/>
    <n v="380.8"/>
    <n v="190.39"/>
    <m/>
    <n v="420.12432239552095"/>
    <n v="176.91188556936189"/>
    <n v="0"/>
    <n v="3583.7087999999999"/>
    <n v="1791.7602899999997"/>
    <n v="0"/>
    <n v="3953.7899980642474"/>
    <n v="1664.9177550932645"/>
  </r>
  <r>
    <s v="Regular"/>
    <x v="1"/>
    <x v="3"/>
    <x v="5"/>
    <x v="5"/>
    <x v="0"/>
    <x v="0"/>
    <x v="2"/>
    <x v="9"/>
    <n v="0"/>
    <n v="0"/>
    <n v="9.6950000000000003"/>
    <n v="9.6950000000000003"/>
    <n v="9.6950000000000003"/>
    <n v="9.6950000000000003"/>
    <n v="96"/>
    <x v="0"/>
    <n v="0"/>
    <n v="0"/>
    <n v="26"/>
    <n v="73"/>
    <n v="0"/>
    <n v="380.8"/>
    <n v="190.39"/>
    <m/>
    <n v="420.12432239552095"/>
    <n v="176.91188556936189"/>
    <n v="0"/>
    <n v="3691.8560000000002"/>
    <n v="1845.83105"/>
    <n v="0"/>
    <n v="4073.1053056245755"/>
    <n v="1715.1607305949635"/>
  </r>
  <r>
    <s v="Regular"/>
    <x v="1"/>
    <x v="3"/>
    <x v="5"/>
    <x v="5"/>
    <x v="0"/>
    <x v="0"/>
    <x v="2"/>
    <x v="10"/>
    <n v="0"/>
    <n v="0"/>
    <n v="2.5819999999999999"/>
    <n v="2.5819999999999999"/>
    <n v="2.5819999999999999"/>
    <n v="2.5819999999999999"/>
    <n v="41"/>
    <x v="0"/>
    <n v="0"/>
    <n v="0"/>
    <n v="26"/>
    <n v="73"/>
    <n v="0"/>
    <n v="380.8"/>
    <n v="190.39"/>
    <m/>
    <n v="420.12432239552095"/>
    <n v="176.91188556936189"/>
    <n v="0"/>
    <n v="983.22559999999999"/>
    <n v="491.58697999999993"/>
    <n v="0"/>
    <n v="1084.7610004252351"/>
    <n v="456.78648854009236"/>
  </r>
  <r>
    <s v="Regular"/>
    <x v="1"/>
    <x v="3"/>
    <x v="5"/>
    <x v="5"/>
    <x v="0"/>
    <x v="0"/>
    <x v="2"/>
    <x v="11"/>
    <n v="0"/>
    <n v="0"/>
    <n v="3.0760000000000001"/>
    <n v="3.0760000000000001"/>
    <n v="3.0760000000000001"/>
    <n v="3.0760000000000001"/>
    <n v="39"/>
    <x v="0"/>
    <n v="0"/>
    <n v="0"/>
    <n v="26"/>
    <n v="73"/>
    <n v="0"/>
    <n v="380.8"/>
    <n v="190.39"/>
    <m/>
    <n v="420.12432239552095"/>
    <n v="176.91188556936189"/>
    <n v="0"/>
    <n v="1171.3408000000002"/>
    <n v="585.63963999999999"/>
    <n v="0"/>
    <n v="1292.3024156886224"/>
    <n v="544.18096001135712"/>
  </r>
  <r>
    <s v="Regular"/>
    <x v="1"/>
    <x v="3"/>
    <x v="5"/>
    <x v="6"/>
    <x v="0"/>
    <x v="0"/>
    <x v="2"/>
    <x v="0"/>
    <n v="0"/>
    <n v="0"/>
    <n v="0.153"/>
    <n v="0.153"/>
    <n v="0.153"/>
    <n v="0.153"/>
    <n v="2"/>
    <x v="0"/>
    <n v="0"/>
    <n v="0"/>
    <n v="18"/>
    <n v="52"/>
    <n v="0"/>
    <n v="423.11"/>
    <n v="211.54"/>
    <m/>
    <n v="466.80480266168996"/>
    <n v="196.56876174373542"/>
    <n v="0"/>
    <n v="64.735830000000007"/>
    <n v="32.36562"/>
    <n v="0"/>
    <n v="71.421134807238559"/>
    <n v="30.075020546791517"/>
  </r>
  <r>
    <s v="Regular"/>
    <x v="1"/>
    <x v="3"/>
    <x v="5"/>
    <x v="6"/>
    <x v="0"/>
    <x v="0"/>
    <x v="2"/>
    <x v="1"/>
    <n v="0"/>
    <n v="0"/>
    <n v="0.64600000000000002"/>
    <n v="0.64600000000000002"/>
    <n v="0.64600000000000002"/>
    <n v="0.64600000000000002"/>
    <n v="4"/>
    <x v="0"/>
    <n v="0"/>
    <n v="0"/>
    <n v="18"/>
    <n v="52"/>
    <n v="0"/>
    <n v="423.11"/>
    <n v="211.54"/>
    <m/>
    <n v="466.80480266168996"/>
    <n v="196.56876174373542"/>
    <n v="0"/>
    <n v="273.32906000000003"/>
    <n v="136.65484000000001"/>
    <n v="0"/>
    <n v="301.55590251945171"/>
    <n v="126.98342008645308"/>
  </r>
  <r>
    <s v="Regular"/>
    <x v="1"/>
    <x v="3"/>
    <x v="5"/>
    <x v="6"/>
    <x v="0"/>
    <x v="0"/>
    <x v="2"/>
    <x v="2"/>
    <n v="0"/>
    <n v="0"/>
    <n v="0.221"/>
    <n v="0.221"/>
    <n v="0.221"/>
    <n v="0.221"/>
    <n v="4"/>
    <x v="0"/>
    <n v="0"/>
    <n v="0"/>
    <n v="18"/>
    <n v="52"/>
    <n v="0"/>
    <n v="423.11"/>
    <n v="211.54"/>
    <m/>
    <n v="466.80480266168996"/>
    <n v="196.56876174373542"/>
    <n v="0"/>
    <n v="93.507310000000004"/>
    <n v="46.750340000000001"/>
    <n v="0"/>
    <n v="103.16386138823349"/>
    <n v="43.441696345365528"/>
  </r>
  <r>
    <s v="Regular"/>
    <x v="1"/>
    <x v="3"/>
    <x v="5"/>
    <x v="6"/>
    <x v="0"/>
    <x v="0"/>
    <x v="2"/>
    <x v="3"/>
    <n v="0"/>
    <n v="0"/>
    <n v="0.38200000000000001"/>
    <n v="0.38200000000000001"/>
    <n v="0.38200000000000001"/>
    <n v="0.38200000000000001"/>
    <n v="5"/>
    <x v="0"/>
    <n v="0"/>
    <n v="0"/>
    <n v="18"/>
    <n v="52"/>
    <n v="0"/>
    <n v="423.11"/>
    <n v="211.54"/>
    <m/>
    <n v="466.80480266168996"/>
    <n v="196.56876174373542"/>
    <n v="0"/>
    <n v="161.62802000000002"/>
    <n v="80.808279999999996"/>
    <n v="0"/>
    <n v="178.31943461676556"/>
    <n v="75.089266986106935"/>
  </r>
  <r>
    <s v="Regular"/>
    <x v="1"/>
    <x v="3"/>
    <x v="5"/>
    <x v="6"/>
    <x v="0"/>
    <x v="0"/>
    <x v="2"/>
    <x v="4"/>
    <n v="0"/>
    <n v="0"/>
    <n v="0.182"/>
    <n v="0.182"/>
    <n v="0.182"/>
    <n v="0.182"/>
    <n v="4"/>
    <x v="0"/>
    <n v="0"/>
    <n v="0"/>
    <n v="18"/>
    <n v="52"/>
    <n v="0"/>
    <n v="423.11"/>
    <n v="211.54"/>
    <m/>
    <n v="466.80480266168996"/>
    <n v="196.56876174373542"/>
    <n v="0"/>
    <n v="77.006020000000007"/>
    <n v="38.500279999999997"/>
    <n v="0"/>
    <n v="84.958474084427564"/>
    <n v="35.775514637359848"/>
  </r>
  <r>
    <s v="Regular"/>
    <x v="1"/>
    <x v="3"/>
    <x v="5"/>
    <x v="6"/>
    <x v="0"/>
    <x v="0"/>
    <x v="2"/>
    <x v="5"/>
    <n v="0"/>
    <n v="0"/>
    <n v="0.24399999999999999"/>
    <n v="0.24399999999999999"/>
    <n v="0.24399999999999999"/>
    <n v="0.24399999999999999"/>
    <n v="4"/>
    <x v="0"/>
    <n v="0"/>
    <n v="0"/>
    <n v="18"/>
    <n v="52"/>
    <n v="0"/>
    <n v="423.11"/>
    <n v="211.54"/>
    <m/>
    <n v="466.80480266168996"/>
    <n v="196.56876174373542"/>
    <n v="0"/>
    <n v="103.23884"/>
    <n v="51.615759999999995"/>
    <n v="0"/>
    <n v="113.90037184945234"/>
    <n v="47.962777865471445"/>
  </r>
  <r>
    <s v="Regular"/>
    <x v="1"/>
    <x v="3"/>
    <x v="5"/>
    <x v="6"/>
    <x v="0"/>
    <x v="0"/>
    <x v="2"/>
    <x v="6"/>
    <n v="0"/>
    <n v="0"/>
    <n v="0.30199999999999999"/>
    <n v="0.30199999999999999"/>
    <n v="0.30199999999999999"/>
    <n v="0.30199999999999999"/>
    <n v="6"/>
    <x v="0"/>
    <n v="0"/>
    <n v="0"/>
    <n v="18"/>
    <n v="52"/>
    <n v="0"/>
    <n v="423.11"/>
    <n v="211.54"/>
    <m/>
    <n v="466.80480266168996"/>
    <n v="196.56876174373542"/>
    <n v="0"/>
    <n v="127.77922"/>
    <n v="63.885079999999995"/>
    <n v="0"/>
    <n v="140.97505040383035"/>
    <n v="59.363766046608099"/>
  </r>
  <r>
    <s v="Regular"/>
    <x v="1"/>
    <x v="3"/>
    <x v="5"/>
    <x v="6"/>
    <x v="0"/>
    <x v="0"/>
    <x v="2"/>
    <x v="7"/>
    <n v="0"/>
    <n v="0"/>
    <n v="1.462"/>
    <n v="1.462"/>
    <n v="1.462"/>
    <n v="1.462"/>
    <n v="29"/>
    <x v="0"/>
    <n v="0"/>
    <n v="0"/>
    <n v="18"/>
    <n v="52"/>
    <n v="0"/>
    <n v="423.11"/>
    <n v="211.54"/>
    <m/>
    <n v="466.80480266168996"/>
    <n v="196.56876174373542"/>
    <n v="0"/>
    <n v="618.58681999999999"/>
    <n v="309.27148"/>
    <n v="0"/>
    <n v="682.46862149139076"/>
    <n v="287.38352966934116"/>
  </r>
  <r>
    <s v="Regular"/>
    <x v="1"/>
    <x v="3"/>
    <x v="5"/>
    <x v="6"/>
    <x v="0"/>
    <x v="0"/>
    <x v="2"/>
    <x v="8"/>
    <n v="0"/>
    <n v="0"/>
    <n v="1.6459999999999999"/>
    <n v="1.6459999999999999"/>
    <n v="1.6459999999999999"/>
    <n v="1.6459999999999999"/>
    <n v="34"/>
    <x v="0"/>
    <n v="0"/>
    <n v="0"/>
    <n v="18"/>
    <n v="52"/>
    <n v="0"/>
    <n v="423.11"/>
    <n v="211.54"/>
    <m/>
    <n v="466.80480266168996"/>
    <n v="196.56876174373542"/>
    <n v="0"/>
    <n v="696.43905999999993"/>
    <n v="348.19483999999994"/>
    <n v="0"/>
    <n v="768.36070518114161"/>
    <n v="323.55218183018849"/>
  </r>
  <r>
    <s v="Regular"/>
    <x v="1"/>
    <x v="3"/>
    <x v="5"/>
    <x v="6"/>
    <x v="0"/>
    <x v="0"/>
    <x v="2"/>
    <x v="9"/>
    <n v="0"/>
    <n v="0"/>
    <n v="2.661"/>
    <n v="2.661"/>
    <n v="2.661"/>
    <n v="2.661"/>
    <n v="37"/>
    <x v="0"/>
    <n v="0"/>
    <n v="0"/>
    <n v="18"/>
    <n v="52"/>
    <n v="0"/>
    <n v="423.11"/>
    <n v="211.54"/>
    <m/>
    <n v="466.80480266168996"/>
    <n v="196.56876174373542"/>
    <n v="0"/>
    <n v="1125.89571"/>
    <n v="562.90793999999994"/>
    <n v="0"/>
    <n v="1242.1675798827571"/>
    <n v="523.06947500007993"/>
  </r>
  <r>
    <s v="Regular"/>
    <x v="1"/>
    <x v="3"/>
    <x v="5"/>
    <x v="6"/>
    <x v="0"/>
    <x v="0"/>
    <x v="2"/>
    <x v="10"/>
    <n v="0"/>
    <n v="0"/>
    <n v="0.85499999999999998"/>
    <n v="0.85499999999999998"/>
    <n v="0.85499999999999998"/>
    <n v="0.85499999999999998"/>
    <n v="8"/>
    <x v="0"/>
    <n v="0"/>
    <n v="0"/>
    <n v="18"/>
    <n v="52"/>
    <n v="0"/>
    <n v="423.11"/>
    <n v="211.54"/>
    <m/>
    <n v="466.80480266168996"/>
    <n v="196.56876174373542"/>
    <n v="0"/>
    <n v="361.75905"/>
    <n v="180.86669999999998"/>
    <n v="0"/>
    <n v="399.11810627574494"/>
    <n v="168.06629129089379"/>
  </r>
  <r>
    <s v="Regular"/>
    <x v="1"/>
    <x v="3"/>
    <x v="5"/>
    <x v="6"/>
    <x v="0"/>
    <x v="0"/>
    <x v="2"/>
    <x v="11"/>
    <n v="0"/>
    <n v="0"/>
    <n v="1.321"/>
    <n v="1.321"/>
    <n v="1.321"/>
    <n v="1.321"/>
    <n v="9"/>
    <x v="0"/>
    <n v="0"/>
    <n v="0"/>
    <n v="18"/>
    <n v="52"/>
    <n v="0"/>
    <n v="423.11"/>
    <n v="211.54"/>
    <m/>
    <n v="466.80480266168996"/>
    <n v="196.56876174373542"/>
    <n v="0"/>
    <n v="558.92831000000001"/>
    <n v="279.44433999999995"/>
    <n v="0"/>
    <n v="616.64914431609236"/>
    <n v="259.66733426347446"/>
  </r>
  <r>
    <s v="Regular"/>
    <x v="2"/>
    <x v="3"/>
    <x v="4"/>
    <x v="1"/>
    <x v="2"/>
    <x v="0"/>
    <x v="2"/>
    <x v="0"/>
    <n v="0"/>
    <n v="0"/>
    <n v="2.1880000000000002"/>
    <n v="2.1880000000000002"/>
    <n v="2.1880000000000002"/>
    <n v="2.1880000000000002"/>
    <n v="0"/>
    <x v="0"/>
    <n v="0"/>
    <n v="0"/>
    <n v="42"/>
    <n v="63"/>
    <n v="0"/>
    <n v="430.35"/>
    <n v="186.16"/>
    <m/>
    <n v="536.63434130853489"/>
    <n v="184.7746360391113"/>
    <n v="0"/>
    <n v="941.60580000000016"/>
    <n v="407.31808000000001"/>
    <n v="0"/>
    <n v="1174.1559387830744"/>
    <n v="404.28690365357556"/>
  </r>
  <r>
    <s v="Sistema de Compensação"/>
    <x v="2"/>
    <x v="3"/>
    <x v="4"/>
    <x v="1"/>
    <x v="2"/>
    <x v="0"/>
    <x v="2"/>
    <x v="0"/>
    <n v="0"/>
    <n v="0"/>
    <n v="0.2"/>
    <n v="0.2"/>
    <n v="0.2"/>
    <n v="0.2"/>
    <n v="0"/>
    <x v="0"/>
    <n v="0"/>
    <n v="0"/>
    <n v="42"/>
    <n v="63"/>
    <n v="0"/>
    <n v="430.35"/>
    <n v="186.16"/>
    <m/>
    <n v="536.63434130853489"/>
    <n v="184.7746360391113"/>
    <n v="0"/>
    <n v="86.070000000000007"/>
    <n v="37.231999999999999"/>
    <n v="0"/>
    <n v="107.32686826170698"/>
    <n v="36.954927207822259"/>
  </r>
  <r>
    <s v="Regular"/>
    <x v="2"/>
    <x v="3"/>
    <x v="4"/>
    <x v="1"/>
    <x v="2"/>
    <x v="0"/>
    <x v="2"/>
    <x v="1"/>
    <n v="0"/>
    <n v="0"/>
    <n v="3.657"/>
    <n v="3.657"/>
    <n v="3.657"/>
    <n v="3.657"/>
    <n v="0"/>
    <x v="0"/>
    <n v="0"/>
    <n v="0"/>
    <n v="42"/>
    <n v="63"/>
    <n v="0"/>
    <n v="430.35"/>
    <n v="186.16"/>
    <m/>
    <n v="536.63434130853489"/>
    <n v="184.7746360391113"/>
    <n v="0"/>
    <n v="1573.7899500000001"/>
    <n v="680.78711999999996"/>
    <n v="0"/>
    <n v="1962.4717861653121"/>
    <n v="675.72084399503001"/>
  </r>
  <r>
    <s v="Regular"/>
    <x v="2"/>
    <x v="3"/>
    <x v="4"/>
    <x v="1"/>
    <x v="2"/>
    <x v="0"/>
    <x v="2"/>
    <x v="2"/>
    <n v="0"/>
    <n v="0"/>
    <n v="3.3420000000000001"/>
    <n v="3.3420000000000001"/>
    <n v="3.3420000000000001"/>
    <n v="3.3420000000000001"/>
    <n v="0"/>
    <x v="0"/>
    <n v="0"/>
    <n v="0"/>
    <n v="42"/>
    <n v="63"/>
    <n v="0"/>
    <n v="430.35"/>
    <n v="186.16"/>
    <m/>
    <n v="536.63434130853489"/>
    <n v="184.7746360391113"/>
    <n v="0"/>
    <n v="1438.2297000000001"/>
    <n v="622.14671999999996"/>
    <n v="0"/>
    <n v="1793.4319686531237"/>
    <n v="617.51683364271003"/>
  </r>
  <r>
    <s v="Sistema de Compensação"/>
    <x v="2"/>
    <x v="3"/>
    <x v="4"/>
    <x v="1"/>
    <x v="2"/>
    <x v="0"/>
    <x v="2"/>
    <x v="2"/>
    <n v="0"/>
    <n v="0"/>
    <n v="0.25"/>
    <n v="0.25"/>
    <n v="0.25"/>
    <n v="0.25"/>
    <n v="0"/>
    <x v="0"/>
    <n v="0"/>
    <n v="0"/>
    <n v="42"/>
    <n v="63"/>
    <n v="0"/>
    <n v="430.35"/>
    <n v="186.16"/>
    <m/>
    <n v="536.63434130853489"/>
    <n v="184.7746360391113"/>
    <n v="0"/>
    <n v="107.58750000000001"/>
    <n v="46.54"/>
    <n v="0"/>
    <n v="134.15858532713372"/>
    <n v="46.193659009777825"/>
  </r>
  <r>
    <s v="Regular"/>
    <x v="2"/>
    <x v="3"/>
    <x v="4"/>
    <x v="1"/>
    <x v="2"/>
    <x v="0"/>
    <x v="2"/>
    <x v="3"/>
    <n v="0"/>
    <n v="0"/>
    <n v="1.994"/>
    <n v="1.994"/>
    <n v="1.994"/>
    <n v="1.994"/>
    <n v="0"/>
    <x v="0"/>
    <n v="0"/>
    <n v="0"/>
    <n v="42"/>
    <n v="63"/>
    <n v="0"/>
    <n v="430.35"/>
    <n v="186.16"/>
    <m/>
    <n v="536.63434130853489"/>
    <n v="184.7746360391113"/>
    <n v="0"/>
    <n v="858.11790000000008"/>
    <n v="371.20303999999999"/>
    <n v="0"/>
    <n v="1070.0488765692185"/>
    <n v="368.44062426198792"/>
  </r>
  <r>
    <s v="Sistema de Compensação"/>
    <x v="2"/>
    <x v="3"/>
    <x v="4"/>
    <x v="1"/>
    <x v="2"/>
    <x v="0"/>
    <x v="2"/>
    <x v="3"/>
    <n v="0"/>
    <n v="0"/>
    <n v="0.439"/>
    <n v="0.439"/>
    <n v="0.439"/>
    <n v="0.439"/>
    <n v="0"/>
    <x v="0"/>
    <n v="0"/>
    <n v="0"/>
    <n v="42"/>
    <n v="63"/>
    <n v="0"/>
    <n v="430.35"/>
    <n v="186.16"/>
    <m/>
    <n v="536.63434130853489"/>
    <n v="184.7746360391113"/>
    <n v="0"/>
    <n v="188.92365000000001"/>
    <n v="81.724239999999995"/>
    <n v="0"/>
    <n v="235.58247583444683"/>
    <n v="81.116065221169862"/>
  </r>
  <r>
    <s v="Regular"/>
    <x v="2"/>
    <x v="3"/>
    <x v="4"/>
    <x v="1"/>
    <x v="2"/>
    <x v="0"/>
    <x v="2"/>
    <x v="4"/>
    <n v="0"/>
    <n v="0"/>
    <n v="21.58"/>
    <n v="21.58"/>
    <n v="21.58"/>
    <n v="21.58"/>
    <n v="0"/>
    <x v="0"/>
    <n v="0"/>
    <n v="0"/>
    <n v="42"/>
    <n v="63"/>
    <n v="0"/>
    <n v="430.35"/>
    <n v="186.16"/>
    <m/>
    <n v="536.63434130853489"/>
    <n v="184.7746360391113"/>
    <n v="0"/>
    <n v="9286.9529999999995"/>
    <n v="4017.3327999999997"/>
    <n v="0"/>
    <n v="11580.569085438183"/>
    <n v="3987.4366457240217"/>
  </r>
  <r>
    <s v="Sistema de Compensação"/>
    <x v="2"/>
    <x v="3"/>
    <x v="4"/>
    <x v="1"/>
    <x v="2"/>
    <x v="0"/>
    <x v="2"/>
    <x v="4"/>
    <n v="0"/>
    <n v="0"/>
    <n v="0.77"/>
    <n v="0.77"/>
    <n v="0.77"/>
    <n v="0.77"/>
    <n v="0"/>
    <x v="0"/>
    <n v="0"/>
    <n v="0"/>
    <n v="42"/>
    <n v="63"/>
    <n v="0"/>
    <n v="430.35"/>
    <n v="186.16"/>
    <m/>
    <n v="536.63434130853489"/>
    <n v="184.7746360391113"/>
    <n v="0"/>
    <n v="331.36950000000002"/>
    <n v="143.3432"/>
    <n v="0"/>
    <n v="413.20844280757188"/>
    <n v="142.27646975011569"/>
  </r>
  <r>
    <s v="Regular"/>
    <x v="2"/>
    <x v="3"/>
    <x v="4"/>
    <x v="1"/>
    <x v="2"/>
    <x v="0"/>
    <x v="2"/>
    <x v="5"/>
    <n v="0"/>
    <n v="0"/>
    <n v="54.412999999999997"/>
    <n v="54.412999999999997"/>
    <n v="54.412999999999997"/>
    <n v="54.412999999999997"/>
    <n v="0"/>
    <x v="0"/>
    <n v="0"/>
    <n v="0"/>
    <n v="42"/>
    <n v="63"/>
    <n v="0"/>
    <n v="430.35"/>
    <n v="186.16"/>
    <m/>
    <n v="536.63434130853489"/>
    <n v="184.7746360391113"/>
    <n v="0"/>
    <n v="23416.634549999999"/>
    <n v="10129.524079999999"/>
    <n v="0"/>
    <n v="29199.884413621308"/>
    <n v="10054.142270796163"/>
  </r>
  <r>
    <s v="Sistema de Compensação"/>
    <x v="2"/>
    <x v="3"/>
    <x v="4"/>
    <x v="1"/>
    <x v="2"/>
    <x v="0"/>
    <x v="2"/>
    <x v="5"/>
    <n v="0"/>
    <n v="0"/>
    <n v="0.59099999999999997"/>
    <n v="0.59099999999999997"/>
    <n v="0.59099999999999997"/>
    <n v="0.59099999999999997"/>
    <n v="0"/>
    <x v="0"/>
    <n v="0"/>
    <n v="0"/>
    <n v="42"/>
    <n v="63"/>
    <n v="0"/>
    <n v="430.35"/>
    <n v="186.16"/>
    <m/>
    <n v="536.63434130853489"/>
    <n v="184.7746360391113"/>
    <n v="0"/>
    <n v="254.33685"/>
    <n v="110.02055999999999"/>
    <n v="0"/>
    <n v="317.15089571334408"/>
    <n v="109.20180989911478"/>
  </r>
  <r>
    <s v="Regular"/>
    <x v="2"/>
    <x v="3"/>
    <x v="4"/>
    <x v="1"/>
    <x v="2"/>
    <x v="0"/>
    <x v="2"/>
    <x v="6"/>
    <n v="0"/>
    <n v="0"/>
    <n v="37.627000000000002"/>
    <n v="37.627000000000002"/>
    <n v="37.627000000000002"/>
    <n v="37.627000000000002"/>
    <n v="0"/>
    <x v="0"/>
    <n v="0"/>
    <n v="0"/>
    <n v="42"/>
    <n v="63"/>
    <n v="0"/>
    <n v="430.35"/>
    <n v="186.16"/>
    <m/>
    <n v="536.63434130853489"/>
    <n v="184.7746360391113"/>
    <n v="0"/>
    <n v="16192.779450000002"/>
    <n v="7004.6423199999999"/>
    <n v="0"/>
    <n v="20191.940360416243"/>
    <n v="6952.5152302436418"/>
  </r>
  <r>
    <s v="Sistema de Compensação"/>
    <x v="2"/>
    <x v="3"/>
    <x v="4"/>
    <x v="1"/>
    <x v="2"/>
    <x v="0"/>
    <x v="2"/>
    <x v="6"/>
    <n v="0"/>
    <n v="0"/>
    <n v="1.292"/>
    <n v="1.292"/>
    <n v="1.292"/>
    <n v="1.292"/>
    <n v="0"/>
    <x v="0"/>
    <n v="0"/>
    <n v="0"/>
    <n v="42"/>
    <n v="63"/>
    <n v="0"/>
    <n v="430.35"/>
    <n v="186.16"/>
    <m/>
    <n v="536.63434130853489"/>
    <n v="184.7746360391113"/>
    <n v="0"/>
    <n v="556.01220000000001"/>
    <n v="240.51872"/>
    <n v="0"/>
    <n v="693.33156897062713"/>
    <n v="238.7288297625318"/>
  </r>
  <r>
    <s v="Regular"/>
    <x v="2"/>
    <x v="3"/>
    <x v="4"/>
    <x v="1"/>
    <x v="2"/>
    <x v="0"/>
    <x v="2"/>
    <x v="7"/>
    <n v="0"/>
    <n v="0"/>
    <n v="31.638999999999999"/>
    <n v="31.638999999999999"/>
    <n v="31.638999999999999"/>
    <n v="31.638999999999999"/>
    <n v="0"/>
    <x v="0"/>
    <n v="0"/>
    <n v="0"/>
    <n v="42"/>
    <n v="63"/>
    <n v="0"/>
    <n v="430.35"/>
    <n v="186.16"/>
    <m/>
    <n v="536.63434130853489"/>
    <n v="184.7746360391113"/>
    <n v="0"/>
    <n v="13615.843650000001"/>
    <n v="5889.9162399999996"/>
    <n v="0"/>
    <n v="16978.573924660734"/>
    <n v="5846.0847096414427"/>
  </r>
  <r>
    <s v="Sistema de Compensação"/>
    <x v="2"/>
    <x v="3"/>
    <x v="4"/>
    <x v="1"/>
    <x v="2"/>
    <x v="0"/>
    <x v="2"/>
    <x v="7"/>
    <n v="0"/>
    <n v="0"/>
    <n v="0.05"/>
    <n v="0.05"/>
    <n v="0.05"/>
    <n v="0.05"/>
    <n v="0"/>
    <x v="0"/>
    <n v="0"/>
    <n v="0"/>
    <n v="42"/>
    <n v="63"/>
    <n v="0"/>
    <n v="430.35"/>
    <n v="186.16"/>
    <m/>
    <n v="536.63434130853489"/>
    <n v="184.7746360391113"/>
    <n v="0"/>
    <n v="21.517500000000002"/>
    <n v="9.3079999999999998"/>
    <n v="0"/>
    <n v="26.831717065426744"/>
    <n v="9.2387318019555646"/>
  </r>
  <r>
    <s v="Regular"/>
    <x v="2"/>
    <x v="3"/>
    <x v="4"/>
    <x v="1"/>
    <x v="2"/>
    <x v="0"/>
    <x v="2"/>
    <x v="8"/>
    <n v="0"/>
    <n v="0"/>
    <n v="47.743000000000002"/>
    <n v="47.743000000000002"/>
    <n v="47.743000000000002"/>
    <n v="47.743000000000002"/>
    <n v="0"/>
    <x v="0"/>
    <n v="0"/>
    <n v="0"/>
    <n v="42"/>
    <n v="63"/>
    <n v="0"/>
    <n v="430.35"/>
    <n v="186.16"/>
    <m/>
    <n v="536.63434130853489"/>
    <n v="184.7746360391113"/>
    <n v="0"/>
    <n v="20546.200050000003"/>
    <n v="8887.8368800000007"/>
    <n v="0"/>
    <n v="25620.533357093384"/>
    <n v="8821.695448415292"/>
  </r>
  <r>
    <s v="Refaturamento - Regular"/>
    <x v="2"/>
    <x v="3"/>
    <x v="4"/>
    <x v="1"/>
    <x v="2"/>
    <x v="0"/>
    <x v="2"/>
    <x v="8"/>
    <n v="0"/>
    <n v="0"/>
    <n v="-5.843"/>
    <n v="-5.843"/>
    <n v="-5.843"/>
    <n v="-5.843"/>
    <n v="0"/>
    <x v="0"/>
    <n v="0"/>
    <n v="0"/>
    <n v="42"/>
    <n v="63"/>
    <n v="0"/>
    <n v="430.35"/>
    <n v="186.16"/>
    <m/>
    <n v="536.63434130853489"/>
    <n v="184.7746360391113"/>
    <n v="0"/>
    <n v="-2514.53505"/>
    <n v="-1087.73288"/>
    <n v="0"/>
    <n v="-3135.5544562657692"/>
    <n v="-1079.6381983765273"/>
  </r>
  <r>
    <s v="Sistema de Compensação"/>
    <x v="2"/>
    <x v="3"/>
    <x v="4"/>
    <x v="1"/>
    <x v="2"/>
    <x v="0"/>
    <x v="2"/>
    <x v="8"/>
    <n v="0"/>
    <n v="0"/>
    <n v="0.05"/>
    <n v="0.05"/>
    <n v="0.05"/>
    <n v="0.05"/>
    <n v="0"/>
    <x v="0"/>
    <n v="0"/>
    <n v="0"/>
    <n v="42"/>
    <n v="63"/>
    <n v="0"/>
    <n v="430.35"/>
    <n v="186.16"/>
    <m/>
    <n v="536.63434130853489"/>
    <n v="184.7746360391113"/>
    <n v="0"/>
    <n v="21.517500000000002"/>
    <n v="9.3079999999999998"/>
    <n v="0"/>
    <n v="26.831717065426744"/>
    <n v="9.2387318019555646"/>
  </r>
  <r>
    <s v="Regular"/>
    <x v="2"/>
    <x v="3"/>
    <x v="4"/>
    <x v="1"/>
    <x v="2"/>
    <x v="0"/>
    <x v="2"/>
    <x v="9"/>
    <n v="0"/>
    <n v="0"/>
    <n v="2.0830000000000002"/>
    <n v="2.0830000000000002"/>
    <n v="2.0830000000000002"/>
    <n v="2.0830000000000002"/>
    <n v="0"/>
    <x v="0"/>
    <n v="0"/>
    <n v="0"/>
    <n v="42"/>
    <n v="63"/>
    <n v="0"/>
    <n v="430.35"/>
    <n v="186.16"/>
    <m/>
    <n v="536.63434130853489"/>
    <n v="184.7746360391113"/>
    <n v="0"/>
    <n v="896.41905000000008"/>
    <n v="387.77128000000005"/>
    <n v="0"/>
    <n v="1117.8093329456783"/>
    <n v="384.88556686946885"/>
  </r>
  <r>
    <s v="Refaturamento - Regular"/>
    <x v="2"/>
    <x v="3"/>
    <x v="4"/>
    <x v="1"/>
    <x v="2"/>
    <x v="0"/>
    <x v="2"/>
    <x v="9"/>
    <n v="0"/>
    <n v="0"/>
    <n v="-30.838999999999999"/>
    <n v="-30.838999999999999"/>
    <n v="-30.838999999999999"/>
    <n v="-30.838999999999999"/>
    <n v="0"/>
    <x v="0"/>
    <n v="0"/>
    <n v="0"/>
    <n v="42"/>
    <n v="63"/>
    <n v="0"/>
    <n v="430.35"/>
    <n v="186.16"/>
    <m/>
    <n v="536.63434130853489"/>
    <n v="184.7746360391113"/>
    <n v="0"/>
    <n v="-13271.56365"/>
    <n v="-5740.9882399999997"/>
    <n v="0"/>
    <n v="-16549.266451613905"/>
    <n v="-5698.2650008101527"/>
  </r>
  <r>
    <s v="Sistema de Compensação"/>
    <x v="2"/>
    <x v="3"/>
    <x v="4"/>
    <x v="1"/>
    <x v="2"/>
    <x v="0"/>
    <x v="2"/>
    <x v="9"/>
    <n v="0"/>
    <n v="0"/>
    <n v="0.05"/>
    <n v="0.05"/>
    <n v="0.05"/>
    <n v="0.05"/>
    <n v="0"/>
    <x v="0"/>
    <n v="0"/>
    <n v="0"/>
    <n v="42"/>
    <n v="63"/>
    <n v="0"/>
    <n v="430.35"/>
    <n v="186.16"/>
    <m/>
    <n v="536.63434130853489"/>
    <n v="184.7746360391113"/>
    <n v="0"/>
    <n v="21.517500000000002"/>
    <n v="9.3079999999999998"/>
    <n v="0"/>
    <n v="26.831717065426744"/>
    <n v="9.2387318019555646"/>
  </r>
  <r>
    <s v="Regular"/>
    <x v="2"/>
    <x v="3"/>
    <x v="4"/>
    <x v="1"/>
    <x v="2"/>
    <x v="0"/>
    <x v="2"/>
    <x v="10"/>
    <n v="0"/>
    <n v="0"/>
    <n v="1.9770000000000001"/>
    <n v="1.9770000000000001"/>
    <n v="1.9770000000000001"/>
    <n v="1.9770000000000001"/>
    <n v="0"/>
    <x v="0"/>
    <n v="0"/>
    <n v="0"/>
    <n v="42"/>
    <n v="63"/>
    <n v="0"/>
    <n v="430.35"/>
    <n v="186.16"/>
    <m/>
    <n v="536.63434130853489"/>
    <n v="184.7746360391113"/>
    <n v="0"/>
    <n v="850.80195000000003"/>
    <n v="368.03832"/>
    <n v="0"/>
    <n v="1060.9260927669736"/>
    <n v="365.29945544932303"/>
  </r>
  <r>
    <s v="Sistema de Compensação"/>
    <x v="2"/>
    <x v="3"/>
    <x v="4"/>
    <x v="1"/>
    <x v="2"/>
    <x v="0"/>
    <x v="2"/>
    <x v="10"/>
    <n v="0"/>
    <n v="0"/>
    <n v="3.1E-2"/>
    <n v="3.1E-2"/>
    <n v="3.1E-2"/>
    <n v="3.1E-2"/>
    <n v="0"/>
    <x v="0"/>
    <n v="0"/>
    <n v="0"/>
    <n v="42"/>
    <n v="63"/>
    <n v="0"/>
    <n v="430.35"/>
    <n v="186.16"/>
    <m/>
    <n v="536.63434130853489"/>
    <n v="184.7746360391113"/>
    <n v="0"/>
    <n v="13.340850000000001"/>
    <n v="5.7709599999999996"/>
    <n v="0"/>
    <n v="16.63566458056458"/>
    <n v="5.7280137172124501"/>
  </r>
  <r>
    <s v="Regular"/>
    <x v="2"/>
    <x v="3"/>
    <x v="4"/>
    <x v="1"/>
    <x v="2"/>
    <x v="0"/>
    <x v="2"/>
    <x v="11"/>
    <n v="0"/>
    <n v="0"/>
    <n v="1.9339999999999999"/>
    <n v="1.9339999999999999"/>
    <n v="1.9339999999999999"/>
    <n v="1.9339999999999999"/>
    <n v="0"/>
    <x v="0"/>
    <n v="0"/>
    <n v="0"/>
    <n v="42"/>
    <n v="63"/>
    <n v="0"/>
    <n v="430.35"/>
    <n v="186.16"/>
    <m/>
    <n v="536.63434130853489"/>
    <n v="184.7746360391113"/>
    <n v="0"/>
    <n v="832.29690000000005"/>
    <n v="360.03343999999998"/>
    <n v="0"/>
    <n v="1037.8508160907065"/>
    <n v="357.35414609964124"/>
  </r>
  <r>
    <s v="Sistema de Compensação"/>
    <x v="2"/>
    <x v="3"/>
    <x v="4"/>
    <x v="1"/>
    <x v="2"/>
    <x v="0"/>
    <x v="2"/>
    <x v="11"/>
    <n v="0"/>
    <n v="0"/>
    <n v="0.1"/>
    <n v="0.1"/>
    <n v="0.1"/>
    <n v="0.1"/>
    <n v="0"/>
    <x v="0"/>
    <n v="0"/>
    <n v="0"/>
    <n v="42"/>
    <n v="63"/>
    <n v="0"/>
    <n v="430.35"/>
    <n v="186.16"/>
    <m/>
    <n v="536.63434130853489"/>
    <n v="184.7746360391113"/>
    <n v="0"/>
    <n v="43.035000000000004"/>
    <n v="18.616"/>
    <n v="0"/>
    <n v="53.663434130853489"/>
    <n v="18.477463603911129"/>
  </r>
  <r>
    <s v="Regular"/>
    <x v="2"/>
    <x v="3"/>
    <x v="4"/>
    <x v="1"/>
    <x v="1"/>
    <x v="0"/>
    <x v="2"/>
    <x v="0"/>
    <n v="0"/>
    <n v="0"/>
    <n v="1.831"/>
    <n v="0.73240000000000005"/>
    <n v="1.831"/>
    <n v="0.73240000000000005"/>
    <n v="0"/>
    <x v="0"/>
    <n v="0"/>
    <n v="0"/>
    <n v="29"/>
    <n v="63"/>
    <n v="0"/>
    <n v="410.79"/>
    <n v="186.16"/>
    <m/>
    <n v="536.63434130853489"/>
    <n v="184.7746360391113"/>
    <n v="0"/>
    <n v="300.86259600000005"/>
    <n v="136.34358400000002"/>
    <n v="0"/>
    <n v="393.030991574371"/>
    <n v="135.32894343504512"/>
  </r>
  <r>
    <s v="Regular"/>
    <x v="2"/>
    <x v="3"/>
    <x v="4"/>
    <x v="1"/>
    <x v="1"/>
    <x v="0"/>
    <x v="2"/>
    <x v="1"/>
    <n v="0"/>
    <n v="0"/>
    <n v="4.3730000000000002"/>
    <n v="1.7492000000000001"/>
    <n v="4.3730000000000002"/>
    <n v="1.7492000000000001"/>
    <n v="0"/>
    <x v="0"/>
    <n v="0"/>
    <n v="0"/>
    <n v="29"/>
    <n v="63"/>
    <n v="0"/>
    <n v="410.79"/>
    <n v="186.16"/>
    <m/>
    <n v="536.63434130853489"/>
    <n v="184.7746360391113"/>
    <n v="0"/>
    <n v="718.55386800000008"/>
    <n v="325.63107200000002"/>
    <n v="0"/>
    <n v="938.68078981688927"/>
    <n v="323.2077933596135"/>
  </r>
  <r>
    <s v="Regular"/>
    <x v="2"/>
    <x v="3"/>
    <x v="4"/>
    <x v="1"/>
    <x v="1"/>
    <x v="0"/>
    <x v="2"/>
    <x v="2"/>
    <n v="0"/>
    <n v="0"/>
    <n v="5.4829999999999997"/>
    <n v="2.1932"/>
    <n v="5.4829999999999997"/>
    <n v="2.1932"/>
    <n v="0"/>
    <x v="0"/>
    <n v="0"/>
    <n v="0"/>
    <n v="29"/>
    <n v="63"/>
    <n v="0"/>
    <n v="410.79"/>
    <n v="186.16"/>
    <m/>
    <n v="536.63434130853489"/>
    <n v="184.7746360391113"/>
    <n v="0"/>
    <n v="900.94462800000008"/>
    <n v="408.286112"/>
    <n v="0"/>
    <n v="1176.9464373578787"/>
    <n v="405.24773176097892"/>
  </r>
  <r>
    <s v="Regular"/>
    <x v="2"/>
    <x v="3"/>
    <x v="4"/>
    <x v="1"/>
    <x v="1"/>
    <x v="0"/>
    <x v="2"/>
    <x v="3"/>
    <n v="0"/>
    <n v="0"/>
    <n v="1.776"/>
    <n v="0.71040000000000003"/>
    <n v="1.776"/>
    <n v="0.71040000000000003"/>
    <n v="0"/>
    <x v="0"/>
    <n v="0"/>
    <n v="0"/>
    <n v="29"/>
    <n v="63"/>
    <n v="0"/>
    <n v="410.79"/>
    <n v="186.16"/>
    <m/>
    <n v="536.63434130853489"/>
    <n v="184.7746360391113"/>
    <n v="0"/>
    <n v="291.82521600000001"/>
    <n v="132.248064"/>
    <n v="0"/>
    <n v="381.2250360655832"/>
    <n v="131.26390144218468"/>
  </r>
  <r>
    <s v="Sistema de Compensação"/>
    <x v="2"/>
    <x v="3"/>
    <x v="4"/>
    <x v="1"/>
    <x v="1"/>
    <x v="0"/>
    <x v="2"/>
    <x v="3"/>
    <n v="0"/>
    <n v="0"/>
    <n v="4.0000000000000001E-3"/>
    <n v="4.0000000000000001E-3"/>
    <n v="4.0000000000000001E-3"/>
    <n v="4.0000000000000001E-3"/>
    <n v="0"/>
    <x v="0"/>
    <n v="0"/>
    <n v="0"/>
    <n v="29"/>
    <n v="63"/>
    <n v="0"/>
    <n v="410.79"/>
    <n v="186.16"/>
    <m/>
    <n v="536.63434130853489"/>
    <n v="184.7746360391113"/>
    <n v="0"/>
    <n v="1.6431600000000002"/>
    <n v="0.74463999999999997"/>
    <n v="0"/>
    <n v="2.1465373652341397"/>
    <n v="0.73909854415644527"/>
  </r>
  <r>
    <s v="Regular"/>
    <x v="2"/>
    <x v="3"/>
    <x v="4"/>
    <x v="1"/>
    <x v="1"/>
    <x v="0"/>
    <x v="2"/>
    <x v="4"/>
    <n v="0"/>
    <n v="0"/>
    <n v="48.173999999999999"/>
    <n v="19.269600000000001"/>
    <n v="48.173999999999999"/>
    <n v="19.269600000000001"/>
    <n v="0"/>
    <x v="0"/>
    <n v="0"/>
    <n v="0"/>
    <n v="29"/>
    <n v="63"/>
    <n v="0"/>
    <n v="410.79"/>
    <n v="186.16"/>
    <m/>
    <n v="536.63434130853489"/>
    <n v="184.7746360391113"/>
    <n v="0"/>
    <n v="7915.758984000001"/>
    <n v="3587.228736"/>
    <n v="0"/>
    <n v="10340.729103278944"/>
    <n v="3560.5333266192592"/>
  </r>
  <r>
    <s v="Sistema de Compensação"/>
    <x v="2"/>
    <x v="3"/>
    <x v="4"/>
    <x v="1"/>
    <x v="1"/>
    <x v="0"/>
    <x v="2"/>
    <x v="4"/>
    <n v="0"/>
    <n v="0"/>
    <n v="6.6000000000000003E-2"/>
    <n v="6.6000000000000003E-2"/>
    <n v="6.6000000000000003E-2"/>
    <n v="6.6000000000000003E-2"/>
    <n v="0"/>
    <x v="0"/>
    <n v="0"/>
    <n v="0"/>
    <n v="29"/>
    <n v="63"/>
    <n v="0"/>
    <n v="410.79"/>
    <n v="186.16"/>
    <m/>
    <n v="536.63434130853489"/>
    <n v="184.7746360391113"/>
    <n v="0"/>
    <n v="27.112140000000004"/>
    <n v="12.28656"/>
    <n v="0"/>
    <n v="35.417866526363305"/>
    <n v="12.195125978581347"/>
  </r>
  <r>
    <s v="Regular"/>
    <x v="2"/>
    <x v="3"/>
    <x v="4"/>
    <x v="1"/>
    <x v="1"/>
    <x v="0"/>
    <x v="2"/>
    <x v="5"/>
    <n v="0"/>
    <n v="0"/>
    <n v="81.238"/>
    <n v="32.495199999999997"/>
    <n v="81.238"/>
    <n v="32.495199999999997"/>
    <n v="0"/>
    <x v="0"/>
    <n v="0"/>
    <n v="0"/>
    <n v="29"/>
    <n v="63"/>
    <n v="0"/>
    <n v="410.79"/>
    <n v="186.16"/>
    <m/>
    <n v="536.63434130853489"/>
    <n v="184.7746360391113"/>
    <n v="0"/>
    <n v="13348.703207999999"/>
    <n v="6049.3064319999994"/>
    <n v="0"/>
    <n v="17438.040247689099"/>
    <n v="6004.2887530181288"/>
  </r>
  <r>
    <s v="Sistema de Compensação"/>
    <x v="2"/>
    <x v="3"/>
    <x v="4"/>
    <x v="1"/>
    <x v="1"/>
    <x v="0"/>
    <x v="2"/>
    <x v="5"/>
    <n v="0"/>
    <n v="0"/>
    <n v="0.126"/>
    <n v="0.126"/>
    <n v="0.126"/>
    <n v="0.126"/>
    <n v="0"/>
    <x v="0"/>
    <n v="0"/>
    <n v="0"/>
    <n v="29"/>
    <n v="63"/>
    <n v="0"/>
    <n v="410.79"/>
    <n v="186.16"/>
    <m/>
    <n v="536.63434130853489"/>
    <n v="184.7746360391113"/>
    <n v="0"/>
    <n v="51.759540000000001"/>
    <n v="23.456160000000001"/>
    <n v="0"/>
    <n v="67.615927004875402"/>
    <n v="23.281604140928025"/>
  </r>
  <r>
    <s v="Regular"/>
    <x v="2"/>
    <x v="3"/>
    <x v="4"/>
    <x v="1"/>
    <x v="1"/>
    <x v="0"/>
    <x v="2"/>
    <x v="6"/>
    <n v="0"/>
    <n v="0"/>
    <n v="52.499000000000002"/>
    <n v="20.999600000000001"/>
    <n v="52.499000000000002"/>
    <n v="20.999600000000001"/>
    <n v="0"/>
    <x v="0"/>
    <n v="0"/>
    <n v="0"/>
    <n v="29"/>
    <n v="63"/>
    <n v="0"/>
    <n v="410.79"/>
    <n v="186.16"/>
    <m/>
    <n v="536.63434130853489"/>
    <n v="184.7746360391113"/>
    <n v="0"/>
    <n v="8626.4256840000016"/>
    <n v="3909.2855360000003"/>
    <n v="0"/>
    <n v="11269.10651374271"/>
    <n v="3880.1934469669218"/>
  </r>
  <r>
    <s v="Sistema de Compensação"/>
    <x v="2"/>
    <x v="3"/>
    <x v="4"/>
    <x v="1"/>
    <x v="1"/>
    <x v="0"/>
    <x v="2"/>
    <x v="6"/>
    <n v="0"/>
    <n v="0"/>
    <n v="0.86899999999999999"/>
    <n v="0.86899999999999999"/>
    <n v="0.86899999999999999"/>
    <n v="0.86899999999999999"/>
    <n v="0"/>
    <x v="0"/>
    <n v="0"/>
    <n v="0"/>
    <n v="29"/>
    <n v="63"/>
    <n v="0"/>
    <n v="410.79"/>
    <n v="186.16"/>
    <m/>
    <n v="536.63434130853489"/>
    <n v="184.7746360391113"/>
    <n v="0"/>
    <n v="356.97651000000002"/>
    <n v="161.77304000000001"/>
    <n v="0"/>
    <n v="466.3352425971168"/>
    <n v="160.5691587179877"/>
  </r>
  <r>
    <s v="Regular"/>
    <x v="2"/>
    <x v="3"/>
    <x v="4"/>
    <x v="1"/>
    <x v="1"/>
    <x v="0"/>
    <x v="2"/>
    <x v="7"/>
    <n v="0"/>
    <n v="0"/>
    <n v="28.091000000000001"/>
    <n v="11.2364"/>
    <n v="28.091000000000001"/>
    <n v="11.2364"/>
    <n v="0"/>
    <x v="0"/>
    <n v="0"/>
    <n v="0"/>
    <n v="29"/>
    <n v="63"/>
    <n v="0"/>
    <n v="410.79"/>
    <n v="186.16"/>
    <m/>
    <n v="536.63434130853489"/>
    <n v="184.7746360391113"/>
    <n v="0"/>
    <n v="4615.8007560000005"/>
    <n v="2091.7682239999999"/>
    <n v="0"/>
    <n v="6029.838112679221"/>
    <n v="2076.2017203898699"/>
  </r>
  <r>
    <s v="Regular"/>
    <x v="2"/>
    <x v="3"/>
    <x v="4"/>
    <x v="1"/>
    <x v="1"/>
    <x v="0"/>
    <x v="2"/>
    <x v="8"/>
    <n v="0"/>
    <n v="0"/>
    <n v="22.385999999999999"/>
    <n v="8.9543999999999997"/>
    <n v="22.385999999999999"/>
    <n v="8.9543999999999997"/>
    <n v="0"/>
    <x v="0"/>
    <n v="0"/>
    <n v="0"/>
    <n v="29"/>
    <n v="63"/>
    <n v="0"/>
    <n v="410.79"/>
    <n v="186.16"/>
    <m/>
    <n v="536.63434130853489"/>
    <n v="184.7746360391113"/>
    <n v="0"/>
    <n v="3678.3779760000002"/>
    <n v="1666.951104"/>
    <n v="0"/>
    <n v="4805.2385458131448"/>
    <n v="1654.5460009486183"/>
  </r>
  <r>
    <s v="Regular"/>
    <x v="2"/>
    <x v="3"/>
    <x v="4"/>
    <x v="1"/>
    <x v="1"/>
    <x v="0"/>
    <x v="2"/>
    <x v="9"/>
    <n v="0"/>
    <n v="0"/>
    <n v="0.58399999999999996"/>
    <n v="0.2336"/>
    <n v="0.58399999999999996"/>
    <n v="0.2336"/>
    <n v="0"/>
    <x v="0"/>
    <n v="0"/>
    <n v="0"/>
    <n v="29"/>
    <n v="63"/>
    <n v="0"/>
    <n v="410.79"/>
    <n v="186.16"/>
    <m/>
    <n v="536.63434130853489"/>
    <n v="184.7746360391113"/>
    <n v="0"/>
    <n v="95.960543999999999"/>
    <n v="43.486975999999999"/>
    <n v="0"/>
    <n v="125.35778212967375"/>
    <n v="43.1633549787364"/>
  </r>
  <r>
    <s v="Refaturamento - Regular"/>
    <x v="2"/>
    <x v="3"/>
    <x v="4"/>
    <x v="1"/>
    <x v="1"/>
    <x v="0"/>
    <x v="2"/>
    <x v="9"/>
    <n v="0"/>
    <n v="0"/>
    <n v="-2.7109999999999999"/>
    <n v="-1.0844"/>
    <n v="-2.7109999999999999"/>
    <n v="-1.0844"/>
    <n v="0"/>
    <x v="0"/>
    <n v="0"/>
    <n v="0"/>
    <n v="29"/>
    <n v="63"/>
    <n v="0"/>
    <n v="410.79"/>
    <n v="186.16"/>
    <m/>
    <n v="536.63434130853489"/>
    <n v="184.7746360391113"/>
    <n v="0"/>
    <n v="-445.46067600000003"/>
    <n v="-201.871904"/>
    <n v="0"/>
    <n v="-581.92627971497529"/>
    <n v="-200.3696153208123"/>
  </r>
  <r>
    <s v="Regular"/>
    <x v="2"/>
    <x v="3"/>
    <x v="4"/>
    <x v="1"/>
    <x v="1"/>
    <x v="0"/>
    <x v="2"/>
    <x v="10"/>
    <n v="0"/>
    <n v="0"/>
    <n v="0.55700000000000005"/>
    <n v="0.2228"/>
    <n v="0.55700000000000005"/>
    <n v="0.2228"/>
    <n v="0"/>
    <x v="0"/>
    <n v="0"/>
    <n v="0"/>
    <n v="29"/>
    <n v="63"/>
    <n v="0"/>
    <n v="410.79"/>
    <n v="186.16"/>
    <m/>
    <n v="536.63434130853489"/>
    <n v="184.7746360391113"/>
    <n v="0"/>
    <n v="91.524011999999999"/>
    <n v="41.476447999999998"/>
    <n v="0"/>
    <n v="119.56213124354157"/>
    <n v="41.167788909513995"/>
  </r>
  <r>
    <s v="Sistema de Compensação"/>
    <x v="2"/>
    <x v="3"/>
    <x v="4"/>
    <x v="1"/>
    <x v="1"/>
    <x v="0"/>
    <x v="2"/>
    <x v="10"/>
    <n v="0"/>
    <n v="0"/>
    <n v="1.9E-2"/>
    <n v="1.9E-2"/>
    <n v="1.9E-2"/>
    <n v="1.9E-2"/>
    <n v="0"/>
    <x v="0"/>
    <n v="0"/>
    <n v="0"/>
    <n v="29"/>
    <n v="63"/>
    <n v="0"/>
    <n v="410.79"/>
    <n v="186.16"/>
    <m/>
    <n v="536.63434130853489"/>
    <n v="184.7746360391113"/>
    <n v="0"/>
    <n v="7.8050100000000002"/>
    <n v="3.5370399999999997"/>
    <n v="0"/>
    <n v="10.196052484862163"/>
    <n v="3.5107180847431145"/>
  </r>
  <r>
    <s v="Regular"/>
    <x v="2"/>
    <x v="3"/>
    <x v="4"/>
    <x v="1"/>
    <x v="1"/>
    <x v="0"/>
    <x v="2"/>
    <x v="11"/>
    <n v="0"/>
    <n v="0"/>
    <n v="0.32600000000000001"/>
    <n v="0.13039999999999999"/>
    <n v="0.32600000000000001"/>
    <n v="0.13039999999999999"/>
    <n v="0"/>
    <x v="0"/>
    <n v="0"/>
    <n v="0"/>
    <n v="29"/>
    <n v="63"/>
    <n v="0"/>
    <n v="410.79"/>
    <n v="186.16"/>
    <m/>
    <n v="536.63434130853489"/>
    <n v="184.7746360391113"/>
    <n v="0"/>
    <n v="53.567015999999995"/>
    <n v="24.275263999999996"/>
    <n v="0"/>
    <n v="69.977118106632943"/>
    <n v="24.094612539500112"/>
  </r>
  <r>
    <s v="Regular"/>
    <x v="2"/>
    <x v="3"/>
    <x v="4"/>
    <x v="7"/>
    <x v="2"/>
    <x v="0"/>
    <x v="2"/>
    <x v="0"/>
    <n v="0"/>
    <n v="0"/>
    <n v="2.1739999999999999"/>
    <n v="2.1739999999999999"/>
    <n v="2.1739999999999999"/>
    <n v="2.1739999999999999"/>
    <n v="0"/>
    <x v="0"/>
    <n v="0"/>
    <n v="0"/>
    <n v="42"/>
    <n v="63"/>
    <n v="0"/>
    <n v="430.35"/>
    <n v="186.16"/>
    <m/>
    <n v="536.63434130853489"/>
    <n v="184.7746360391113"/>
    <n v="0"/>
    <n v="935.58090000000004"/>
    <n v="404.71184"/>
    <n v="0"/>
    <n v="1166.6430580047547"/>
    <n v="401.70005874902796"/>
  </r>
  <r>
    <s v="Regular"/>
    <x v="2"/>
    <x v="3"/>
    <x v="4"/>
    <x v="7"/>
    <x v="2"/>
    <x v="0"/>
    <x v="2"/>
    <x v="1"/>
    <n v="0"/>
    <n v="0"/>
    <n v="1.0649999999999999"/>
    <n v="1.0649999999999999"/>
    <n v="1.0649999999999999"/>
    <n v="1.0649999999999999"/>
    <n v="0"/>
    <x v="0"/>
    <n v="0"/>
    <n v="0"/>
    <n v="42"/>
    <n v="63"/>
    <n v="0"/>
    <n v="430.35"/>
    <n v="186.16"/>
    <m/>
    <n v="536.63434130853489"/>
    <n v="184.7746360391113"/>
    <n v="0"/>
    <n v="458.32274999999998"/>
    <n v="198.26039999999998"/>
    <n v="0"/>
    <n v="571.51557349358961"/>
    <n v="196.78498738165354"/>
  </r>
  <r>
    <s v="Regular"/>
    <x v="2"/>
    <x v="3"/>
    <x v="4"/>
    <x v="7"/>
    <x v="2"/>
    <x v="0"/>
    <x v="2"/>
    <x v="2"/>
    <n v="0"/>
    <n v="0"/>
    <n v="0.32900000000000001"/>
    <n v="0.32900000000000001"/>
    <n v="0.32900000000000001"/>
    <n v="0.32900000000000001"/>
    <n v="0"/>
    <x v="0"/>
    <n v="0"/>
    <n v="0"/>
    <n v="42"/>
    <n v="63"/>
    <n v="0"/>
    <n v="430.35"/>
    <n v="186.16"/>
    <m/>
    <n v="536.63434130853489"/>
    <n v="184.7746360391113"/>
    <n v="0"/>
    <n v="141.58515000000003"/>
    <n v="61.246639999999999"/>
    <n v="0"/>
    <n v="176.55269829050798"/>
    <n v="60.790855256867623"/>
  </r>
  <r>
    <s v="Regular"/>
    <x v="2"/>
    <x v="3"/>
    <x v="4"/>
    <x v="7"/>
    <x v="2"/>
    <x v="0"/>
    <x v="2"/>
    <x v="3"/>
    <n v="0"/>
    <n v="0"/>
    <n v="0.58799999999999997"/>
    <n v="0.58799999999999997"/>
    <n v="0.58799999999999997"/>
    <n v="0.58799999999999997"/>
    <n v="0"/>
    <x v="0"/>
    <n v="0"/>
    <n v="0"/>
    <n v="42"/>
    <n v="63"/>
    <n v="0"/>
    <n v="430.35"/>
    <n v="186.16"/>
    <m/>
    <n v="536.63434130853489"/>
    <n v="184.7746360391113"/>
    <n v="0"/>
    <n v="253.04579999999999"/>
    <n v="109.46207999999999"/>
    <n v="0"/>
    <n v="315.54099268941849"/>
    <n v="108.64748599099744"/>
  </r>
  <r>
    <s v="Regular"/>
    <x v="2"/>
    <x v="3"/>
    <x v="4"/>
    <x v="7"/>
    <x v="2"/>
    <x v="0"/>
    <x v="2"/>
    <x v="4"/>
    <n v="0"/>
    <n v="0"/>
    <n v="0.88300000000000001"/>
    <n v="0.88300000000000001"/>
    <n v="0.88300000000000001"/>
    <n v="0.88300000000000001"/>
    <n v="0"/>
    <x v="0"/>
    <n v="0"/>
    <n v="0"/>
    <n v="42"/>
    <n v="63"/>
    <n v="0"/>
    <n v="430.35"/>
    <n v="186.16"/>
    <m/>
    <n v="536.63434130853489"/>
    <n v="184.7746360391113"/>
    <n v="0"/>
    <n v="379.99905000000001"/>
    <n v="164.37927999999999"/>
    <n v="0"/>
    <n v="473.84812337543633"/>
    <n v="163.15600362253528"/>
  </r>
  <r>
    <s v="Regular"/>
    <x v="2"/>
    <x v="3"/>
    <x v="4"/>
    <x v="7"/>
    <x v="2"/>
    <x v="0"/>
    <x v="2"/>
    <x v="5"/>
    <n v="0"/>
    <n v="0"/>
    <n v="0.71299999999999997"/>
    <n v="0.71299999999999997"/>
    <n v="0.71299999999999997"/>
    <n v="0.71299999999999997"/>
    <n v="0"/>
    <x v="0"/>
    <n v="0"/>
    <n v="0"/>
    <n v="42"/>
    <n v="63"/>
    <n v="0"/>
    <n v="430.35"/>
    <n v="186.16"/>
    <m/>
    <n v="536.63434130853489"/>
    <n v="184.7746360391113"/>
    <n v="0"/>
    <n v="306.83954999999997"/>
    <n v="132.73208"/>
    <n v="0"/>
    <n v="382.62028535298538"/>
    <n v="131.74431549588635"/>
  </r>
  <r>
    <s v="Regular"/>
    <x v="2"/>
    <x v="3"/>
    <x v="4"/>
    <x v="7"/>
    <x v="2"/>
    <x v="0"/>
    <x v="2"/>
    <x v="6"/>
    <n v="0"/>
    <n v="0"/>
    <n v="1.84"/>
    <n v="1.84"/>
    <n v="1.84"/>
    <n v="1.84"/>
    <n v="0"/>
    <x v="0"/>
    <n v="0"/>
    <n v="0"/>
    <n v="42"/>
    <n v="63"/>
    <n v="0"/>
    <n v="430.35"/>
    <n v="186.16"/>
    <m/>
    <n v="536.63434130853489"/>
    <n v="184.7746360391113"/>
    <n v="0"/>
    <n v="791.84400000000005"/>
    <n v="342.53440000000001"/>
    <n v="0"/>
    <n v="987.40718800770424"/>
    <n v="339.98533031196479"/>
  </r>
  <r>
    <s v="Regular"/>
    <x v="2"/>
    <x v="3"/>
    <x v="4"/>
    <x v="7"/>
    <x v="2"/>
    <x v="0"/>
    <x v="2"/>
    <x v="7"/>
    <n v="0"/>
    <n v="0"/>
    <n v="1.581"/>
    <n v="1.581"/>
    <n v="1.581"/>
    <n v="1.581"/>
    <n v="0"/>
    <x v="0"/>
    <n v="0"/>
    <n v="0"/>
    <n v="42"/>
    <n v="63"/>
    <n v="0"/>
    <n v="430.35"/>
    <n v="186.16"/>
    <m/>
    <n v="536.63434130853489"/>
    <n v="184.7746360391113"/>
    <n v="0"/>
    <n v="680.38335000000006"/>
    <n v="294.31896"/>
    <n v="0"/>
    <n v="848.41889360879361"/>
    <n v="292.12869957783494"/>
  </r>
  <r>
    <s v="Regular"/>
    <x v="2"/>
    <x v="3"/>
    <x v="4"/>
    <x v="7"/>
    <x v="2"/>
    <x v="0"/>
    <x v="2"/>
    <x v="8"/>
    <n v="0"/>
    <n v="0"/>
    <n v="1.5129999999999999"/>
    <n v="1.5129999999999999"/>
    <n v="1.5129999999999999"/>
    <n v="1.5129999999999999"/>
    <n v="0"/>
    <x v="0"/>
    <n v="0"/>
    <n v="0"/>
    <n v="42"/>
    <n v="63"/>
    <n v="0"/>
    <n v="430.35"/>
    <n v="186.16"/>
    <m/>
    <n v="536.63434130853489"/>
    <n v="184.7746360391113"/>
    <n v="0"/>
    <n v="651.11955"/>
    <n v="281.66007999999999"/>
    <n v="0"/>
    <n v="811.92775839981323"/>
    <n v="279.56402432717539"/>
  </r>
  <r>
    <s v="Regular"/>
    <x v="2"/>
    <x v="3"/>
    <x v="4"/>
    <x v="7"/>
    <x v="2"/>
    <x v="0"/>
    <x v="2"/>
    <x v="9"/>
    <n v="0"/>
    <n v="0"/>
    <n v="0.88800000000000001"/>
    <n v="0.88800000000000001"/>
    <n v="0.88800000000000001"/>
    <n v="0.88800000000000001"/>
    <n v="0"/>
    <x v="0"/>
    <n v="0"/>
    <n v="0"/>
    <n v="42"/>
    <n v="63"/>
    <n v="0"/>
    <n v="430.35"/>
    <n v="186.16"/>
    <m/>
    <n v="536.63434130853489"/>
    <n v="184.7746360391113"/>
    <n v="0"/>
    <n v="382.1508"/>
    <n v="165.31008"/>
    <n v="0"/>
    <n v="476.53129508197901"/>
    <n v="164.07987680273084"/>
  </r>
  <r>
    <s v="Regular"/>
    <x v="2"/>
    <x v="3"/>
    <x v="4"/>
    <x v="7"/>
    <x v="2"/>
    <x v="0"/>
    <x v="2"/>
    <x v="10"/>
    <n v="0"/>
    <n v="0"/>
    <n v="9.5000000000000001E-2"/>
    <n v="9.5000000000000001E-2"/>
    <n v="9.5000000000000001E-2"/>
    <n v="9.5000000000000001E-2"/>
    <n v="0"/>
    <x v="0"/>
    <n v="0"/>
    <n v="0"/>
    <n v="42"/>
    <n v="63"/>
    <n v="0"/>
    <n v="430.35"/>
    <n v="186.16"/>
    <m/>
    <n v="536.63434130853489"/>
    <n v="184.7746360391113"/>
    <n v="0"/>
    <n v="40.883250000000004"/>
    <n v="17.685199999999998"/>
    <n v="0"/>
    <n v="50.980262424310816"/>
    <n v="17.553590423715573"/>
  </r>
  <r>
    <s v="Regular"/>
    <x v="2"/>
    <x v="3"/>
    <x v="4"/>
    <x v="7"/>
    <x v="2"/>
    <x v="0"/>
    <x v="2"/>
    <x v="11"/>
    <n v="0"/>
    <n v="0"/>
    <n v="0.32600000000000001"/>
    <n v="0.32600000000000001"/>
    <n v="0.32600000000000001"/>
    <n v="0.32600000000000001"/>
    <n v="0"/>
    <x v="0"/>
    <n v="0"/>
    <n v="0"/>
    <n v="42"/>
    <n v="63"/>
    <n v="0"/>
    <n v="430.35"/>
    <n v="186.16"/>
    <m/>
    <n v="536.63434130853489"/>
    <n v="184.7746360391113"/>
    <n v="0"/>
    <n v="140.29410000000001"/>
    <n v="60.688160000000003"/>
    <n v="0"/>
    <n v="174.94279526658238"/>
    <n v="60.236531348750283"/>
  </r>
  <r>
    <s v="Regular"/>
    <x v="2"/>
    <x v="3"/>
    <x v="4"/>
    <x v="7"/>
    <x v="1"/>
    <x v="0"/>
    <x v="2"/>
    <x v="0"/>
    <n v="0"/>
    <n v="0"/>
    <n v="2.5979999999999999"/>
    <n v="1.0391999999999999"/>
    <n v="2.5979999999999999"/>
    <n v="1.0391999999999999"/>
    <n v="0"/>
    <x v="0"/>
    <n v="0"/>
    <n v="0"/>
    <n v="29"/>
    <n v="63"/>
    <n v="0"/>
    <n v="410.79"/>
    <n v="186.16"/>
    <m/>
    <n v="536.63434130853489"/>
    <n v="184.7746360391113"/>
    <n v="0"/>
    <n v="426.892968"/>
    <n v="193.45747199999997"/>
    <n v="0"/>
    <n v="557.67040748782938"/>
    <n v="192.01780177184443"/>
  </r>
  <r>
    <s v="Regular"/>
    <x v="2"/>
    <x v="3"/>
    <x v="4"/>
    <x v="7"/>
    <x v="1"/>
    <x v="0"/>
    <x v="2"/>
    <x v="1"/>
    <n v="0"/>
    <n v="0"/>
    <n v="0.88400000000000001"/>
    <n v="0.35360000000000003"/>
    <n v="0.88400000000000001"/>
    <n v="0.35360000000000003"/>
    <n v="0"/>
    <x v="0"/>
    <n v="0"/>
    <n v="0"/>
    <n v="29"/>
    <n v="63"/>
    <n v="0"/>
    <n v="410.79"/>
    <n v="186.16"/>
    <m/>
    <n v="536.63434130853489"/>
    <n v="184.7746360391113"/>
    <n v="0"/>
    <n v="145.25534400000001"/>
    <n v="65.826176000000004"/>
    <n v="0"/>
    <n v="189.75390308669796"/>
    <n v="65.336311303429767"/>
  </r>
  <r>
    <s v="Regular"/>
    <x v="2"/>
    <x v="3"/>
    <x v="4"/>
    <x v="7"/>
    <x v="1"/>
    <x v="0"/>
    <x v="2"/>
    <x v="2"/>
    <n v="0"/>
    <n v="0"/>
    <n v="0.621"/>
    <n v="0.24840000000000001"/>
    <n v="0.621"/>
    <n v="0.24840000000000001"/>
    <n v="0"/>
    <x v="0"/>
    <n v="0"/>
    <n v="0"/>
    <n v="29"/>
    <n v="63"/>
    <n v="0"/>
    <n v="410.79"/>
    <n v="186.16"/>
    <m/>
    <n v="536.63434130853489"/>
    <n v="184.7746360391113"/>
    <n v="0"/>
    <n v="102.04023600000001"/>
    <n v="46.242144000000003"/>
    <n v="0"/>
    <n v="133.29997038104008"/>
    <n v="45.898019592115247"/>
  </r>
  <r>
    <s v="Regular"/>
    <x v="2"/>
    <x v="3"/>
    <x v="4"/>
    <x v="7"/>
    <x v="1"/>
    <x v="0"/>
    <x v="2"/>
    <x v="3"/>
    <n v="0"/>
    <n v="0"/>
    <n v="0.85699999999999998"/>
    <n v="0.34279999999999999"/>
    <n v="0.85699999999999998"/>
    <n v="0.34279999999999999"/>
    <n v="0"/>
    <x v="0"/>
    <n v="0"/>
    <n v="0"/>
    <n v="29"/>
    <n v="63"/>
    <n v="0"/>
    <n v="410.79"/>
    <n v="186.16"/>
    <m/>
    <n v="536.63434130853489"/>
    <n v="184.7746360391113"/>
    <n v="0"/>
    <n v="140.81881200000001"/>
    <n v="63.815647999999996"/>
    <n v="0"/>
    <n v="183.95825220056577"/>
    <n v="63.340745234207354"/>
  </r>
  <r>
    <s v="Regular"/>
    <x v="2"/>
    <x v="3"/>
    <x v="4"/>
    <x v="7"/>
    <x v="1"/>
    <x v="0"/>
    <x v="2"/>
    <x v="4"/>
    <n v="0"/>
    <n v="0"/>
    <n v="1.806"/>
    <n v="0.72240000000000004"/>
    <n v="1.806"/>
    <n v="0.72240000000000004"/>
    <n v="0"/>
    <x v="0"/>
    <n v="0"/>
    <n v="0"/>
    <n v="29"/>
    <n v="63"/>
    <n v="0"/>
    <n v="410.79"/>
    <n v="186.16"/>
    <m/>
    <n v="536.63434130853489"/>
    <n v="184.7746360391113"/>
    <n v="0"/>
    <n v="296.75469600000002"/>
    <n v="134.48198400000001"/>
    <n v="0"/>
    <n v="387.66464816128564"/>
    <n v="133.48119707465401"/>
  </r>
  <r>
    <s v="Regular"/>
    <x v="2"/>
    <x v="3"/>
    <x v="4"/>
    <x v="7"/>
    <x v="1"/>
    <x v="0"/>
    <x v="2"/>
    <x v="5"/>
    <n v="0"/>
    <n v="0"/>
    <n v="2.024"/>
    <n v="0.80959999999999999"/>
    <n v="2.024"/>
    <n v="0.80959999999999999"/>
    <n v="0"/>
    <x v="0"/>
    <n v="0"/>
    <n v="0"/>
    <n v="29"/>
    <n v="63"/>
    <n v="0"/>
    <n v="410.79"/>
    <n v="186.16"/>
    <m/>
    <n v="536.63434130853489"/>
    <n v="184.7746360391113"/>
    <n v="0"/>
    <n v="332.57558399999999"/>
    <n v="150.715136"/>
    <n v="0"/>
    <n v="434.45916272338985"/>
    <n v="149.59354533726452"/>
  </r>
  <r>
    <s v="Regular"/>
    <x v="2"/>
    <x v="3"/>
    <x v="4"/>
    <x v="7"/>
    <x v="1"/>
    <x v="0"/>
    <x v="2"/>
    <x v="6"/>
    <n v="0"/>
    <n v="0"/>
    <n v="1.6990000000000001"/>
    <n v="0.67959999999999998"/>
    <n v="1.6990000000000001"/>
    <n v="0.67959999999999998"/>
    <n v="0"/>
    <x v="0"/>
    <n v="0"/>
    <n v="0"/>
    <n v="29"/>
    <n v="63"/>
    <n v="0"/>
    <n v="410.79"/>
    <n v="186.16"/>
    <m/>
    <n v="536.63434130853489"/>
    <n v="184.7746360391113"/>
    <n v="0"/>
    <n v="279.17288400000001"/>
    <n v="126.514336"/>
    <n v="0"/>
    <n v="364.69669835328028"/>
    <n v="125.57284265218004"/>
  </r>
  <r>
    <s v="Regular"/>
    <x v="2"/>
    <x v="3"/>
    <x v="4"/>
    <x v="7"/>
    <x v="1"/>
    <x v="0"/>
    <x v="2"/>
    <x v="7"/>
    <n v="0"/>
    <n v="0"/>
    <n v="3.52"/>
    <n v="1.4079999999999999"/>
    <n v="3.52"/>
    <n v="1.4079999999999999"/>
    <n v="0"/>
    <x v="0"/>
    <n v="0"/>
    <n v="0"/>
    <n v="29"/>
    <n v="63"/>
    <n v="0"/>
    <n v="410.79"/>
    <n v="186.16"/>
    <m/>
    <n v="536.63434130853489"/>
    <n v="184.7746360391113"/>
    <n v="0"/>
    <n v="578.39232000000004"/>
    <n v="262.11327999999997"/>
    <n v="0"/>
    <n v="755.58115256241706"/>
    <n v="260.16268754306867"/>
  </r>
  <r>
    <s v="Regular"/>
    <x v="2"/>
    <x v="3"/>
    <x v="4"/>
    <x v="7"/>
    <x v="1"/>
    <x v="0"/>
    <x v="2"/>
    <x v="8"/>
    <n v="0"/>
    <n v="0"/>
    <n v="1.5629999999999999"/>
    <n v="0.62519999999999998"/>
    <n v="1.5629999999999999"/>
    <n v="0.62519999999999998"/>
    <n v="0"/>
    <x v="0"/>
    <n v="0"/>
    <n v="0"/>
    <n v="29"/>
    <n v="63"/>
    <n v="0"/>
    <n v="410.79"/>
    <n v="186.16"/>
    <m/>
    <n v="536.63434130853489"/>
    <n v="184.7746360391113"/>
    <n v="0"/>
    <n v="256.82590800000003"/>
    <n v="116.387232"/>
    <n v="0"/>
    <n v="335.50379018609601"/>
    <n v="115.52110245165238"/>
  </r>
  <r>
    <s v="Regular"/>
    <x v="2"/>
    <x v="3"/>
    <x v="4"/>
    <x v="7"/>
    <x v="1"/>
    <x v="0"/>
    <x v="2"/>
    <x v="9"/>
    <n v="0"/>
    <n v="0"/>
    <n v="0.68300000000000005"/>
    <n v="0.2732"/>
    <n v="0.68300000000000005"/>
    <n v="0.2732"/>
    <n v="0"/>
    <x v="0"/>
    <n v="0"/>
    <n v="0"/>
    <n v="29"/>
    <n v="63"/>
    <n v="0"/>
    <n v="410.79"/>
    <n v="186.16"/>
    <m/>
    <n v="536.63434130853489"/>
    <n v="184.7746360391113"/>
    <n v="0"/>
    <n v="112.227828"/>
    <n v="50.858911999999997"/>
    <n v="0"/>
    <n v="146.60850204549172"/>
    <n v="50.480430565885207"/>
  </r>
  <r>
    <s v="Regular"/>
    <x v="2"/>
    <x v="3"/>
    <x v="4"/>
    <x v="7"/>
    <x v="1"/>
    <x v="0"/>
    <x v="2"/>
    <x v="10"/>
    <n v="0"/>
    <n v="0"/>
    <n v="8.7999999999999995E-2"/>
    <n v="3.5200000000000002E-2"/>
    <n v="8.7999999999999995E-2"/>
    <n v="3.5200000000000002E-2"/>
    <n v="0"/>
    <x v="0"/>
    <n v="0"/>
    <n v="0"/>
    <n v="29"/>
    <n v="63"/>
    <n v="0"/>
    <n v="410.79"/>
    <n v="186.16"/>
    <m/>
    <n v="536.63434130853489"/>
    <n v="184.7746360391113"/>
    <n v="0"/>
    <n v="14.459808000000002"/>
    <n v="6.5528320000000004"/>
    <n v="0"/>
    <n v="18.88952881406043"/>
    <n v="6.5040671885767178"/>
  </r>
  <r>
    <s v="Regular"/>
    <x v="2"/>
    <x v="3"/>
    <x v="4"/>
    <x v="7"/>
    <x v="1"/>
    <x v="0"/>
    <x v="2"/>
    <x v="11"/>
    <n v="0"/>
    <n v="0"/>
    <n v="0.16900000000000001"/>
    <n v="6.7599999999999993E-2"/>
    <n v="0.16900000000000001"/>
    <n v="6.7599999999999993E-2"/>
    <n v="0"/>
    <x v="0"/>
    <n v="0"/>
    <n v="0"/>
    <n v="29"/>
    <n v="63"/>
    <n v="0"/>
    <n v="410.79"/>
    <n v="186.16"/>
    <m/>
    <n v="536.63434130853489"/>
    <n v="184.7746360391113"/>
    <n v="0"/>
    <n v="27.769403999999998"/>
    <n v="12.584415999999999"/>
    <n v="0"/>
    <n v="36.276481472456958"/>
    <n v="12.490765396243923"/>
  </r>
  <r>
    <s v="Regular"/>
    <x v="2"/>
    <x v="3"/>
    <x v="4"/>
    <x v="0"/>
    <x v="0"/>
    <x v="0"/>
    <x v="2"/>
    <x v="0"/>
    <n v="0"/>
    <n v="0"/>
    <n v="1474.364"/>
    <n v="1474.364"/>
    <n v="1474.364"/>
    <n v="1474.364"/>
    <n v="4633"/>
    <x v="0"/>
    <n v="0"/>
    <n v="0"/>
    <n v="42"/>
    <n v="63"/>
    <n v="0"/>
    <n v="430.35"/>
    <n v="186.16"/>
    <m/>
    <n v="536.63434130853489"/>
    <n v="184.7746360391113"/>
    <n v="0"/>
    <n v="634492.54740000004"/>
    <n v="274467.60223999998"/>
    <n v="0"/>
    <n v="791194.35398901673"/>
    <n v="272425.07148916827"/>
  </r>
  <r>
    <s v="Refaturamento - Regular"/>
    <x v="2"/>
    <x v="3"/>
    <x v="4"/>
    <x v="0"/>
    <x v="0"/>
    <x v="0"/>
    <x v="2"/>
    <x v="0"/>
    <n v="0"/>
    <n v="0"/>
    <n v="-1.758"/>
    <n v="-1.758"/>
    <n v="-1.758"/>
    <n v="-1.758"/>
    <n v="0"/>
    <x v="0"/>
    <n v="0"/>
    <n v="0"/>
    <n v="42"/>
    <n v="63"/>
    <n v="0"/>
    <n v="430.35"/>
    <n v="186.16"/>
    <m/>
    <n v="536.63434130853489"/>
    <n v="184.7746360391113"/>
    <n v="0"/>
    <n v="-756.55529999999999"/>
    <n v="-327.26927999999998"/>
    <n v="0"/>
    <n v="-943.40317202040433"/>
    <n v="-324.83381015675769"/>
  </r>
  <r>
    <s v="Sistema de Compensação"/>
    <x v="2"/>
    <x v="3"/>
    <x v="4"/>
    <x v="0"/>
    <x v="0"/>
    <x v="0"/>
    <x v="2"/>
    <x v="0"/>
    <n v="0"/>
    <n v="0"/>
    <n v="125.97199999999999"/>
    <n v="125.97199999999999"/>
    <n v="125.97199999999999"/>
    <n v="125.97199999999999"/>
    <n v="126"/>
    <x v="0"/>
    <n v="0"/>
    <n v="0"/>
    <n v="42"/>
    <n v="63"/>
    <n v="0"/>
    <n v="430.35"/>
    <n v="186.16"/>
    <m/>
    <n v="536.63434130853489"/>
    <n v="184.7746360391113"/>
    <n v="0"/>
    <n v="54212.050199999998"/>
    <n v="23450.947519999998"/>
    <n v="0"/>
    <n v="67600.90124331876"/>
    <n v="23276.430451118929"/>
  </r>
  <r>
    <s v="Regular"/>
    <x v="2"/>
    <x v="3"/>
    <x v="4"/>
    <x v="0"/>
    <x v="0"/>
    <x v="0"/>
    <x v="2"/>
    <x v="1"/>
    <n v="0"/>
    <n v="0"/>
    <n v="1562.838"/>
    <n v="1562.838"/>
    <n v="1562.838"/>
    <n v="1562.838"/>
    <n v="4613"/>
    <x v="0"/>
    <n v="0"/>
    <n v="0"/>
    <n v="42"/>
    <n v="63"/>
    <n v="0"/>
    <n v="430.35"/>
    <n v="186.16"/>
    <m/>
    <n v="536.63434130853489"/>
    <n v="184.7746360391113"/>
    <n v="0"/>
    <n v="672567.33330000006"/>
    <n v="290937.92207999999"/>
    <n v="0"/>
    <n v="838672.54070194799"/>
    <n v="288772.82263809262"/>
  </r>
  <r>
    <s v="Refaturamento - Regular"/>
    <x v="2"/>
    <x v="3"/>
    <x v="4"/>
    <x v="0"/>
    <x v="0"/>
    <x v="0"/>
    <x v="2"/>
    <x v="1"/>
    <n v="0"/>
    <n v="0"/>
    <n v="-9.1920000000000002"/>
    <n v="-9.1920000000000002"/>
    <n v="-9.1920000000000002"/>
    <n v="-9.1920000000000002"/>
    <n v="0"/>
    <x v="0"/>
    <n v="0"/>
    <n v="0"/>
    <n v="42"/>
    <n v="63"/>
    <n v="0"/>
    <n v="430.35"/>
    <n v="186.16"/>
    <m/>
    <n v="536.63434130853489"/>
    <n v="184.7746360391113"/>
    <n v="0"/>
    <n v="-3955.7772000000004"/>
    <n v="-1711.18272"/>
    <n v="0"/>
    <n v="-4932.7428653080524"/>
    <n v="-1698.448454471511"/>
  </r>
  <r>
    <s v="Regular"/>
    <x v="2"/>
    <x v="3"/>
    <x v="4"/>
    <x v="0"/>
    <x v="0"/>
    <x v="0"/>
    <x v="2"/>
    <x v="2"/>
    <n v="0"/>
    <n v="0"/>
    <n v="1585.94"/>
    <n v="1585.94"/>
    <n v="1585.94"/>
    <n v="1585.94"/>
    <n v="4622"/>
    <x v="0"/>
    <n v="0"/>
    <n v="0"/>
    <n v="42"/>
    <n v="63"/>
    <n v="0"/>
    <n v="430.35"/>
    <n v="186.16"/>
    <m/>
    <n v="536.63434130853489"/>
    <n v="184.7746360391113"/>
    <n v="0"/>
    <n v="682509.2790000001"/>
    <n v="295238.59039999999"/>
    <n v="0"/>
    <n v="851069.86725485779"/>
    <n v="293041.48627986817"/>
  </r>
  <r>
    <s v="Refaturamento - Regular"/>
    <x v="2"/>
    <x v="3"/>
    <x v="4"/>
    <x v="0"/>
    <x v="0"/>
    <x v="0"/>
    <x v="2"/>
    <x v="2"/>
    <n v="0"/>
    <n v="0"/>
    <n v="-6.4260000000000002"/>
    <n v="-6.4260000000000002"/>
    <n v="-6.4260000000000002"/>
    <n v="-6.4260000000000002"/>
    <n v="0"/>
    <x v="0"/>
    <n v="0"/>
    <n v="0"/>
    <n v="42"/>
    <n v="63"/>
    <n v="0"/>
    <n v="430.35"/>
    <n v="186.16"/>
    <m/>
    <n v="536.63434130853489"/>
    <n v="184.7746360391113"/>
    <n v="0"/>
    <n v="-2765.4291000000003"/>
    <n v="-1196.2641599999999"/>
    <n v="0"/>
    <n v="-3448.4122772486453"/>
    <n v="-1187.3618111873293"/>
  </r>
  <r>
    <s v="Sistema de Compensação"/>
    <x v="2"/>
    <x v="3"/>
    <x v="4"/>
    <x v="0"/>
    <x v="0"/>
    <x v="0"/>
    <x v="2"/>
    <x v="2"/>
    <n v="0"/>
    <n v="0"/>
    <n v="78.552999999999997"/>
    <n v="78.552999999999997"/>
    <n v="78.552999999999997"/>
    <n v="78.552999999999997"/>
    <n v="131"/>
    <x v="0"/>
    <n v="0"/>
    <n v="0"/>
    <n v="42"/>
    <n v="63"/>
    <n v="0"/>
    <n v="430.35"/>
    <n v="186.16"/>
    <m/>
    <n v="536.63434130853489"/>
    <n v="184.7746360391113"/>
    <n v="0"/>
    <n v="33805.28355"/>
    <n v="14623.42648"/>
    <n v="0"/>
    <n v="42154.237412809336"/>
    <n v="14514.601984780309"/>
  </r>
  <r>
    <s v="Regular"/>
    <x v="2"/>
    <x v="3"/>
    <x v="4"/>
    <x v="0"/>
    <x v="0"/>
    <x v="0"/>
    <x v="2"/>
    <x v="3"/>
    <n v="0"/>
    <n v="0"/>
    <n v="1566.079"/>
    <n v="1566.079"/>
    <n v="1566.079"/>
    <n v="1566.079"/>
    <n v="4616"/>
    <x v="0"/>
    <n v="0"/>
    <n v="0"/>
    <n v="42"/>
    <n v="63"/>
    <n v="0"/>
    <n v="430.35"/>
    <n v="186.16"/>
    <m/>
    <n v="536.63434130853489"/>
    <n v="184.7746360391113"/>
    <n v="0"/>
    <n v="673962.09765000001"/>
    <n v="291541.26663999999"/>
    <n v="0"/>
    <n v="840411.77260212903"/>
    <n v="289371.6772334954"/>
  </r>
  <r>
    <s v="Refaturamento - Regular"/>
    <x v="2"/>
    <x v="3"/>
    <x v="4"/>
    <x v="0"/>
    <x v="0"/>
    <x v="0"/>
    <x v="2"/>
    <x v="3"/>
    <n v="0"/>
    <n v="0"/>
    <n v="-6.51"/>
    <n v="-6.51"/>
    <n v="-6.51"/>
    <n v="-6.51"/>
    <n v="0"/>
    <x v="0"/>
    <n v="0"/>
    <n v="0"/>
    <n v="42"/>
    <n v="63"/>
    <n v="0"/>
    <n v="430.35"/>
    <n v="186.16"/>
    <m/>
    <n v="536.63434130853489"/>
    <n v="184.7746360391113"/>
    <n v="0"/>
    <n v="-2801.5785000000001"/>
    <n v="-1211.9015999999999"/>
    <n v="0"/>
    <n v="-3493.4895619185618"/>
    <n v="-1202.8828806146146"/>
  </r>
  <r>
    <s v="Sistema de Compensação"/>
    <x v="2"/>
    <x v="3"/>
    <x v="4"/>
    <x v="0"/>
    <x v="0"/>
    <x v="0"/>
    <x v="2"/>
    <x v="3"/>
    <n v="0"/>
    <n v="0"/>
    <n v="90.212000000000003"/>
    <n v="90.212000000000003"/>
    <n v="90.212000000000003"/>
    <n v="90.212000000000003"/>
    <n v="136"/>
    <x v="0"/>
    <n v="0"/>
    <n v="0"/>
    <n v="42"/>
    <n v="63"/>
    <n v="0"/>
    <n v="430.35"/>
    <n v="186.16"/>
    <m/>
    <n v="536.63434130853489"/>
    <n v="184.7746360391113"/>
    <n v="0"/>
    <n v="38822.734200000006"/>
    <n v="16793.86592"/>
    <n v="0"/>
    <n v="48410.857198125552"/>
    <n v="16668.88946636031"/>
  </r>
  <r>
    <s v="Regular"/>
    <x v="2"/>
    <x v="3"/>
    <x v="4"/>
    <x v="0"/>
    <x v="0"/>
    <x v="0"/>
    <x v="2"/>
    <x v="4"/>
    <n v="0"/>
    <n v="0"/>
    <n v="1656.521"/>
    <n v="1656.521"/>
    <n v="1656.521"/>
    <n v="1656.521"/>
    <n v="4603"/>
    <x v="0"/>
    <n v="0"/>
    <n v="0"/>
    <n v="42"/>
    <n v="63"/>
    <n v="0"/>
    <n v="430.35"/>
    <n v="186.16"/>
    <m/>
    <n v="536.63434130853489"/>
    <n v="184.7746360391113"/>
    <n v="0"/>
    <n v="712883.81235000002"/>
    <n v="308377.94935999997"/>
    <n v="0"/>
    <n v="888946.05569875555"/>
    <n v="306083.06486614468"/>
  </r>
  <r>
    <s v="Refaturamento - Regular"/>
    <x v="2"/>
    <x v="3"/>
    <x v="4"/>
    <x v="0"/>
    <x v="0"/>
    <x v="0"/>
    <x v="2"/>
    <x v="4"/>
    <n v="0"/>
    <n v="0"/>
    <n v="-2.605"/>
    <n v="-2.605"/>
    <n v="-2.605"/>
    <n v="-2.605"/>
    <n v="0"/>
    <x v="0"/>
    <n v="0"/>
    <n v="0"/>
    <n v="42"/>
    <n v="63"/>
    <n v="0"/>
    <n v="430.35"/>
    <n v="186.16"/>
    <m/>
    <n v="536.63434130853489"/>
    <n v="184.7746360391113"/>
    <n v="0"/>
    <n v="-1121.0617500000001"/>
    <n v="-484.9468"/>
    <n v="0"/>
    <n v="-1397.9324591087334"/>
    <n v="-481.33792688188493"/>
  </r>
  <r>
    <s v="Sistema de Compensação"/>
    <x v="2"/>
    <x v="3"/>
    <x v="4"/>
    <x v="0"/>
    <x v="0"/>
    <x v="0"/>
    <x v="2"/>
    <x v="4"/>
    <n v="0"/>
    <n v="0"/>
    <n v="59.811999999999998"/>
    <n v="59.811999999999998"/>
    <n v="59.811999999999998"/>
    <n v="59.811999999999998"/>
    <n v="0"/>
    <x v="0"/>
    <n v="0"/>
    <n v="0"/>
    <n v="42"/>
    <n v="63"/>
    <n v="0"/>
    <n v="430.35"/>
    <n v="186.16"/>
    <m/>
    <n v="536.63434130853489"/>
    <n v="184.7746360391113"/>
    <n v="0"/>
    <n v="25740.0942"/>
    <n v="11134.601919999999"/>
    <n v="0"/>
    <n v="32097.173222346086"/>
    <n v="11051.740530771325"/>
  </r>
  <r>
    <s v="Regular"/>
    <x v="2"/>
    <x v="3"/>
    <x v="4"/>
    <x v="0"/>
    <x v="0"/>
    <x v="0"/>
    <x v="2"/>
    <x v="5"/>
    <n v="0"/>
    <n v="0"/>
    <n v="1717.56"/>
    <n v="1717.56"/>
    <n v="1717.56"/>
    <n v="1717.56"/>
    <n v="4543"/>
    <x v="0"/>
    <n v="0"/>
    <n v="0"/>
    <n v="42"/>
    <n v="63"/>
    <n v="0"/>
    <n v="430.35"/>
    <n v="186.16"/>
    <m/>
    <n v="536.63434130853489"/>
    <n v="184.7746360391113"/>
    <n v="0"/>
    <n v="739151.946"/>
    <n v="319740.96960000001"/>
    <n v="0"/>
    <n v="921701.67925788718"/>
    <n v="317361.52387533599"/>
  </r>
  <r>
    <s v="Refaturamento - Regular"/>
    <x v="2"/>
    <x v="3"/>
    <x v="4"/>
    <x v="0"/>
    <x v="0"/>
    <x v="0"/>
    <x v="2"/>
    <x v="5"/>
    <n v="0"/>
    <n v="0"/>
    <n v="-6.2789999999999999"/>
    <n v="-6.2789999999999999"/>
    <n v="-6.2789999999999999"/>
    <n v="-6.2789999999999999"/>
    <n v="0"/>
    <x v="0"/>
    <n v="0"/>
    <n v="0"/>
    <n v="42"/>
    <n v="63"/>
    <n v="0"/>
    <n v="430.35"/>
    <n v="186.16"/>
    <m/>
    <n v="536.63434130853489"/>
    <n v="184.7746360391113"/>
    <n v="0"/>
    <n v="-2702.1676500000003"/>
    <n v="-1168.8986399999999"/>
    <n v="0"/>
    <n v="-3369.5270290762905"/>
    <n v="-1160.1999396895799"/>
  </r>
  <r>
    <s v="Sistema de Compensação"/>
    <x v="2"/>
    <x v="3"/>
    <x v="4"/>
    <x v="0"/>
    <x v="0"/>
    <x v="0"/>
    <x v="2"/>
    <x v="5"/>
    <n v="0"/>
    <n v="0"/>
    <n v="101.895"/>
    <n v="101.895"/>
    <n v="101.895"/>
    <n v="101.895"/>
    <n v="147"/>
    <x v="0"/>
    <n v="0"/>
    <n v="0"/>
    <n v="42"/>
    <n v="63"/>
    <n v="0"/>
    <n v="430.35"/>
    <n v="186.16"/>
    <m/>
    <n v="536.63434130853489"/>
    <n v="184.7746360391113"/>
    <n v="0"/>
    <n v="43850.513250000004"/>
    <n v="18968.7732"/>
    <n v="0"/>
    <n v="54680.356207633158"/>
    <n v="18827.611539205245"/>
  </r>
  <r>
    <s v="Regular"/>
    <x v="2"/>
    <x v="3"/>
    <x v="4"/>
    <x v="0"/>
    <x v="0"/>
    <x v="0"/>
    <x v="2"/>
    <x v="6"/>
    <n v="0"/>
    <n v="0"/>
    <n v="1907.8"/>
    <n v="1907.8"/>
    <n v="1907.8"/>
    <n v="1907.8"/>
    <n v="4550"/>
    <x v="0"/>
    <n v="0"/>
    <n v="0"/>
    <n v="42"/>
    <n v="63"/>
    <n v="0"/>
    <n v="430.35"/>
    <n v="186.16"/>
    <m/>
    <n v="536.63434130853489"/>
    <n v="184.7746360391113"/>
    <n v="0"/>
    <n v="821021.73"/>
    <n v="355156.04800000001"/>
    <n v="0"/>
    <n v="1023790.9963484228"/>
    <n v="352513.05063541653"/>
  </r>
  <r>
    <s v="Refaturamento - Regular"/>
    <x v="2"/>
    <x v="3"/>
    <x v="4"/>
    <x v="0"/>
    <x v="0"/>
    <x v="0"/>
    <x v="2"/>
    <x v="6"/>
    <n v="0"/>
    <n v="0"/>
    <n v="-8.6609999999999996"/>
    <n v="-8.6609999999999996"/>
    <n v="-8.6609999999999996"/>
    <n v="-8.6609999999999996"/>
    <n v="0"/>
    <x v="0"/>
    <n v="0"/>
    <n v="0"/>
    <n v="42"/>
    <n v="63"/>
    <n v="0"/>
    <n v="430.35"/>
    <n v="186.16"/>
    <m/>
    <n v="536.63434130853489"/>
    <n v="184.7746360391113"/>
    <n v="0"/>
    <n v="-3727.2613500000002"/>
    <n v="-1612.3317599999998"/>
    <n v="0"/>
    <n v="-4647.7900300732208"/>
    <n v="-1600.3331227347428"/>
  </r>
  <r>
    <s v="Sistema de Compensação"/>
    <x v="2"/>
    <x v="3"/>
    <x v="4"/>
    <x v="0"/>
    <x v="0"/>
    <x v="0"/>
    <x v="2"/>
    <x v="6"/>
    <n v="0"/>
    <n v="0"/>
    <n v="67.525999999999996"/>
    <n v="67.525999999999996"/>
    <n v="67.525999999999996"/>
    <n v="67.525999999999996"/>
    <n v="149"/>
    <x v="0"/>
    <n v="0"/>
    <n v="0"/>
    <n v="42"/>
    <n v="63"/>
    <n v="0"/>
    <n v="430.35"/>
    <n v="186.16"/>
    <m/>
    <n v="536.63434130853489"/>
    <n v="184.7746360391113"/>
    <n v="0"/>
    <n v="29059.8141"/>
    <n v="12570.640159999999"/>
    <n v="0"/>
    <n v="36236.770531200127"/>
    <n v="12477.092073177029"/>
  </r>
  <r>
    <s v="Regular"/>
    <x v="2"/>
    <x v="3"/>
    <x v="4"/>
    <x v="0"/>
    <x v="0"/>
    <x v="0"/>
    <x v="2"/>
    <x v="7"/>
    <n v="0"/>
    <n v="0"/>
    <n v="1891.9839999999999"/>
    <n v="1891.9839999999999"/>
    <n v="1891.9839999999999"/>
    <n v="1891.9839999999999"/>
    <n v="4553"/>
    <x v="0"/>
    <n v="0"/>
    <n v="0"/>
    <n v="42"/>
    <n v="63"/>
    <n v="0"/>
    <n v="430.35"/>
    <n v="186.16"/>
    <m/>
    <n v="536.63434130853489"/>
    <n v="184.7746360391113"/>
    <n v="0"/>
    <n v="814215.31440000003"/>
    <n v="352211.74143999995"/>
    <n v="0"/>
    <n v="1015303.587606287"/>
    <n v="349590.65499182197"/>
  </r>
  <r>
    <s v="Refaturamento - Regular"/>
    <x v="2"/>
    <x v="3"/>
    <x v="4"/>
    <x v="0"/>
    <x v="0"/>
    <x v="0"/>
    <x v="2"/>
    <x v="7"/>
    <n v="0"/>
    <n v="0"/>
    <n v="-3.4660000000000002"/>
    <n v="-3.4660000000000002"/>
    <n v="-3.4660000000000002"/>
    <n v="-3.4660000000000002"/>
    <n v="0"/>
    <x v="0"/>
    <n v="0"/>
    <n v="0"/>
    <n v="42"/>
    <n v="63"/>
    <n v="0"/>
    <n v="430.35"/>
    <n v="186.16"/>
    <m/>
    <n v="536.63434130853489"/>
    <n v="184.7746360391113"/>
    <n v="0"/>
    <n v="-1491.5931"/>
    <n v="-645.23055999999997"/>
    <n v="0"/>
    <n v="-1859.9746269753821"/>
    <n v="-640.42888851155976"/>
  </r>
  <r>
    <s v="Sistema de Compensação"/>
    <x v="2"/>
    <x v="3"/>
    <x v="4"/>
    <x v="0"/>
    <x v="0"/>
    <x v="0"/>
    <x v="2"/>
    <x v="7"/>
    <n v="0"/>
    <n v="0"/>
    <n v="89.018000000000001"/>
    <n v="89.018000000000001"/>
    <n v="89.018000000000001"/>
    <n v="89.018000000000001"/>
    <n v="153"/>
    <x v="0"/>
    <n v="0"/>
    <n v="0"/>
    <n v="42"/>
    <n v="63"/>
    <n v="0"/>
    <n v="430.35"/>
    <n v="186.16"/>
    <m/>
    <n v="536.63434130853489"/>
    <n v="184.7746360391113"/>
    <n v="0"/>
    <n v="38308.8963"/>
    <n v="16571.59088"/>
    <n v="0"/>
    <n v="47770.11579460316"/>
    <n v="16448.26855092961"/>
  </r>
  <r>
    <s v="Regular"/>
    <x v="2"/>
    <x v="3"/>
    <x v="4"/>
    <x v="0"/>
    <x v="0"/>
    <x v="0"/>
    <x v="2"/>
    <x v="8"/>
    <n v="0"/>
    <n v="0"/>
    <n v="1770.356"/>
    <n v="1770.356"/>
    <n v="1770.356"/>
    <n v="1770.356"/>
    <n v="4545"/>
    <x v="0"/>
    <n v="0"/>
    <n v="0"/>
    <n v="42"/>
    <n v="63"/>
    <n v="0"/>
    <n v="430.35"/>
    <n v="186.16"/>
    <m/>
    <n v="536.63434130853489"/>
    <n v="184.7746360391113"/>
    <n v="0"/>
    <n v="761872.70460000006"/>
    <n v="329569.47295999998"/>
    <n v="0"/>
    <n v="950033.82594161259"/>
    <n v="327116.88555965695"/>
  </r>
  <r>
    <s v="Refaturamento - Regular"/>
    <x v="2"/>
    <x v="3"/>
    <x v="4"/>
    <x v="0"/>
    <x v="0"/>
    <x v="0"/>
    <x v="2"/>
    <x v="8"/>
    <n v="0"/>
    <n v="0"/>
    <n v="-0.95899999999999996"/>
    <n v="-0.95899999999999996"/>
    <n v="-0.95899999999999996"/>
    <n v="-0.95899999999999996"/>
    <n v="0"/>
    <x v="0"/>
    <n v="0"/>
    <n v="0"/>
    <n v="42"/>
    <n v="63"/>
    <n v="0"/>
    <n v="430.35"/>
    <n v="186.16"/>
    <m/>
    <n v="536.63434130853489"/>
    <n v="184.7746360391113"/>
    <n v="0"/>
    <n v="-412.70564999999999"/>
    <n v="-178.52743999999998"/>
    <n v="0"/>
    <n v="-514.63233331488493"/>
    <n v="-177.19887596150772"/>
  </r>
  <r>
    <s v="Sistema de Compensação"/>
    <x v="2"/>
    <x v="3"/>
    <x v="4"/>
    <x v="0"/>
    <x v="0"/>
    <x v="0"/>
    <x v="2"/>
    <x v="8"/>
    <n v="0"/>
    <n v="0"/>
    <n v="123.34399999999999"/>
    <n v="123.34399999999999"/>
    <n v="123.34399999999999"/>
    <n v="123.34399999999999"/>
    <n v="154"/>
    <x v="0"/>
    <n v="0"/>
    <n v="0"/>
    <n v="42"/>
    <n v="63"/>
    <n v="0"/>
    <n v="430.35"/>
    <n v="186.16"/>
    <m/>
    <n v="536.63434130853489"/>
    <n v="184.7746360391113"/>
    <n v="0"/>
    <n v="53081.090400000001"/>
    <n v="22961.71904"/>
    <n v="0"/>
    <n v="66190.626194359924"/>
    <n v="22790.842707608143"/>
  </r>
  <r>
    <s v="Regular"/>
    <x v="2"/>
    <x v="3"/>
    <x v="4"/>
    <x v="0"/>
    <x v="0"/>
    <x v="0"/>
    <x v="2"/>
    <x v="9"/>
    <n v="0"/>
    <n v="0"/>
    <n v="1604.8910000000001"/>
    <n v="1604.8910000000001"/>
    <n v="1604.8910000000001"/>
    <n v="1604.8910000000001"/>
    <n v="4522"/>
    <x v="0"/>
    <n v="0"/>
    <n v="0"/>
    <n v="42"/>
    <n v="63"/>
    <n v="0"/>
    <n v="430.35"/>
    <n v="186.16"/>
    <m/>
    <n v="536.63434130853489"/>
    <n v="184.7746360391113"/>
    <n v="0"/>
    <n v="690664.84185000008"/>
    <n v="298766.50855999999"/>
    <n v="0"/>
    <n v="861239.62465699587"/>
    <n v="296543.15040744538"/>
  </r>
  <r>
    <s v="Refaturamento - Regular"/>
    <x v="2"/>
    <x v="3"/>
    <x v="4"/>
    <x v="0"/>
    <x v="0"/>
    <x v="0"/>
    <x v="2"/>
    <x v="9"/>
    <n v="0"/>
    <n v="0"/>
    <n v="-0.76500000000000001"/>
    <n v="-0.76500000000000001"/>
    <n v="-0.76500000000000001"/>
    <n v="-0.76500000000000001"/>
    <n v="0"/>
    <x v="0"/>
    <n v="0"/>
    <n v="0"/>
    <n v="42"/>
    <n v="63"/>
    <n v="0"/>
    <n v="430.35"/>
    <n v="186.16"/>
    <m/>
    <n v="536.63434130853489"/>
    <n v="184.7746360391113"/>
    <n v="0"/>
    <n v="-329.21775000000002"/>
    <n v="-142.41239999999999"/>
    <n v="0"/>
    <n v="-410.5252711010292"/>
    <n v="-141.35259656992014"/>
  </r>
  <r>
    <s v="Sistema de Compensação"/>
    <x v="2"/>
    <x v="3"/>
    <x v="4"/>
    <x v="0"/>
    <x v="0"/>
    <x v="0"/>
    <x v="2"/>
    <x v="9"/>
    <n v="0"/>
    <n v="0"/>
    <n v="96.867999999999995"/>
    <n v="96.867999999999995"/>
    <n v="96.867999999999995"/>
    <n v="96.867999999999995"/>
    <n v="162"/>
    <x v="0"/>
    <n v="0"/>
    <n v="0"/>
    <n v="42"/>
    <n v="63"/>
    <n v="0"/>
    <n v="430.35"/>
    <n v="186.16"/>
    <m/>
    <n v="536.63434130853489"/>
    <n v="184.7746360391113"/>
    <n v="0"/>
    <n v="41687.143799999998"/>
    <n v="18032.94688"/>
    <n v="0"/>
    <n v="51982.695373875154"/>
    <n v="17898.749443836634"/>
  </r>
  <r>
    <s v="Regular"/>
    <x v="2"/>
    <x v="3"/>
    <x v="4"/>
    <x v="0"/>
    <x v="0"/>
    <x v="0"/>
    <x v="2"/>
    <x v="10"/>
    <n v="0"/>
    <n v="0"/>
    <n v="1492.9159999999999"/>
    <n v="1492.9159999999999"/>
    <n v="1492.9159999999999"/>
    <n v="1492.9159999999999"/>
    <n v="4516"/>
    <x v="0"/>
    <n v="0"/>
    <n v="0"/>
    <n v="42"/>
    <n v="63"/>
    <n v="0"/>
    <n v="430.35"/>
    <n v="186.16"/>
    <m/>
    <n v="536.63434130853489"/>
    <n v="184.7746360391113"/>
    <n v="0"/>
    <n v="642476.40060000005"/>
    <n v="277921.24255999998"/>
    <n v="0"/>
    <n v="801149.99428897258"/>
    <n v="275853.01053696586"/>
  </r>
  <r>
    <s v="Refaturamento - Regular"/>
    <x v="2"/>
    <x v="3"/>
    <x v="4"/>
    <x v="0"/>
    <x v="0"/>
    <x v="0"/>
    <x v="2"/>
    <x v="10"/>
    <n v="0"/>
    <n v="0"/>
    <n v="-6.3559999999999999"/>
    <n v="-6.3559999999999999"/>
    <n v="-6.3559999999999999"/>
    <n v="-6.3559999999999999"/>
    <n v="0"/>
    <x v="0"/>
    <n v="0"/>
    <n v="0"/>
    <n v="42"/>
    <n v="63"/>
    <n v="0"/>
    <n v="430.35"/>
    <n v="186.16"/>
    <m/>
    <n v="536.63434130853489"/>
    <n v="184.7746360391113"/>
    <n v="0"/>
    <n v="-2735.3045999999999"/>
    <n v="-1183.23296"/>
    <n v="0"/>
    <n v="-3410.8478733570478"/>
    <n v="-1174.4275866645914"/>
  </r>
  <r>
    <s v="Sistema de Compensação"/>
    <x v="2"/>
    <x v="3"/>
    <x v="4"/>
    <x v="0"/>
    <x v="0"/>
    <x v="0"/>
    <x v="2"/>
    <x v="10"/>
    <n v="0"/>
    <n v="0"/>
    <n v="165.44300000000001"/>
    <n v="165.44300000000001"/>
    <n v="165.44300000000001"/>
    <n v="165.44300000000001"/>
    <n v="162"/>
    <x v="0"/>
    <n v="0"/>
    <n v="0"/>
    <n v="42"/>
    <n v="63"/>
    <n v="0"/>
    <n v="430.35"/>
    <n v="186.16"/>
    <m/>
    <n v="536.63434130853489"/>
    <n v="184.7746360391113"/>
    <n v="0"/>
    <n v="71198.395050000006"/>
    <n v="30798.868880000002"/>
    <n v="0"/>
    <n v="88782.395329107938"/>
    <n v="30569.670110218693"/>
  </r>
  <r>
    <s v="Regular"/>
    <x v="2"/>
    <x v="3"/>
    <x v="4"/>
    <x v="0"/>
    <x v="0"/>
    <x v="0"/>
    <x v="2"/>
    <x v="11"/>
    <n v="0"/>
    <n v="0"/>
    <n v="1487.491"/>
    <n v="1487.491"/>
    <n v="1487.491"/>
    <n v="1487.491"/>
    <n v="4523"/>
    <x v="0"/>
    <n v="0"/>
    <n v="0"/>
    <n v="42"/>
    <n v="63"/>
    <n v="0"/>
    <n v="430.35"/>
    <n v="186.16"/>
    <m/>
    <n v="536.63434130853489"/>
    <n v="184.7746360391113"/>
    <n v="0"/>
    <n v="640141.75185"/>
    <n v="276911.32455999998"/>
    <n v="0"/>
    <n v="798238.75298737385"/>
    <n v="274850.60813645372"/>
  </r>
  <r>
    <s v="Refaturamento - Regular"/>
    <x v="2"/>
    <x v="3"/>
    <x v="4"/>
    <x v="0"/>
    <x v="0"/>
    <x v="0"/>
    <x v="2"/>
    <x v="11"/>
    <n v="0"/>
    <n v="0"/>
    <n v="-0.40400000000000003"/>
    <n v="-0.40400000000000003"/>
    <n v="-0.40400000000000003"/>
    <n v="-0.40400000000000003"/>
    <n v="0"/>
    <x v="0"/>
    <n v="0"/>
    <n v="0"/>
    <n v="42"/>
    <n v="63"/>
    <n v="0"/>
    <n v="430.35"/>
    <n v="186.16"/>
    <m/>
    <n v="536.63434130853489"/>
    <n v="184.7746360391113"/>
    <n v="0"/>
    <n v="-173.86140000000003"/>
    <n v="-75.208640000000003"/>
    <n v="0"/>
    <n v="-216.80027388864812"/>
    <n v="-74.648952959800965"/>
  </r>
  <r>
    <s v="Sistema de Compensação"/>
    <x v="2"/>
    <x v="3"/>
    <x v="4"/>
    <x v="0"/>
    <x v="0"/>
    <x v="0"/>
    <x v="2"/>
    <x v="11"/>
    <n v="0"/>
    <n v="0"/>
    <n v="217.73599999999999"/>
    <n v="217.73599999999999"/>
    <n v="217.73599999999999"/>
    <n v="217.73599999999999"/>
    <n v="160"/>
    <x v="0"/>
    <n v="0"/>
    <n v="0"/>
    <n v="42"/>
    <n v="63"/>
    <n v="0"/>
    <n v="430.35"/>
    <n v="186.16"/>
    <m/>
    <n v="536.63434130853489"/>
    <n v="184.7746360391113"/>
    <n v="0"/>
    <n v="93702.687600000005"/>
    <n v="40533.733759999996"/>
    <n v="0"/>
    <n v="116844.61493915514"/>
    <n v="40232.090152611934"/>
  </r>
  <r>
    <s v="Regular"/>
    <x v="3"/>
    <x v="3"/>
    <x v="2"/>
    <x v="0"/>
    <x v="0"/>
    <x v="0"/>
    <x v="2"/>
    <x v="0"/>
    <n v="0"/>
    <n v="0"/>
    <n v="117.46"/>
    <n v="117.46"/>
    <n v="117.46"/>
    <n v="117.46"/>
    <n v="358"/>
    <x v="0"/>
    <n v="0"/>
    <n v="0"/>
    <n v="35"/>
    <n v="83"/>
    <n v="0"/>
    <n v="489.03"/>
    <n v="211.54"/>
    <m/>
    <n v="570.88759713673926"/>
    <n v="196.56876174373542"/>
    <n v="0"/>
    <n v="57441.46379999999"/>
    <n v="24847.488399999998"/>
    <n v="0"/>
    <n v="67056.457159681391"/>
    <n v="23088.966754419162"/>
  </r>
  <r>
    <s v="Sistema de Compensação"/>
    <x v="3"/>
    <x v="3"/>
    <x v="2"/>
    <x v="0"/>
    <x v="0"/>
    <x v="0"/>
    <x v="2"/>
    <x v="0"/>
    <n v="0"/>
    <n v="0"/>
    <n v="12.364000000000001"/>
    <n v="12.364000000000001"/>
    <n v="12.364000000000001"/>
    <n v="12.364000000000001"/>
    <n v="21"/>
    <x v="0"/>
    <n v="0"/>
    <n v="0"/>
    <n v="35"/>
    <n v="83"/>
    <n v="0"/>
    <n v="489.03"/>
    <n v="211.54"/>
    <m/>
    <n v="570.88759713673926"/>
    <n v="196.56876174373542"/>
    <n v="0"/>
    <n v="6046.3669200000004"/>
    <n v="2615.48056"/>
    <n v="0"/>
    <n v="7058.454250998645"/>
    <n v="2430.376170199545"/>
  </r>
  <r>
    <s v="Regular"/>
    <x v="3"/>
    <x v="3"/>
    <x v="2"/>
    <x v="0"/>
    <x v="0"/>
    <x v="0"/>
    <x v="2"/>
    <x v="1"/>
    <n v="0"/>
    <n v="0"/>
    <n v="119.937"/>
    <n v="119.937"/>
    <n v="119.937"/>
    <n v="119.937"/>
    <n v="359"/>
    <x v="0"/>
    <n v="0"/>
    <n v="0"/>
    <n v="35"/>
    <n v="83"/>
    <n v="0"/>
    <n v="489.03"/>
    <n v="211.54"/>
    <m/>
    <n v="570.88759713673926"/>
    <n v="196.56876174373542"/>
    <n v="0"/>
    <n v="58652.791109999998"/>
    <n v="25371.472979999999"/>
    <n v="0"/>
    <n v="68470.5457377891"/>
    <n v="23575.867577258396"/>
  </r>
  <r>
    <s v="Regular"/>
    <x v="3"/>
    <x v="3"/>
    <x v="2"/>
    <x v="0"/>
    <x v="0"/>
    <x v="0"/>
    <x v="2"/>
    <x v="2"/>
    <n v="0"/>
    <n v="0"/>
    <n v="116.396"/>
    <n v="116.396"/>
    <n v="116.396"/>
    <n v="116.396"/>
    <n v="360"/>
    <x v="0"/>
    <n v="0"/>
    <n v="0"/>
    <n v="35"/>
    <n v="83"/>
    <n v="0"/>
    <n v="489.03"/>
    <n v="211.54"/>
    <m/>
    <n v="570.88759713673926"/>
    <n v="196.56876174373542"/>
    <n v="0"/>
    <n v="56921.135879999994"/>
    <n v="24622.40984"/>
    <n v="0"/>
    <n v="66449.032756327899"/>
    <n v="22879.817591923827"/>
  </r>
  <r>
    <s v="Sistema de Compensação"/>
    <x v="3"/>
    <x v="3"/>
    <x v="2"/>
    <x v="0"/>
    <x v="0"/>
    <x v="0"/>
    <x v="2"/>
    <x v="2"/>
    <n v="0"/>
    <n v="0"/>
    <n v="12.316000000000001"/>
    <n v="12.316000000000001"/>
    <n v="12.316000000000001"/>
    <n v="12.316000000000001"/>
    <n v="20"/>
    <x v="0"/>
    <n v="0"/>
    <n v="0"/>
    <n v="35"/>
    <n v="83"/>
    <n v="0"/>
    <n v="489.03"/>
    <n v="211.54"/>
    <m/>
    <n v="570.88759713673926"/>
    <n v="196.56876174373542"/>
    <n v="0"/>
    <n v="6022.8934799999997"/>
    <n v="2605.3266400000002"/>
    <n v="0"/>
    <n v="7031.0516463360809"/>
    <n v="2420.9408696358455"/>
  </r>
  <r>
    <s v="Regular"/>
    <x v="3"/>
    <x v="3"/>
    <x v="2"/>
    <x v="0"/>
    <x v="0"/>
    <x v="0"/>
    <x v="2"/>
    <x v="3"/>
    <n v="0"/>
    <n v="0"/>
    <n v="120.08799999999999"/>
    <n v="120.08799999999999"/>
    <n v="120.08799999999999"/>
    <n v="120.08799999999999"/>
    <n v="358"/>
    <x v="0"/>
    <n v="0"/>
    <n v="0"/>
    <n v="35"/>
    <n v="83"/>
    <n v="0"/>
    <n v="489.03"/>
    <n v="211.54"/>
    <m/>
    <n v="570.88759713673926"/>
    <n v="196.56876174373542"/>
    <n v="0"/>
    <n v="58726.634639999997"/>
    <n v="25403.415519999999"/>
    <n v="0"/>
    <n v="68556.749764956738"/>
    <n v="23605.549460281698"/>
  </r>
  <r>
    <s v="Refaturamento - Regular"/>
    <x v="3"/>
    <x v="3"/>
    <x v="2"/>
    <x v="0"/>
    <x v="0"/>
    <x v="0"/>
    <x v="2"/>
    <x v="3"/>
    <n v="0"/>
    <n v="0"/>
    <n v="-0.26100000000000001"/>
    <n v="-0.26100000000000001"/>
    <n v="-0.26100000000000001"/>
    <n v="-0.26100000000000001"/>
    <n v="0"/>
    <x v="0"/>
    <n v="0"/>
    <n v="0"/>
    <n v="35"/>
    <n v="83"/>
    <n v="0"/>
    <n v="489.03"/>
    <n v="211.54"/>
    <m/>
    <n v="570.88759713673926"/>
    <n v="196.56876174373542"/>
    <n v="0"/>
    <n v="-127.63683"/>
    <n v="-55.211939999999998"/>
    <n v="0"/>
    <n v="-149.00166285268895"/>
    <n v="-51.30444681511495"/>
  </r>
  <r>
    <s v="Sistema de Compensação"/>
    <x v="3"/>
    <x v="3"/>
    <x v="2"/>
    <x v="0"/>
    <x v="0"/>
    <x v="0"/>
    <x v="2"/>
    <x v="3"/>
    <n v="0"/>
    <n v="0"/>
    <n v="7.5629999999999997"/>
    <n v="7.5629999999999997"/>
    <n v="7.5629999999999997"/>
    <n v="7.5629999999999997"/>
    <n v="22"/>
    <x v="0"/>
    <n v="0"/>
    <n v="0"/>
    <n v="35"/>
    <n v="83"/>
    <n v="0"/>
    <n v="489.03"/>
    <n v="211.54"/>
    <m/>
    <n v="570.88759713673926"/>
    <n v="196.56876174373542"/>
    <n v="0"/>
    <n v="3698.5338899999997"/>
    <n v="1599.8770199999999"/>
    <n v="0"/>
    <n v="4317.6228971451592"/>
    <n v="1486.649545067871"/>
  </r>
  <r>
    <s v="Sistema de Compensação"/>
    <x v="3"/>
    <x v="3"/>
    <x v="2"/>
    <x v="0"/>
    <x v="0"/>
    <x v="0"/>
    <x v="2"/>
    <x v="3"/>
    <n v="0"/>
    <n v="0"/>
    <n v="-2.0859999999999999"/>
    <n v="-2.0859999999999999"/>
    <n v="-2.0859999999999999"/>
    <n v="-2.0859999999999999"/>
    <n v="2"/>
    <x v="0"/>
    <n v="0"/>
    <n v="0"/>
    <n v="35"/>
    <n v="83"/>
    <n v="0"/>
    <n v="489.03"/>
    <n v="211.54"/>
    <m/>
    <n v="570.88759713673926"/>
    <n v="196.56876174373542"/>
    <n v="0"/>
    <n v="-1020.1165799999999"/>
    <n v="-441.27243999999996"/>
    <n v="0"/>
    <n v="-1190.871527627238"/>
    <n v="-410.04243699743205"/>
  </r>
  <r>
    <s v="Regular"/>
    <x v="3"/>
    <x v="3"/>
    <x v="2"/>
    <x v="0"/>
    <x v="0"/>
    <x v="0"/>
    <x v="2"/>
    <x v="4"/>
    <n v="0"/>
    <n v="0"/>
    <n v="131.22300000000001"/>
    <n v="131.22300000000001"/>
    <n v="131.22300000000001"/>
    <n v="131.22300000000001"/>
    <n v="360"/>
    <x v="0"/>
    <n v="0"/>
    <n v="0"/>
    <n v="35"/>
    <n v="83"/>
    <n v="0"/>
    <n v="489.03"/>
    <n v="211.54"/>
    <m/>
    <n v="570.88759713673926"/>
    <n v="196.56876174373542"/>
    <n v="0"/>
    <n v="64171.983690000001"/>
    <n v="27758.913420000001"/>
    <n v="0"/>
    <n v="74913.583159074347"/>
    <n v="25794.342622298194"/>
  </r>
  <r>
    <s v="Sistema de Compensação"/>
    <x v="3"/>
    <x v="3"/>
    <x v="2"/>
    <x v="0"/>
    <x v="0"/>
    <x v="0"/>
    <x v="2"/>
    <x v="4"/>
    <n v="0"/>
    <n v="0"/>
    <n v="2.5419999999999998"/>
    <n v="2.5419999999999998"/>
    <n v="2.5419999999999998"/>
    <n v="2.5419999999999998"/>
    <n v="23"/>
    <x v="0"/>
    <n v="0"/>
    <n v="0"/>
    <n v="35"/>
    <n v="83"/>
    <n v="0"/>
    <n v="489.03"/>
    <n v="211.54"/>
    <m/>
    <n v="570.88759713673926"/>
    <n v="196.56876174373542"/>
    <n v="0"/>
    <n v="1243.1142599999998"/>
    <n v="537.73467999999991"/>
    <n v="0"/>
    <n v="1451.196271921591"/>
    <n v="499.67779235257541"/>
  </r>
  <r>
    <s v="Regular"/>
    <x v="3"/>
    <x v="3"/>
    <x v="2"/>
    <x v="0"/>
    <x v="0"/>
    <x v="0"/>
    <x v="2"/>
    <x v="5"/>
    <n v="0"/>
    <n v="0"/>
    <n v="169.584"/>
    <n v="169.584"/>
    <n v="169.584"/>
    <n v="169.584"/>
    <n v="361"/>
    <x v="0"/>
    <n v="0"/>
    <n v="0"/>
    <n v="35"/>
    <n v="83"/>
    <n v="0"/>
    <n v="489.03"/>
    <n v="211.54"/>
    <m/>
    <n v="570.88759713673926"/>
    <n v="196.56876174373542"/>
    <n v="0"/>
    <n v="82931.663520000002"/>
    <n v="35873.799359999997"/>
    <n v="0"/>
    <n v="96813.402272836785"/>
    <n v="33334.916891549627"/>
  </r>
  <r>
    <s v="Refaturamento - Regular"/>
    <x v="3"/>
    <x v="3"/>
    <x v="2"/>
    <x v="0"/>
    <x v="0"/>
    <x v="0"/>
    <x v="2"/>
    <x v="5"/>
    <n v="0"/>
    <n v="0"/>
    <n v="-0.41799999999999998"/>
    <n v="-0.41799999999999998"/>
    <n v="-0.41799999999999998"/>
    <n v="-0.41799999999999998"/>
    <n v="0"/>
    <x v="0"/>
    <n v="0"/>
    <n v="0"/>
    <n v="35"/>
    <n v="83"/>
    <n v="0"/>
    <n v="489.03"/>
    <n v="211.54"/>
    <m/>
    <n v="570.88759713673926"/>
    <n v="196.56876174373542"/>
    <n v="0"/>
    <n v="-204.41453999999999"/>
    <n v="-88.423719999999989"/>
    <n v="0"/>
    <n v="-238.63101560315701"/>
    <n v="-82.1657424088814"/>
  </r>
  <r>
    <s v="Sistema de Compensação"/>
    <x v="3"/>
    <x v="3"/>
    <x v="2"/>
    <x v="0"/>
    <x v="0"/>
    <x v="0"/>
    <x v="2"/>
    <x v="5"/>
    <n v="0"/>
    <n v="0"/>
    <n v="3.9929999999999999"/>
    <n v="3.9929999999999999"/>
    <n v="3.9929999999999999"/>
    <n v="3.9929999999999999"/>
    <n v="23"/>
    <x v="0"/>
    <n v="0"/>
    <n v="0"/>
    <n v="35"/>
    <n v="83"/>
    <n v="0"/>
    <n v="489.03"/>
    <n v="211.54"/>
    <m/>
    <n v="570.88759713673926"/>
    <n v="196.56876174373542"/>
    <n v="0"/>
    <n v="1952.6967899999997"/>
    <n v="844.67921999999999"/>
    <n v="0"/>
    <n v="2279.554175367"/>
    <n v="784.89906564273554"/>
  </r>
  <r>
    <s v="Regular"/>
    <x v="3"/>
    <x v="3"/>
    <x v="2"/>
    <x v="0"/>
    <x v="0"/>
    <x v="0"/>
    <x v="2"/>
    <x v="6"/>
    <n v="0"/>
    <n v="0"/>
    <n v="163.18"/>
    <n v="163.18"/>
    <n v="163.18"/>
    <n v="163.18"/>
    <n v="357"/>
    <x v="0"/>
    <n v="0"/>
    <n v="0"/>
    <n v="35"/>
    <n v="83"/>
    <n v="0"/>
    <n v="489.03"/>
    <n v="211.54"/>
    <m/>
    <n v="570.88759713673926"/>
    <n v="196.56876174373542"/>
    <n v="0"/>
    <n v="79799.915399999998"/>
    <n v="34519.097199999997"/>
    <n v="0"/>
    <n v="93157.438100773114"/>
    <n v="32076.090541342746"/>
  </r>
  <r>
    <s v="Refaturamento - Regular"/>
    <x v="3"/>
    <x v="3"/>
    <x v="2"/>
    <x v="0"/>
    <x v="0"/>
    <x v="0"/>
    <x v="2"/>
    <x v="6"/>
    <n v="0"/>
    <n v="0"/>
    <n v="1.702"/>
    <n v="1.702"/>
    <n v="1.702"/>
    <n v="1.702"/>
    <n v="0"/>
    <x v="0"/>
    <n v="0"/>
    <n v="0"/>
    <n v="35"/>
    <n v="83"/>
    <n v="0"/>
    <n v="489.03"/>
    <n v="211.54"/>
    <m/>
    <n v="570.88759713673926"/>
    <n v="196.56876174373542"/>
    <n v="0"/>
    <n v="832.32905999999991"/>
    <n v="360.04107999999997"/>
    <n v="0"/>
    <n v="971.65069032673023"/>
    <n v="334.5600324878377"/>
  </r>
  <r>
    <s v="Sistema de Compensação"/>
    <x v="3"/>
    <x v="3"/>
    <x v="2"/>
    <x v="0"/>
    <x v="0"/>
    <x v="0"/>
    <x v="2"/>
    <x v="6"/>
    <n v="0"/>
    <n v="0"/>
    <n v="7.8070000000000004"/>
    <n v="7.8070000000000004"/>
    <n v="7.8070000000000004"/>
    <n v="7.8070000000000004"/>
    <n v="25"/>
    <x v="0"/>
    <n v="0"/>
    <n v="0"/>
    <n v="35"/>
    <n v="83"/>
    <n v="0"/>
    <n v="489.03"/>
    <n v="211.54"/>
    <m/>
    <n v="570.88759713673926"/>
    <n v="196.56876174373542"/>
    <n v="0"/>
    <n v="3817.8572100000001"/>
    <n v="1651.49278"/>
    <n v="0"/>
    <n v="4456.9194708465238"/>
    <n v="1534.6123229333425"/>
  </r>
  <r>
    <s v="Regular"/>
    <x v="3"/>
    <x v="3"/>
    <x v="2"/>
    <x v="0"/>
    <x v="0"/>
    <x v="0"/>
    <x v="2"/>
    <x v="7"/>
    <n v="0"/>
    <n v="0"/>
    <n v="133.715"/>
    <n v="133.715"/>
    <n v="133.715"/>
    <n v="133.715"/>
    <n v="321"/>
    <x v="0"/>
    <n v="0"/>
    <n v="0"/>
    <n v="35"/>
    <n v="83"/>
    <n v="0"/>
    <n v="489.03"/>
    <n v="211.54"/>
    <m/>
    <n v="570.88759713673926"/>
    <n v="196.56876174373542"/>
    <n v="0"/>
    <n v="65390.64645"/>
    <n v="28286.071100000001"/>
    <n v="0"/>
    <n v="76336.235051139098"/>
    <n v="26284.191976563583"/>
  </r>
  <r>
    <s v="Sistema de Compensação"/>
    <x v="3"/>
    <x v="3"/>
    <x v="2"/>
    <x v="0"/>
    <x v="0"/>
    <x v="0"/>
    <x v="2"/>
    <x v="7"/>
    <n v="0"/>
    <n v="0"/>
    <n v="7.157"/>
    <n v="7.157"/>
    <n v="7.157"/>
    <n v="7.157"/>
    <n v="23"/>
    <x v="0"/>
    <n v="0"/>
    <n v="0"/>
    <n v="35"/>
    <n v="83"/>
    <n v="0"/>
    <n v="489.03"/>
    <n v="211.54"/>
    <m/>
    <n v="570.88759713673926"/>
    <n v="196.56876174373542"/>
    <n v="0"/>
    <n v="3499.9877099999999"/>
    <n v="1513.9917800000001"/>
    <n v="0"/>
    <n v="4085.8425327076429"/>
    <n v="1406.8426277999145"/>
  </r>
  <r>
    <s v="Regular"/>
    <x v="3"/>
    <x v="3"/>
    <x v="2"/>
    <x v="0"/>
    <x v="0"/>
    <x v="0"/>
    <x v="2"/>
    <x v="8"/>
    <n v="0"/>
    <n v="0"/>
    <n v="120.584"/>
    <n v="120.584"/>
    <n v="120.584"/>
    <n v="120.584"/>
    <n v="323"/>
    <x v="0"/>
    <n v="0"/>
    <n v="0"/>
    <n v="35"/>
    <n v="83"/>
    <n v="0"/>
    <n v="489.03"/>
    <n v="211.54"/>
    <m/>
    <n v="570.88759713673926"/>
    <n v="196.56876174373542"/>
    <n v="0"/>
    <n v="58969.193520000001"/>
    <n v="25508.339359999998"/>
    <n v="0"/>
    <n v="68839.91001313657"/>
    <n v="23703.047566106594"/>
  </r>
  <r>
    <s v="Sistema de Compensação"/>
    <x v="3"/>
    <x v="3"/>
    <x v="2"/>
    <x v="0"/>
    <x v="0"/>
    <x v="0"/>
    <x v="2"/>
    <x v="8"/>
    <n v="0"/>
    <n v="0"/>
    <n v="5.5030000000000001"/>
    <n v="5.5030000000000001"/>
    <n v="5.5030000000000001"/>
    <n v="5.5030000000000001"/>
    <n v="22"/>
    <x v="0"/>
    <n v="0"/>
    <n v="0"/>
    <n v="35"/>
    <n v="83"/>
    <n v="0"/>
    <n v="489.03"/>
    <n v="211.54"/>
    <m/>
    <n v="570.88759713673926"/>
    <n v="196.56876174373542"/>
    <n v="0"/>
    <n v="2691.1320900000001"/>
    <n v="1164.1046200000001"/>
    <n v="0"/>
    <n v="3141.5944470434761"/>
    <n v="1081.7178958757761"/>
  </r>
  <r>
    <s v="Regular"/>
    <x v="3"/>
    <x v="3"/>
    <x v="2"/>
    <x v="0"/>
    <x v="0"/>
    <x v="0"/>
    <x v="2"/>
    <x v="9"/>
    <n v="0"/>
    <n v="0"/>
    <n v="125.316"/>
    <n v="125.316"/>
    <n v="125.316"/>
    <n v="125.316"/>
    <n v="322"/>
    <x v="0"/>
    <n v="0"/>
    <n v="0"/>
    <n v="35"/>
    <n v="83"/>
    <n v="0"/>
    <n v="489.03"/>
    <n v="211.54"/>
    <m/>
    <n v="570.88759713673926"/>
    <n v="196.56876174373542"/>
    <n v="0"/>
    <n v="61283.283479999998"/>
    <n v="26509.34664"/>
    <n v="0"/>
    <n v="71541.350122787611"/>
    <n v="24633.210946677948"/>
  </r>
  <r>
    <s v="Sistema de Compensação"/>
    <x v="3"/>
    <x v="3"/>
    <x v="2"/>
    <x v="0"/>
    <x v="0"/>
    <x v="0"/>
    <x v="2"/>
    <x v="9"/>
    <n v="0"/>
    <n v="0"/>
    <n v="7.8739999999999997"/>
    <n v="7.8739999999999997"/>
    <n v="7.8739999999999997"/>
    <n v="7.8739999999999997"/>
    <n v="23"/>
    <x v="0"/>
    <n v="0"/>
    <n v="0"/>
    <n v="35"/>
    <n v="83"/>
    <n v="0"/>
    <n v="489.03"/>
    <n v="211.54"/>
    <m/>
    <n v="570.88759713673926"/>
    <n v="196.56876174373542"/>
    <n v="0"/>
    <n v="3850.6222199999997"/>
    <n v="1665.6659599999998"/>
    <n v="0"/>
    <n v="4495.168939854685"/>
    <n v="1547.7824299701726"/>
  </r>
  <r>
    <s v="Regular"/>
    <x v="3"/>
    <x v="3"/>
    <x v="2"/>
    <x v="0"/>
    <x v="0"/>
    <x v="0"/>
    <x v="2"/>
    <x v="10"/>
    <n v="0"/>
    <n v="0"/>
    <n v="130.47399999999999"/>
    <n v="130.47399999999999"/>
    <n v="130.47399999999999"/>
    <n v="130.47399999999999"/>
    <n v="319"/>
    <x v="0"/>
    <n v="0"/>
    <n v="0"/>
    <n v="35"/>
    <n v="83"/>
    <n v="0"/>
    <n v="489.03"/>
    <n v="211.54"/>
    <m/>
    <n v="570.88759713673926"/>
    <n v="196.56876174373542"/>
    <n v="0"/>
    <n v="63805.700219999992"/>
    <n v="27600.469959999999"/>
    <n v="0"/>
    <n v="74485.988348818908"/>
    <n v="25647.112619752133"/>
  </r>
  <r>
    <s v="Sistema de Compensação"/>
    <x v="3"/>
    <x v="3"/>
    <x v="2"/>
    <x v="0"/>
    <x v="0"/>
    <x v="0"/>
    <x v="2"/>
    <x v="10"/>
    <n v="0"/>
    <n v="0"/>
    <n v="10.617000000000001"/>
    <n v="10.617000000000001"/>
    <n v="10.617000000000001"/>
    <n v="10.617000000000001"/>
    <n v="22"/>
    <x v="0"/>
    <n v="0"/>
    <n v="0"/>
    <n v="35"/>
    <n v="83"/>
    <n v="0"/>
    <n v="489.03"/>
    <n v="211.54"/>
    <m/>
    <n v="570.88759713673926"/>
    <n v="196.56876174373542"/>
    <n v="0"/>
    <n v="5192.0315099999998"/>
    <n v="2245.9201800000001"/>
    <n v="0"/>
    <n v="6061.1136188007613"/>
    <n v="2086.9705434332391"/>
  </r>
  <r>
    <s v="Regular"/>
    <x v="3"/>
    <x v="3"/>
    <x v="2"/>
    <x v="0"/>
    <x v="0"/>
    <x v="0"/>
    <x v="2"/>
    <x v="11"/>
    <n v="0"/>
    <n v="0"/>
    <n v="130.56100000000001"/>
    <n v="130.56100000000001"/>
    <n v="130.56100000000001"/>
    <n v="130.56100000000001"/>
    <n v="320"/>
    <x v="0"/>
    <n v="0"/>
    <n v="0"/>
    <n v="35"/>
    <n v="83"/>
    <n v="0"/>
    <n v="489.03"/>
    <n v="211.54"/>
    <m/>
    <n v="570.88759713673926"/>
    <n v="196.56876174373542"/>
    <n v="0"/>
    <n v="63848.24583"/>
    <n v="27618.873940000001"/>
    <n v="0"/>
    <n v="74535.65556976982"/>
    <n v="25664.214102023841"/>
  </r>
  <r>
    <s v="Sistema de Compensação"/>
    <x v="3"/>
    <x v="3"/>
    <x v="2"/>
    <x v="0"/>
    <x v="0"/>
    <x v="0"/>
    <x v="2"/>
    <x v="11"/>
    <n v="0"/>
    <n v="0"/>
    <n v="29.523"/>
    <n v="29.523"/>
    <n v="29.523"/>
    <n v="29.523"/>
    <n v="22"/>
    <x v="0"/>
    <n v="0"/>
    <n v="0"/>
    <n v="35"/>
    <n v="83"/>
    <n v="0"/>
    <n v="489.03"/>
    <n v="211.54"/>
    <m/>
    <n v="570.88759713673926"/>
    <n v="196.56876174373542"/>
    <n v="0"/>
    <n v="14437.632689999999"/>
    <n v="6245.2954199999995"/>
    <n v="0"/>
    <n v="16854.314530267951"/>
    <n v="5803.2995529603004"/>
  </r>
  <r>
    <s v="Regular"/>
    <x v="3"/>
    <x v="3"/>
    <x v="0"/>
    <x v="0"/>
    <x v="0"/>
    <x v="0"/>
    <x v="2"/>
    <x v="0"/>
    <n v="0"/>
    <n v="0"/>
    <n v="40.542000000000002"/>
    <n v="40.542000000000002"/>
    <n v="40.542000000000002"/>
    <n v="40.542000000000002"/>
    <n v="31"/>
    <x v="0"/>
    <n v="0"/>
    <n v="0"/>
    <n v="35"/>
    <n v="83"/>
    <n v="0"/>
    <n v="489.03"/>
    <n v="211.54"/>
    <m/>
    <n v="570.88759713673926"/>
    <n v="196.56876174373542"/>
    <n v="0"/>
    <n v="19826.254259999998"/>
    <n v="8576.25468"/>
    <n v="0"/>
    <n v="23144.924963117683"/>
    <n v="7969.2907386145216"/>
  </r>
  <r>
    <s v="Sistema de Compensação"/>
    <x v="3"/>
    <x v="3"/>
    <x v="0"/>
    <x v="0"/>
    <x v="0"/>
    <x v="0"/>
    <x v="2"/>
    <x v="0"/>
    <n v="0"/>
    <n v="0"/>
    <n v="9.2200000000000006"/>
    <n v="9.2200000000000006"/>
    <n v="9.2200000000000006"/>
    <n v="9.2200000000000006"/>
    <n v="3"/>
    <x v="0"/>
    <n v="0"/>
    <n v="0"/>
    <n v="35"/>
    <n v="83"/>
    <n v="0"/>
    <n v="489.03"/>
    <n v="211.54"/>
    <m/>
    <n v="570.88759713673926"/>
    <n v="196.56876174373542"/>
    <n v="0"/>
    <n v="4508.8566000000001"/>
    <n v="1950.3988000000002"/>
    <n v="0"/>
    <n v="5263.5836456007364"/>
    <n v="1812.3639832772408"/>
  </r>
  <r>
    <s v="Regular"/>
    <x v="3"/>
    <x v="3"/>
    <x v="0"/>
    <x v="0"/>
    <x v="0"/>
    <x v="0"/>
    <x v="2"/>
    <x v="1"/>
    <n v="0"/>
    <n v="0"/>
    <n v="36.991999999999997"/>
    <n v="36.991999999999997"/>
    <n v="36.991999999999997"/>
    <n v="36.991999999999997"/>
    <n v="31"/>
    <x v="0"/>
    <n v="0"/>
    <n v="0"/>
    <n v="35"/>
    <n v="83"/>
    <n v="0"/>
    <n v="489.03"/>
    <n v="211.54"/>
    <m/>
    <n v="570.88759713673926"/>
    <n v="196.56876174373542"/>
    <n v="0"/>
    <n v="18090.197759999999"/>
    <n v="7825.2876799999995"/>
    <n v="0"/>
    <n v="21118.273993282259"/>
    <n v="7271.4716344242606"/>
  </r>
  <r>
    <s v="Regular"/>
    <x v="3"/>
    <x v="3"/>
    <x v="0"/>
    <x v="0"/>
    <x v="0"/>
    <x v="0"/>
    <x v="2"/>
    <x v="2"/>
    <n v="0"/>
    <n v="0"/>
    <n v="33.968000000000004"/>
    <n v="33.968000000000004"/>
    <n v="33.968000000000004"/>
    <n v="33.968000000000004"/>
    <n v="32"/>
    <x v="0"/>
    <n v="0"/>
    <n v="0"/>
    <n v="35"/>
    <n v="83"/>
    <n v="0"/>
    <n v="489.03"/>
    <n v="211.54"/>
    <m/>
    <n v="570.88759713673926"/>
    <n v="196.56876174373542"/>
    <n v="0"/>
    <n v="16611.371040000002"/>
    <n v="7185.5907200000001"/>
    <n v="0"/>
    <n v="19391.909899540762"/>
    <n v="6677.0476989112058"/>
  </r>
  <r>
    <s v="Sistema de Compensação"/>
    <x v="3"/>
    <x v="3"/>
    <x v="0"/>
    <x v="0"/>
    <x v="0"/>
    <x v="0"/>
    <x v="2"/>
    <x v="2"/>
    <n v="0"/>
    <n v="0"/>
    <n v="3.1190000000000002"/>
    <n v="3.1190000000000002"/>
    <n v="3.1190000000000002"/>
    <n v="3.1190000000000002"/>
    <n v="3"/>
    <x v="0"/>
    <n v="0"/>
    <n v="0"/>
    <n v="35"/>
    <n v="83"/>
    <n v="0"/>
    <n v="489.03"/>
    <n v="211.54"/>
    <m/>
    <n v="570.88759713673926"/>
    <n v="196.56876174373542"/>
    <n v="0"/>
    <n v="1525.28457"/>
    <n v="659.79326000000003"/>
    <n v="0"/>
    <n v="1780.59841546949"/>
    <n v="613.09796787871085"/>
  </r>
  <r>
    <s v="Regular"/>
    <x v="3"/>
    <x v="3"/>
    <x v="0"/>
    <x v="0"/>
    <x v="0"/>
    <x v="0"/>
    <x v="2"/>
    <x v="3"/>
    <n v="0"/>
    <n v="0"/>
    <n v="42.881"/>
    <n v="42.881"/>
    <n v="42.881"/>
    <n v="42.881"/>
    <n v="33"/>
    <x v="0"/>
    <n v="0"/>
    <n v="0"/>
    <n v="35"/>
    <n v="83"/>
    <n v="0"/>
    <n v="489.03"/>
    <n v="211.54"/>
    <m/>
    <n v="570.88759713673926"/>
    <n v="196.56876174373542"/>
    <n v="0"/>
    <n v="20970.095429999998"/>
    <n v="9071.0467399999998"/>
    <n v="0"/>
    <n v="24480.231052820516"/>
    <n v="8429.0650723331182"/>
  </r>
  <r>
    <s v="Sistema de Compensação"/>
    <x v="3"/>
    <x v="3"/>
    <x v="0"/>
    <x v="0"/>
    <x v="0"/>
    <x v="0"/>
    <x v="2"/>
    <x v="3"/>
    <n v="0"/>
    <n v="0"/>
    <n v="3.569"/>
    <n v="3.569"/>
    <n v="3.569"/>
    <n v="3.569"/>
    <n v="3"/>
    <x v="0"/>
    <n v="0"/>
    <n v="0"/>
    <n v="35"/>
    <n v="83"/>
    <n v="0"/>
    <n v="489.03"/>
    <n v="211.54"/>
    <m/>
    <n v="570.88759713673926"/>
    <n v="196.56876174373542"/>
    <n v="0"/>
    <n v="1745.3480699999998"/>
    <n v="754.98626000000002"/>
    <n v="0"/>
    <n v="2037.4978341810224"/>
    <n v="701.55391066339166"/>
  </r>
  <r>
    <s v="Regular"/>
    <x v="3"/>
    <x v="3"/>
    <x v="0"/>
    <x v="0"/>
    <x v="0"/>
    <x v="0"/>
    <x v="2"/>
    <x v="4"/>
    <n v="0"/>
    <n v="0"/>
    <n v="40.781999999999996"/>
    <n v="40.781999999999996"/>
    <n v="40.781999999999996"/>
    <n v="40.781999999999996"/>
    <n v="32"/>
    <x v="0"/>
    <n v="0"/>
    <n v="0"/>
    <n v="35"/>
    <n v="83"/>
    <n v="0"/>
    <n v="489.03"/>
    <n v="211.54"/>
    <m/>
    <n v="570.88759713673926"/>
    <n v="196.56876174373542"/>
    <n v="0"/>
    <n v="19943.621459999998"/>
    <n v="8627.0242799999996"/>
    <n v="0"/>
    <n v="23281.937986430497"/>
    <n v="8016.4672414330171"/>
  </r>
  <r>
    <s v="Sistema de Compensação"/>
    <x v="3"/>
    <x v="3"/>
    <x v="0"/>
    <x v="0"/>
    <x v="0"/>
    <x v="0"/>
    <x v="2"/>
    <x v="4"/>
    <n v="0"/>
    <n v="0"/>
    <n v="6.6550000000000002"/>
    <n v="6.6550000000000002"/>
    <n v="6.6550000000000002"/>
    <n v="6.6550000000000002"/>
    <n v="4"/>
    <x v="0"/>
    <n v="0"/>
    <n v="0"/>
    <n v="35"/>
    <n v="83"/>
    <n v="0"/>
    <n v="489.03"/>
    <n v="211.54"/>
    <m/>
    <n v="570.88759713673926"/>
    <n v="196.56876174373542"/>
    <n v="0"/>
    <n v="3254.4946500000001"/>
    <n v="1407.7987000000001"/>
    <n v="0"/>
    <n v="3799.256958945"/>
    <n v="1308.1651094045592"/>
  </r>
  <r>
    <s v="Regular"/>
    <x v="3"/>
    <x v="3"/>
    <x v="0"/>
    <x v="0"/>
    <x v="0"/>
    <x v="0"/>
    <x v="2"/>
    <x v="5"/>
    <n v="0"/>
    <n v="0"/>
    <n v="42.627000000000002"/>
    <n v="42.627000000000002"/>
    <n v="42.627000000000002"/>
    <n v="42.627000000000002"/>
    <n v="32"/>
    <x v="0"/>
    <n v="0"/>
    <n v="0"/>
    <n v="35"/>
    <n v="83"/>
    <n v="0"/>
    <n v="489.03"/>
    <n v="211.54"/>
    <m/>
    <n v="570.88759713673926"/>
    <n v="196.56876174373542"/>
    <n v="0"/>
    <n v="20845.881809999999"/>
    <n v="9017.3155800000004"/>
    <n v="0"/>
    <n v="24335.225603147785"/>
    <n v="8379.1366068502102"/>
  </r>
  <r>
    <s v="Sistema de Compensação"/>
    <x v="3"/>
    <x v="3"/>
    <x v="0"/>
    <x v="0"/>
    <x v="0"/>
    <x v="0"/>
    <x v="2"/>
    <x v="5"/>
    <n v="0"/>
    <n v="0"/>
    <n v="4.0679999999999996"/>
    <n v="4.0679999999999996"/>
    <n v="4.0679999999999996"/>
    <n v="4.0679999999999996"/>
    <n v="4"/>
    <x v="0"/>
    <n v="0"/>
    <n v="0"/>
    <n v="35"/>
    <n v="83"/>
    <n v="0"/>
    <n v="489.03"/>
    <n v="211.54"/>
    <m/>
    <n v="570.88759713673926"/>
    <n v="196.56876174373542"/>
    <n v="0"/>
    <n v="1989.3740399999997"/>
    <n v="860.54471999999987"/>
    <n v="0"/>
    <n v="2322.370745152255"/>
    <n v="799.64172277351565"/>
  </r>
  <r>
    <s v="Regular"/>
    <x v="3"/>
    <x v="3"/>
    <x v="0"/>
    <x v="0"/>
    <x v="0"/>
    <x v="0"/>
    <x v="2"/>
    <x v="6"/>
    <n v="0"/>
    <n v="0"/>
    <n v="33.823999999999998"/>
    <n v="33.823999999999998"/>
    <n v="33.823999999999998"/>
    <n v="33.823999999999998"/>
    <n v="32"/>
    <x v="0"/>
    <n v="0"/>
    <n v="0"/>
    <n v="35"/>
    <n v="83"/>
    <n v="0"/>
    <n v="489.03"/>
    <n v="211.54"/>
    <m/>
    <n v="570.88759713673926"/>
    <n v="196.56876174373542"/>
    <n v="0"/>
    <n v="16540.950719999997"/>
    <n v="7155.1289599999991"/>
    <n v="0"/>
    <n v="19309.702085553068"/>
    <n v="6648.7417972201065"/>
  </r>
  <r>
    <s v="Sistema de Compensação"/>
    <x v="3"/>
    <x v="3"/>
    <x v="0"/>
    <x v="0"/>
    <x v="0"/>
    <x v="0"/>
    <x v="2"/>
    <x v="6"/>
    <n v="0"/>
    <n v="0"/>
    <n v="4.0039999999999996"/>
    <n v="4.0039999999999996"/>
    <n v="4.0039999999999996"/>
    <n v="4.0039999999999996"/>
    <n v="4"/>
    <x v="0"/>
    <n v="0"/>
    <n v="0"/>
    <n v="35"/>
    <n v="83"/>
    <n v="0"/>
    <n v="489.03"/>
    <n v="211.54"/>
    <m/>
    <n v="570.88759713673926"/>
    <n v="196.56876174373542"/>
    <n v="0"/>
    <n v="1958.0761199999997"/>
    <n v="847.00615999999991"/>
    <n v="0"/>
    <n v="2285.8339389355037"/>
    <n v="787.06132202191657"/>
  </r>
  <r>
    <s v="Regular"/>
    <x v="3"/>
    <x v="3"/>
    <x v="0"/>
    <x v="0"/>
    <x v="0"/>
    <x v="0"/>
    <x v="2"/>
    <x v="7"/>
    <n v="0"/>
    <n v="0"/>
    <n v="45.145000000000003"/>
    <n v="45.145000000000003"/>
    <n v="45.145000000000003"/>
    <n v="45.145000000000003"/>
    <n v="33"/>
    <x v="0"/>
    <n v="0"/>
    <n v="0"/>
    <n v="35"/>
    <n v="83"/>
    <n v="0"/>
    <n v="489.03"/>
    <n v="211.54"/>
    <m/>
    <n v="570.88759713673926"/>
    <n v="196.56876174373542"/>
    <n v="0"/>
    <n v="22077.25935"/>
    <n v="9549.9732999999997"/>
    <n v="0"/>
    <n v="25772.720572738097"/>
    <n v="8874.0967489209361"/>
  </r>
  <r>
    <s v="Sistema de Compensação"/>
    <x v="3"/>
    <x v="3"/>
    <x v="0"/>
    <x v="0"/>
    <x v="0"/>
    <x v="0"/>
    <x v="2"/>
    <x v="7"/>
    <n v="0"/>
    <n v="0"/>
    <n v="5.4770000000000003"/>
    <n v="5.4770000000000003"/>
    <n v="5.4770000000000003"/>
    <n v="5.4770000000000003"/>
    <n v="4"/>
    <x v="0"/>
    <n v="0"/>
    <n v="0"/>
    <n v="35"/>
    <n v="83"/>
    <n v="0"/>
    <n v="489.03"/>
    <n v="211.54"/>
    <m/>
    <n v="570.88759713673926"/>
    <n v="196.56876174373542"/>
    <n v="0"/>
    <n v="2678.4173099999998"/>
    <n v="1158.6045799999999"/>
    <n v="0"/>
    <n v="3126.7513695179209"/>
    <n v="1076.6071080704389"/>
  </r>
  <r>
    <s v="Regular"/>
    <x v="3"/>
    <x v="3"/>
    <x v="0"/>
    <x v="0"/>
    <x v="0"/>
    <x v="0"/>
    <x v="2"/>
    <x v="8"/>
    <n v="0"/>
    <n v="0"/>
    <n v="37.448"/>
    <n v="37.448"/>
    <n v="37.448"/>
    <n v="37.448"/>
    <n v="33"/>
    <x v="0"/>
    <n v="0"/>
    <n v="0"/>
    <n v="35"/>
    <n v="83"/>
    <n v="0"/>
    <n v="489.03"/>
    <n v="211.54"/>
    <m/>
    <n v="570.88759713673926"/>
    <n v="196.56876174373542"/>
    <n v="0"/>
    <n v="18313.19544"/>
    <n v="7921.7499200000002"/>
    <n v="0"/>
    <n v="21378.598737576613"/>
    <n v="7361.1069897794041"/>
  </r>
  <r>
    <s v="Sistema de Compensação"/>
    <x v="3"/>
    <x v="3"/>
    <x v="0"/>
    <x v="0"/>
    <x v="0"/>
    <x v="0"/>
    <x v="2"/>
    <x v="8"/>
    <n v="0"/>
    <n v="0"/>
    <n v="4.4020000000000001"/>
    <n v="4.4020000000000001"/>
    <n v="4.4020000000000001"/>
    <n v="4.4020000000000001"/>
    <n v="4"/>
    <x v="0"/>
    <n v="0"/>
    <n v="0"/>
    <n v="35"/>
    <n v="83"/>
    <n v="0"/>
    <n v="489.03"/>
    <n v="211.54"/>
    <m/>
    <n v="570.88759713673926"/>
    <n v="196.56876174373542"/>
    <n v="0"/>
    <n v="2152.7100599999999"/>
    <n v="931.19907999999998"/>
    <n v="0"/>
    <n v="2513.0472025959261"/>
    <n v="865.29568919592339"/>
  </r>
  <r>
    <s v="Regular"/>
    <x v="3"/>
    <x v="3"/>
    <x v="0"/>
    <x v="0"/>
    <x v="0"/>
    <x v="0"/>
    <x v="2"/>
    <x v="9"/>
    <n v="0"/>
    <n v="0"/>
    <n v="40.308"/>
    <n v="40.308"/>
    <n v="40.308"/>
    <n v="40.308"/>
    <n v="33"/>
    <x v="0"/>
    <n v="0"/>
    <n v="0"/>
    <n v="35"/>
    <n v="83"/>
    <n v="0"/>
    <n v="489.03"/>
    <n v="211.54"/>
    <m/>
    <n v="570.88759713673926"/>
    <n v="196.56876174373542"/>
    <n v="0"/>
    <n v="19711.821239999997"/>
    <n v="8526.75432"/>
    <n v="0"/>
    <n v="23011.337265387687"/>
    <n v="7923.2936483664871"/>
  </r>
  <r>
    <s v="Sistema de Compensação"/>
    <x v="3"/>
    <x v="3"/>
    <x v="0"/>
    <x v="0"/>
    <x v="0"/>
    <x v="0"/>
    <x v="2"/>
    <x v="9"/>
    <n v="0"/>
    <n v="0"/>
    <n v="12.067"/>
    <n v="12.067"/>
    <n v="12.067"/>
    <n v="12.067"/>
    <n v="4"/>
    <x v="0"/>
    <n v="0"/>
    <n v="0"/>
    <n v="35"/>
    <n v="83"/>
    <n v="0"/>
    <n v="489.03"/>
    <n v="211.54"/>
    <m/>
    <n v="570.88759713673926"/>
    <n v="196.56876174373542"/>
    <n v="0"/>
    <n v="5901.1250099999997"/>
    <n v="2552.6531799999998"/>
    <n v="0"/>
    <n v="6888.9006346490323"/>
    <n v="2371.9952479616554"/>
  </r>
  <r>
    <s v="Sistema de Compensação"/>
    <x v="3"/>
    <x v="3"/>
    <x v="0"/>
    <x v="0"/>
    <x v="0"/>
    <x v="0"/>
    <x v="2"/>
    <x v="9"/>
    <n v="0"/>
    <n v="0"/>
    <n v="3.1320000000000001"/>
    <n v="3.1320000000000001"/>
    <n v="3.1320000000000001"/>
    <n v="3.1320000000000001"/>
    <n v="4"/>
    <x v="0"/>
    <n v="0"/>
    <n v="0"/>
    <n v="35"/>
    <n v="83"/>
    <n v="0"/>
    <n v="489.03"/>
    <n v="211.54"/>
    <m/>
    <n v="570.88759713673926"/>
    <n v="196.56876174373542"/>
    <n v="0"/>
    <n v="1531.6419599999999"/>
    <n v="662.54327999999998"/>
    <n v="0"/>
    <n v="1788.0199542322675"/>
    <n v="615.65336178137932"/>
  </r>
  <r>
    <s v="Regular"/>
    <x v="3"/>
    <x v="3"/>
    <x v="0"/>
    <x v="0"/>
    <x v="0"/>
    <x v="0"/>
    <x v="2"/>
    <x v="10"/>
    <n v="0"/>
    <n v="0"/>
    <n v="35.409999999999997"/>
    <n v="35.409999999999997"/>
    <n v="35.409999999999997"/>
    <n v="35.409999999999997"/>
    <n v="31"/>
    <x v="0"/>
    <n v="0"/>
    <n v="0"/>
    <n v="35"/>
    <n v="83"/>
    <n v="0"/>
    <n v="489.03"/>
    <n v="211.54"/>
    <m/>
    <n v="570.88759713673926"/>
    <n v="196.56876174373542"/>
    <n v="0"/>
    <n v="17316.552299999996"/>
    <n v="7490.6313999999993"/>
    <n v="0"/>
    <n v="20215.129814611937"/>
    <n v="6960.499853345671"/>
  </r>
  <r>
    <s v="Sistema de Compensação"/>
    <x v="3"/>
    <x v="3"/>
    <x v="0"/>
    <x v="0"/>
    <x v="0"/>
    <x v="0"/>
    <x v="2"/>
    <x v="10"/>
    <n v="0"/>
    <n v="0"/>
    <n v="10.39"/>
    <n v="10.39"/>
    <n v="10.39"/>
    <n v="10.39"/>
    <n v="5"/>
    <x v="0"/>
    <n v="0"/>
    <n v="0"/>
    <n v="35"/>
    <n v="83"/>
    <n v="0"/>
    <n v="489.03"/>
    <n v="211.54"/>
    <m/>
    <n v="570.88759713673926"/>
    <n v="196.56876174373542"/>
    <n v="0"/>
    <n v="5081.0217000000002"/>
    <n v="2197.9005999999999"/>
    <n v="0"/>
    <n v="5931.5221342507211"/>
    <n v="2042.3494345174111"/>
  </r>
  <r>
    <s v="Regular"/>
    <x v="3"/>
    <x v="3"/>
    <x v="0"/>
    <x v="0"/>
    <x v="0"/>
    <x v="0"/>
    <x v="2"/>
    <x v="11"/>
    <n v="0"/>
    <n v="0"/>
    <n v="38.363"/>
    <n v="38.363"/>
    <n v="38.363"/>
    <n v="38.363"/>
    <n v="31"/>
    <x v="0"/>
    <n v="0"/>
    <n v="0"/>
    <n v="35"/>
    <n v="83"/>
    <n v="0"/>
    <n v="489.03"/>
    <n v="211.54"/>
    <m/>
    <n v="570.88759713673926"/>
    <n v="196.56876174373542"/>
    <n v="0"/>
    <n v="18760.657889999999"/>
    <n v="8115.3090199999997"/>
    <n v="0"/>
    <n v="21900.960888956728"/>
    <n v="7540.967406774922"/>
  </r>
  <r>
    <s v="Sistema de Compensação"/>
    <x v="3"/>
    <x v="3"/>
    <x v="0"/>
    <x v="0"/>
    <x v="0"/>
    <x v="0"/>
    <x v="2"/>
    <x v="11"/>
    <n v="0"/>
    <n v="0"/>
    <n v="12.087"/>
    <n v="12.087"/>
    <n v="12.087"/>
    <n v="12.087"/>
    <n v="5"/>
    <x v="0"/>
    <n v="0"/>
    <n v="0"/>
    <n v="35"/>
    <n v="83"/>
    <n v="0"/>
    <n v="489.03"/>
    <n v="211.54"/>
    <m/>
    <n v="570.88759713673926"/>
    <n v="196.56876174373542"/>
    <n v="0"/>
    <n v="5910.9056099999998"/>
    <n v="2556.8839800000001"/>
    <n v="0"/>
    <n v="6900.3183865917672"/>
    <n v="2375.9266231965298"/>
  </r>
  <r>
    <s v="Regular"/>
    <x v="3"/>
    <x v="3"/>
    <x v="3"/>
    <x v="0"/>
    <x v="0"/>
    <x v="0"/>
    <x v="2"/>
    <x v="0"/>
    <n v="0"/>
    <n v="0"/>
    <n v="66.34"/>
    <n v="66.34"/>
    <n v="66.34"/>
    <n v="66.34"/>
    <n v="107"/>
    <x v="0"/>
    <n v="0"/>
    <n v="0"/>
    <n v="35"/>
    <n v="83"/>
    <n v="0"/>
    <n v="489.03"/>
    <n v="211.54"/>
    <m/>
    <n v="570.88759713673926"/>
    <n v="196.56876174373542"/>
    <n v="0"/>
    <n v="32442.250199999999"/>
    <n v="14033.563599999999"/>
    <n v="0"/>
    <n v="37872.683194051286"/>
    <n v="13040.371654079408"/>
  </r>
  <r>
    <s v="Regular"/>
    <x v="3"/>
    <x v="3"/>
    <x v="3"/>
    <x v="0"/>
    <x v="0"/>
    <x v="0"/>
    <x v="2"/>
    <x v="1"/>
    <n v="0"/>
    <n v="0"/>
    <n v="59.128999999999998"/>
    <n v="59.128999999999998"/>
    <n v="59.128999999999998"/>
    <n v="59.128999999999998"/>
    <n v="107"/>
    <x v="0"/>
    <n v="0"/>
    <n v="0"/>
    <n v="35"/>
    <n v="83"/>
    <n v="0"/>
    <n v="489.03"/>
    <n v="211.54"/>
    <m/>
    <n v="570.88759713673926"/>
    <n v="196.56876174373542"/>
    <n v="0"/>
    <n v="28915.854869999996"/>
    <n v="12508.148659999999"/>
    <n v="0"/>
    <n v="33756.012731098257"/>
    <n v="11622.914313145331"/>
  </r>
  <r>
    <s v="Regular"/>
    <x v="3"/>
    <x v="3"/>
    <x v="3"/>
    <x v="0"/>
    <x v="0"/>
    <x v="0"/>
    <x v="2"/>
    <x v="2"/>
    <n v="0"/>
    <n v="0"/>
    <n v="52.673999999999999"/>
    <n v="52.673999999999999"/>
    <n v="52.673999999999999"/>
    <n v="52.673999999999999"/>
    <n v="107"/>
    <x v="0"/>
    <n v="0"/>
    <n v="0"/>
    <n v="35"/>
    <n v="83"/>
    <n v="0"/>
    <n v="489.03"/>
    <n v="211.54"/>
    <m/>
    <n v="570.88759713673926"/>
    <n v="196.56876174373542"/>
    <n v="0"/>
    <n v="25759.166219999999"/>
    <n v="11142.657959999999"/>
    <n v="0"/>
    <n v="30070.933291580604"/>
    <n v="10354.06295608952"/>
  </r>
  <r>
    <s v="Regular"/>
    <x v="3"/>
    <x v="3"/>
    <x v="3"/>
    <x v="0"/>
    <x v="0"/>
    <x v="0"/>
    <x v="2"/>
    <x v="3"/>
    <n v="0"/>
    <n v="0"/>
    <n v="51.392000000000003"/>
    <n v="51.392000000000003"/>
    <n v="51.392000000000003"/>
    <n v="51.392000000000003"/>
    <n v="107"/>
    <x v="0"/>
    <n v="0"/>
    <n v="0"/>
    <n v="35"/>
    <n v="83"/>
    <n v="0"/>
    <n v="489.03"/>
    <n v="211.54"/>
    <m/>
    <n v="570.88759713673926"/>
    <n v="196.56876174373542"/>
    <n v="0"/>
    <n v="25132.229759999998"/>
    <n v="10871.463680000001"/>
    <n v="0"/>
    <n v="29339.055392051305"/>
    <n v="10102.061803534052"/>
  </r>
  <r>
    <s v="Regular"/>
    <x v="3"/>
    <x v="3"/>
    <x v="3"/>
    <x v="0"/>
    <x v="0"/>
    <x v="0"/>
    <x v="2"/>
    <x v="4"/>
    <n v="0"/>
    <n v="0"/>
    <n v="46.539000000000001"/>
    <n v="46.539000000000001"/>
    <n v="46.539000000000001"/>
    <n v="46.539000000000001"/>
    <n v="107"/>
    <x v="0"/>
    <n v="0"/>
    <n v="0"/>
    <n v="35"/>
    <n v="83"/>
    <n v="0"/>
    <n v="489.03"/>
    <n v="211.54"/>
    <m/>
    <n v="570.88759713673926"/>
    <n v="196.56876174373542"/>
    <n v="0"/>
    <n v="22758.96717"/>
    <n v="9844.8600599999991"/>
    <n v="0"/>
    <n v="26568.53788314671"/>
    <n v="9148.1136027917037"/>
  </r>
  <r>
    <s v="Regular"/>
    <x v="3"/>
    <x v="3"/>
    <x v="3"/>
    <x v="0"/>
    <x v="0"/>
    <x v="0"/>
    <x v="2"/>
    <x v="5"/>
    <n v="0"/>
    <n v="0"/>
    <n v="59.417999999999999"/>
    <n v="59.417999999999999"/>
    <n v="59.417999999999999"/>
    <n v="59.417999999999999"/>
    <n v="107"/>
    <x v="0"/>
    <n v="0"/>
    <n v="0"/>
    <n v="35"/>
    <n v="83"/>
    <n v="0"/>
    <n v="489.03"/>
    <n v="211.54"/>
    <m/>
    <n v="570.88759713673926"/>
    <n v="196.56876174373542"/>
    <n v="0"/>
    <n v="29057.184539999998"/>
    <n v="12569.283719999999"/>
    <n v="0"/>
    <n v="33920.99924667077"/>
    <n v="11679.722685289271"/>
  </r>
  <r>
    <s v="Refaturamento - Regular"/>
    <x v="3"/>
    <x v="3"/>
    <x v="3"/>
    <x v="0"/>
    <x v="0"/>
    <x v="0"/>
    <x v="2"/>
    <x v="5"/>
    <n v="0"/>
    <n v="0"/>
    <n v="-5.8000000000000003E-2"/>
    <n v="-5.8000000000000003E-2"/>
    <n v="-5.8000000000000003E-2"/>
    <n v="-5.8000000000000003E-2"/>
    <n v="0"/>
    <x v="0"/>
    <n v="0"/>
    <n v="0"/>
    <n v="35"/>
    <n v="83"/>
    <n v="0"/>
    <n v="489.03"/>
    <n v="211.54"/>
    <m/>
    <n v="570.88759713673926"/>
    <n v="196.56876174373542"/>
    <n v="0"/>
    <n v="-28.36374"/>
    <n v="-12.26932"/>
    <n v="0"/>
    <n v="-33.111480633930881"/>
    <n v="-11.400988181136656"/>
  </r>
  <r>
    <s v="Regular"/>
    <x v="3"/>
    <x v="3"/>
    <x v="3"/>
    <x v="0"/>
    <x v="0"/>
    <x v="0"/>
    <x v="2"/>
    <x v="6"/>
    <n v="0"/>
    <n v="0"/>
    <n v="59"/>
    <n v="59"/>
    <n v="59"/>
    <n v="59"/>
    <n v="107"/>
    <x v="0"/>
    <n v="0"/>
    <n v="0"/>
    <n v="35"/>
    <n v="83"/>
    <n v="0"/>
    <n v="489.03"/>
    <n v="211.54"/>
    <m/>
    <n v="570.88759713673926"/>
    <n v="196.56876174373542"/>
    <n v="0"/>
    <n v="28852.769999999997"/>
    <n v="12480.859999999999"/>
    <n v="0"/>
    <n v="33682.368231067616"/>
    <n v="11597.55694288039"/>
  </r>
  <r>
    <s v="Regular"/>
    <x v="3"/>
    <x v="3"/>
    <x v="3"/>
    <x v="0"/>
    <x v="0"/>
    <x v="0"/>
    <x v="2"/>
    <x v="7"/>
    <n v="0"/>
    <n v="0"/>
    <n v="56.345999999999997"/>
    <n v="56.345999999999997"/>
    <n v="56.345999999999997"/>
    <n v="56.345999999999997"/>
    <n v="106"/>
    <x v="0"/>
    <n v="0"/>
    <n v="0"/>
    <n v="35"/>
    <n v="83"/>
    <n v="0"/>
    <n v="489.03"/>
    <n v="211.54"/>
    <m/>
    <n v="570.88759713673926"/>
    <n v="196.56876174373542"/>
    <n v="0"/>
    <n v="27554.884379999996"/>
    <n v="11919.432839999999"/>
    <n v="0"/>
    <n v="32167.232548266707"/>
    <n v="11075.863449212515"/>
  </r>
  <r>
    <s v="Regular"/>
    <x v="3"/>
    <x v="3"/>
    <x v="3"/>
    <x v="0"/>
    <x v="0"/>
    <x v="0"/>
    <x v="2"/>
    <x v="8"/>
    <n v="0"/>
    <n v="0"/>
    <n v="60.597999999999999"/>
    <n v="60.597999999999999"/>
    <n v="60.597999999999999"/>
    <n v="60.597999999999999"/>
    <n v="108"/>
    <x v="0"/>
    <n v="0"/>
    <n v="0"/>
    <n v="35"/>
    <n v="83"/>
    <n v="0"/>
    <n v="489.03"/>
    <n v="211.54"/>
    <m/>
    <n v="570.88759713673926"/>
    <n v="196.56876174373542"/>
    <n v="0"/>
    <n v="29634.239939999999"/>
    <n v="12818.90092"/>
    <n v="0"/>
    <n v="34594.646611292126"/>
    <n v="11911.673824146879"/>
  </r>
  <r>
    <s v="Regular"/>
    <x v="3"/>
    <x v="3"/>
    <x v="3"/>
    <x v="0"/>
    <x v="0"/>
    <x v="0"/>
    <x v="2"/>
    <x v="9"/>
    <n v="0"/>
    <n v="0"/>
    <n v="56.607999999999997"/>
    <n v="56.607999999999997"/>
    <n v="56.607999999999997"/>
    <n v="56.607999999999997"/>
    <n v="107"/>
    <x v="0"/>
    <n v="0"/>
    <n v="0"/>
    <n v="35"/>
    <n v="83"/>
    <n v="0"/>
    <n v="489.03"/>
    <n v="211.54"/>
    <m/>
    <n v="570.88759713673926"/>
    <n v="196.56876174373542"/>
    <n v="0"/>
    <n v="27683.010239999996"/>
    <n v="11974.856319999999"/>
    <n v="0"/>
    <n v="32316.805098716533"/>
    <n v="11127.364464789374"/>
  </r>
  <r>
    <s v="Regular"/>
    <x v="3"/>
    <x v="3"/>
    <x v="3"/>
    <x v="0"/>
    <x v="0"/>
    <x v="0"/>
    <x v="2"/>
    <x v="10"/>
    <n v="0"/>
    <n v="0"/>
    <n v="47.890999999999998"/>
    <n v="47.890999999999998"/>
    <n v="47.890999999999998"/>
    <n v="47.890999999999998"/>
    <n v="109"/>
    <x v="0"/>
    <n v="0"/>
    <n v="0"/>
    <n v="35"/>
    <n v="83"/>
    <n v="0"/>
    <n v="489.03"/>
    <n v="211.54"/>
    <m/>
    <n v="570.88759713673926"/>
    <n v="196.56876174373542"/>
    <n v="0"/>
    <n v="23420.135729999998"/>
    <n v="10130.862139999999"/>
    <n v="0"/>
    <n v="27340.377914475579"/>
    <n v="9413.8745686692328"/>
  </r>
  <r>
    <s v="Regular"/>
    <x v="3"/>
    <x v="3"/>
    <x v="3"/>
    <x v="0"/>
    <x v="0"/>
    <x v="0"/>
    <x v="2"/>
    <x v="11"/>
    <n v="0"/>
    <n v="0"/>
    <n v="63.414999999999999"/>
    <n v="63.414999999999999"/>
    <n v="63.414999999999999"/>
    <n v="63.414999999999999"/>
    <n v="109"/>
    <x v="0"/>
    <n v="0"/>
    <n v="0"/>
    <n v="35"/>
    <n v="83"/>
    <n v="0"/>
    <n v="489.03"/>
    <n v="211.54"/>
    <m/>
    <n v="570.88759713673926"/>
    <n v="196.56876174373542"/>
    <n v="0"/>
    <n v="31011.837449999999"/>
    <n v="13414.809099999999"/>
    <n v="0"/>
    <n v="36202.836972426318"/>
    <n v="12465.408025978981"/>
  </r>
  <r>
    <s v="Regular"/>
    <x v="3"/>
    <x v="3"/>
    <x v="6"/>
    <x v="8"/>
    <x v="0"/>
    <x v="0"/>
    <x v="2"/>
    <x v="0"/>
    <n v="0"/>
    <n v="0"/>
    <n v="15.597"/>
    <n v="15.597"/>
    <n v="15.597"/>
    <n v="15.597"/>
    <n v="10"/>
    <x v="0"/>
    <n v="0"/>
    <n v="0"/>
    <n v="35"/>
    <n v="83"/>
    <n v="0"/>
    <n v="459.68819999999994"/>
    <n v="198.84759999999997"/>
    <m/>
    <n v="553.76096922263707"/>
    <n v="190.67169889142335"/>
    <n v="0"/>
    <n v="7169.756855399999"/>
    <n v="3101.4260171999995"/>
    <n v="0"/>
    <n v="8637.0098369654697"/>
    <n v="2973.9064876095299"/>
  </r>
  <r>
    <s v="Regular"/>
    <x v="3"/>
    <x v="3"/>
    <x v="6"/>
    <x v="8"/>
    <x v="0"/>
    <x v="0"/>
    <x v="2"/>
    <x v="1"/>
    <n v="0"/>
    <n v="0"/>
    <n v="21.338999999999999"/>
    <n v="21.338999999999999"/>
    <n v="21.338999999999999"/>
    <n v="21.338999999999999"/>
    <n v="11"/>
    <x v="0"/>
    <n v="0"/>
    <n v="0"/>
    <n v="35"/>
    <n v="83"/>
    <n v="0"/>
    <n v="459.68819999999994"/>
    <n v="198.84759999999997"/>
    <m/>
    <n v="553.76096922263707"/>
    <n v="190.67169889142335"/>
    <n v="0"/>
    <n v="9809.2864997999986"/>
    <n v="4243.2089363999994"/>
    <n v="0"/>
    <n v="11816.705322241853"/>
    <n v="4068.7433826440824"/>
  </r>
  <r>
    <s v="Regular"/>
    <x v="3"/>
    <x v="3"/>
    <x v="6"/>
    <x v="8"/>
    <x v="0"/>
    <x v="0"/>
    <x v="2"/>
    <x v="2"/>
    <n v="0"/>
    <n v="0"/>
    <n v="21.638000000000002"/>
    <n v="21.638000000000002"/>
    <n v="21.638000000000002"/>
    <n v="21.638000000000002"/>
    <n v="11"/>
    <x v="0"/>
    <n v="0"/>
    <n v="0"/>
    <n v="35"/>
    <n v="83"/>
    <n v="0"/>
    <n v="459.68819999999994"/>
    <n v="198.84759999999997"/>
    <m/>
    <n v="553.76096922263707"/>
    <n v="190.67169889142335"/>
    <n v="0"/>
    <n v="9946.7332716000001"/>
    <n v="4302.6643687999995"/>
    <n v="0"/>
    <n v="11982.279852039423"/>
    <n v="4125.7542206126191"/>
  </r>
  <r>
    <s v="Regular"/>
    <x v="3"/>
    <x v="3"/>
    <x v="6"/>
    <x v="8"/>
    <x v="0"/>
    <x v="0"/>
    <x v="2"/>
    <x v="3"/>
    <n v="0"/>
    <n v="0"/>
    <n v="20.704000000000001"/>
    <n v="20.704000000000001"/>
    <n v="20.704000000000001"/>
    <n v="20.704000000000001"/>
    <n v="11"/>
    <x v="0"/>
    <n v="0"/>
    <n v="0"/>
    <n v="35"/>
    <n v="83"/>
    <n v="0"/>
    <n v="459.68819999999994"/>
    <n v="198.84759999999997"/>
    <m/>
    <n v="553.76096922263707"/>
    <n v="190.67169889142335"/>
    <n v="0"/>
    <n v="9517.3844927999999"/>
    <n v="4116.9407103999993"/>
    <n v="0"/>
    <n v="11465.067106785478"/>
    <n v="3947.6668538480289"/>
  </r>
  <r>
    <s v="Regular"/>
    <x v="3"/>
    <x v="3"/>
    <x v="6"/>
    <x v="8"/>
    <x v="0"/>
    <x v="0"/>
    <x v="2"/>
    <x v="4"/>
    <n v="0"/>
    <n v="0"/>
    <n v="22.2"/>
    <n v="22.2"/>
    <n v="22.2"/>
    <n v="22.2"/>
    <n v="11"/>
    <x v="0"/>
    <n v="0"/>
    <n v="0"/>
    <n v="35"/>
    <n v="83"/>
    <n v="0"/>
    <n v="459.68819999999994"/>
    <n v="198.84759999999997"/>
    <m/>
    <n v="553.76096922263707"/>
    <n v="190.67169889142335"/>
    <n v="0"/>
    <n v="10205.078039999999"/>
    <n v="4414.4167199999993"/>
    <n v="0"/>
    <n v="12293.493516742543"/>
    <n v="4232.9117153895986"/>
  </r>
  <r>
    <s v="Regular"/>
    <x v="3"/>
    <x v="3"/>
    <x v="6"/>
    <x v="8"/>
    <x v="0"/>
    <x v="0"/>
    <x v="2"/>
    <x v="5"/>
    <n v="0"/>
    <n v="0"/>
    <n v="18.004999999999999"/>
    <n v="18.004999999999999"/>
    <n v="18.004999999999999"/>
    <n v="18.004999999999999"/>
    <n v="11"/>
    <x v="0"/>
    <n v="0"/>
    <n v="0"/>
    <n v="35"/>
    <n v="83"/>
    <n v="0"/>
    <n v="459.68819999999994"/>
    <n v="198.84759999999997"/>
    <m/>
    <n v="553.76096922263707"/>
    <n v="190.67169889142335"/>
    <n v="0"/>
    <n v="8276.686040999999"/>
    <n v="3580.2510379999994"/>
    <n v="0"/>
    <n v="9970.4662508535803"/>
    <n v="3433.0439385400773"/>
  </r>
  <r>
    <s v="Regular"/>
    <x v="3"/>
    <x v="3"/>
    <x v="6"/>
    <x v="8"/>
    <x v="0"/>
    <x v="0"/>
    <x v="2"/>
    <x v="6"/>
    <n v="0"/>
    <n v="0"/>
    <n v="22.184000000000001"/>
    <n v="22.184000000000001"/>
    <n v="22.184000000000001"/>
    <n v="22.184000000000001"/>
    <n v="11"/>
    <x v="0"/>
    <n v="0"/>
    <n v="0"/>
    <n v="35"/>
    <n v="83"/>
    <n v="0"/>
    <n v="459.68819999999994"/>
    <n v="198.84759999999997"/>
    <m/>
    <n v="553.76096922263707"/>
    <n v="190.67169889142335"/>
    <n v="0"/>
    <n v="10197.723028799999"/>
    <n v="4411.2351583999998"/>
    <n v="0"/>
    <n v="12284.633341234981"/>
    <n v="4229.8609682073356"/>
  </r>
  <r>
    <s v="Regular"/>
    <x v="3"/>
    <x v="3"/>
    <x v="6"/>
    <x v="8"/>
    <x v="0"/>
    <x v="0"/>
    <x v="2"/>
    <x v="7"/>
    <n v="0"/>
    <n v="0"/>
    <n v="21.664000000000001"/>
    <n v="21.664000000000001"/>
    <n v="21.664000000000001"/>
    <n v="21.664000000000001"/>
    <n v="11"/>
    <x v="0"/>
    <n v="0"/>
    <n v="0"/>
    <n v="35"/>
    <n v="83"/>
    <n v="0"/>
    <n v="459.68819999999994"/>
    <n v="198.84759999999997"/>
    <m/>
    <n v="553.76096922263707"/>
    <n v="190.67169889142335"/>
    <n v="0"/>
    <n v="9958.6851647999993"/>
    <n v="4307.8344063999994"/>
    <n v="0"/>
    <n v="11996.677637239211"/>
    <n v="4130.711684783796"/>
  </r>
  <r>
    <s v="Regular"/>
    <x v="3"/>
    <x v="3"/>
    <x v="6"/>
    <x v="8"/>
    <x v="0"/>
    <x v="0"/>
    <x v="2"/>
    <x v="8"/>
    <n v="0"/>
    <n v="0"/>
    <n v="22.236999999999998"/>
    <n v="22.236999999999998"/>
    <n v="22.236999999999998"/>
    <n v="22.236999999999998"/>
    <n v="11"/>
    <x v="0"/>
    <n v="0"/>
    <n v="0"/>
    <n v="35"/>
    <n v="83"/>
    <n v="0"/>
    <n v="459.68819999999994"/>
    <n v="198.84759999999997"/>
    <m/>
    <n v="553.76096922263707"/>
    <n v="190.67169889142335"/>
    <n v="0"/>
    <n v="10222.086503399998"/>
    <n v="4421.7740811999993"/>
    <n v="0"/>
    <n v="12313.982672603779"/>
    <n v="4239.9665682485811"/>
  </r>
  <r>
    <s v="Regular"/>
    <x v="3"/>
    <x v="3"/>
    <x v="6"/>
    <x v="8"/>
    <x v="0"/>
    <x v="0"/>
    <x v="2"/>
    <x v="9"/>
    <n v="0"/>
    <n v="0"/>
    <n v="22.102"/>
    <n v="22.102"/>
    <n v="22.102"/>
    <n v="22.102"/>
    <n v="11"/>
    <x v="0"/>
    <n v="0"/>
    <n v="0"/>
    <n v="35"/>
    <n v="83"/>
    <n v="0"/>
    <n v="459.68819999999994"/>
    <n v="198.84759999999997"/>
    <m/>
    <n v="553.76096922263707"/>
    <n v="190.67169889142335"/>
    <n v="0"/>
    <n v="10160.0285964"/>
    <n v="4394.9296551999996"/>
    <n v="0"/>
    <n v="12239.224941758725"/>
    <n v="4214.2258888982387"/>
  </r>
  <r>
    <s v="Regular"/>
    <x v="3"/>
    <x v="3"/>
    <x v="6"/>
    <x v="8"/>
    <x v="0"/>
    <x v="0"/>
    <x v="2"/>
    <x v="10"/>
    <n v="0"/>
    <n v="0"/>
    <n v="21.713000000000001"/>
    <n v="21.713000000000001"/>
    <n v="21.713000000000001"/>
    <n v="21.713000000000001"/>
    <n v="11"/>
    <x v="0"/>
    <n v="0"/>
    <n v="0"/>
    <n v="35"/>
    <n v="83"/>
    <n v="0"/>
    <n v="459.68819999999994"/>
    <n v="198.84759999999997"/>
    <m/>
    <n v="553.76096922263707"/>
    <n v="190.67169889142335"/>
    <n v="0"/>
    <n v="9981.2098865999997"/>
    <n v="4317.5779387999992"/>
    <n v="0"/>
    <n v="12023.811924731119"/>
    <n v="4140.0545980294755"/>
  </r>
  <r>
    <s v="Regular"/>
    <x v="3"/>
    <x v="3"/>
    <x v="6"/>
    <x v="8"/>
    <x v="0"/>
    <x v="0"/>
    <x v="2"/>
    <x v="11"/>
    <n v="0"/>
    <n v="0"/>
    <n v="22.547000000000001"/>
    <n v="22.547000000000001"/>
    <n v="22.547000000000001"/>
    <n v="22.547000000000001"/>
    <n v="11"/>
    <x v="0"/>
    <n v="0"/>
    <n v="0"/>
    <n v="35"/>
    <n v="83"/>
    <n v="0"/>
    <n v="459.68819999999994"/>
    <n v="198.84759999999997"/>
    <m/>
    <n v="553.76096922263707"/>
    <n v="190.67169889142335"/>
    <n v="0"/>
    <n v="10364.589845399998"/>
    <n v="4483.4168371999995"/>
    <n v="0"/>
    <n v="12485.648573062799"/>
    <n v="4299.0747949049219"/>
  </r>
  <r>
    <s v="Regular"/>
    <x v="4"/>
    <x v="3"/>
    <x v="7"/>
    <x v="9"/>
    <x v="0"/>
    <x v="0"/>
    <x v="2"/>
    <x v="0"/>
    <n v="0"/>
    <n v="0"/>
    <n v="70.344999999999999"/>
    <n v="70.344999999999999"/>
    <n v="70.344999999999999"/>
    <n v="70.344999999999999"/>
    <n v="27"/>
    <x v="0"/>
    <n v="0"/>
    <n v="0"/>
    <n v="43"/>
    <n v="81"/>
    <n v="0"/>
    <n v="268.97000000000003"/>
    <n v="116.35"/>
    <m/>
    <n v="313.98817842520663"/>
    <n v="108.11281895905451"/>
    <n v="0"/>
    <n v="18920.694650000001"/>
    <n v="8184.6407499999996"/>
    <n v="0"/>
    <n v="22087.498411321161"/>
    <n v="7605.1962496746892"/>
  </r>
  <r>
    <s v="Regular"/>
    <x v="4"/>
    <x v="3"/>
    <x v="7"/>
    <x v="9"/>
    <x v="0"/>
    <x v="0"/>
    <x v="2"/>
    <x v="1"/>
    <n v="0"/>
    <n v="0"/>
    <n v="74.613"/>
    <n v="74.613"/>
    <n v="74.613"/>
    <n v="74.613"/>
    <n v="27"/>
    <x v="0"/>
    <n v="0"/>
    <n v="0"/>
    <n v="43"/>
    <n v="81"/>
    <n v="0"/>
    <n v="268.97000000000003"/>
    <n v="116.35"/>
    <m/>
    <n v="313.98817842520663"/>
    <n v="108.11281895905451"/>
    <n v="0"/>
    <n v="20068.658610000002"/>
    <n v="8681.2225500000004"/>
    <n v="0"/>
    <n v="23427.599956839942"/>
    <n v="8066.621760991934"/>
  </r>
  <r>
    <s v="Regular"/>
    <x v="4"/>
    <x v="3"/>
    <x v="7"/>
    <x v="9"/>
    <x v="0"/>
    <x v="0"/>
    <x v="2"/>
    <x v="2"/>
    <n v="0"/>
    <n v="0"/>
    <n v="74.100999999999999"/>
    <n v="74.100999999999999"/>
    <n v="74.100999999999999"/>
    <n v="74.100999999999999"/>
    <n v="28"/>
    <x v="0"/>
    <n v="0"/>
    <n v="0"/>
    <n v="43"/>
    <n v="81"/>
    <n v="0"/>
    <n v="268.97000000000003"/>
    <n v="116.35"/>
    <m/>
    <n v="313.98817842520663"/>
    <n v="108.11281895905451"/>
    <n v="0"/>
    <n v="19930.945970000001"/>
    <n v="8621.6513500000001"/>
    <n v="0"/>
    <n v="23266.838009486237"/>
    <n v="8011.2679976848976"/>
  </r>
  <r>
    <s v="Regular"/>
    <x v="4"/>
    <x v="3"/>
    <x v="7"/>
    <x v="9"/>
    <x v="0"/>
    <x v="0"/>
    <x v="2"/>
    <x v="3"/>
    <n v="0"/>
    <n v="0"/>
    <n v="75.506"/>
    <n v="75.506"/>
    <n v="75.506"/>
    <n v="75.506"/>
    <n v="28"/>
    <x v="0"/>
    <n v="0"/>
    <n v="0"/>
    <n v="43"/>
    <n v="81"/>
    <n v="0"/>
    <n v="268.97000000000003"/>
    <n v="116.35"/>
    <m/>
    <n v="313.98817842520663"/>
    <n v="108.11281895905451"/>
    <n v="0"/>
    <n v="20308.848820000003"/>
    <n v="8785.1230999999989"/>
    <n v="0"/>
    <n v="23707.991400173651"/>
    <n v="8163.1665083223697"/>
  </r>
  <r>
    <s v="Regular"/>
    <x v="4"/>
    <x v="3"/>
    <x v="7"/>
    <x v="9"/>
    <x v="0"/>
    <x v="0"/>
    <x v="2"/>
    <x v="4"/>
    <n v="0"/>
    <n v="0"/>
    <n v="73.221999999999994"/>
    <n v="73.221999999999994"/>
    <n v="73.221999999999994"/>
    <n v="73.221999999999994"/>
    <n v="28"/>
    <x v="0"/>
    <n v="0"/>
    <n v="0"/>
    <n v="43"/>
    <n v="81"/>
    <n v="0"/>
    <n v="268.97000000000003"/>
    <n v="116.35"/>
    <m/>
    <n v="313.98817842520663"/>
    <n v="108.11281895905451"/>
    <n v="0"/>
    <n v="19694.521339999999"/>
    <n v="8519.3796999999995"/>
    <n v="0"/>
    <n v="22990.842400650479"/>
    <n v="7916.236829819889"/>
  </r>
  <r>
    <s v="Regular"/>
    <x v="4"/>
    <x v="3"/>
    <x v="7"/>
    <x v="9"/>
    <x v="0"/>
    <x v="0"/>
    <x v="2"/>
    <x v="5"/>
    <n v="0"/>
    <n v="0"/>
    <n v="85.138000000000005"/>
    <n v="85.138000000000005"/>
    <n v="85.138000000000005"/>
    <n v="85.138000000000005"/>
    <n v="28"/>
    <x v="0"/>
    <n v="0"/>
    <n v="0"/>
    <n v="43"/>
    <n v="81"/>
    <n v="0"/>
    <n v="268.97000000000003"/>
    <n v="116.35"/>
    <m/>
    <n v="313.98817842520663"/>
    <n v="108.11281895905451"/>
    <n v="0"/>
    <n v="22899.567860000003"/>
    <n v="9905.8063000000002"/>
    <n v="0"/>
    <n v="26732.325534765245"/>
    <n v="9204.5091805359825"/>
  </r>
  <r>
    <s v="Regular"/>
    <x v="4"/>
    <x v="3"/>
    <x v="7"/>
    <x v="9"/>
    <x v="0"/>
    <x v="0"/>
    <x v="2"/>
    <x v="6"/>
    <n v="0"/>
    <n v="0"/>
    <n v="76.95"/>
    <n v="76.95"/>
    <n v="76.95"/>
    <n v="76.95"/>
    <n v="28"/>
    <x v="0"/>
    <n v="0"/>
    <n v="0"/>
    <n v="43"/>
    <n v="81"/>
    <n v="0"/>
    <n v="268.97000000000003"/>
    <n v="116.35"/>
    <m/>
    <n v="313.98817842520663"/>
    <n v="108.11281895905451"/>
    <n v="0"/>
    <n v="20697.241500000004"/>
    <n v="8953.1324999999997"/>
    <n v="0"/>
    <n v="24161.390329819649"/>
    <n v="8319.2814188992452"/>
  </r>
  <r>
    <s v="Regular"/>
    <x v="4"/>
    <x v="3"/>
    <x v="7"/>
    <x v="9"/>
    <x v="0"/>
    <x v="0"/>
    <x v="2"/>
    <x v="7"/>
    <n v="0"/>
    <n v="0"/>
    <n v="75.739999999999995"/>
    <n v="75.739999999999995"/>
    <n v="75.739999999999995"/>
    <n v="75.739999999999995"/>
    <n v="28"/>
    <x v="0"/>
    <n v="0"/>
    <n v="0"/>
    <n v="43"/>
    <n v="81"/>
    <n v="0"/>
    <n v="268.97000000000003"/>
    <n v="116.35"/>
    <m/>
    <n v="313.98817842520663"/>
    <n v="108.11281895905451"/>
    <n v="0"/>
    <n v="20371.787800000002"/>
    <n v="8812.3489999999983"/>
    <n v="0"/>
    <n v="23781.464633925149"/>
    <n v="8188.464907958788"/>
  </r>
  <r>
    <s v="Regular"/>
    <x v="4"/>
    <x v="3"/>
    <x v="7"/>
    <x v="9"/>
    <x v="0"/>
    <x v="0"/>
    <x v="2"/>
    <x v="8"/>
    <n v="0"/>
    <n v="0"/>
    <n v="75.369"/>
    <n v="75.369"/>
    <n v="75.369"/>
    <n v="75.369"/>
    <n v="28"/>
    <x v="0"/>
    <n v="0"/>
    <n v="0"/>
    <n v="43"/>
    <n v="81"/>
    <n v="0"/>
    <n v="268.97000000000003"/>
    <n v="116.35"/>
    <m/>
    <n v="313.98817842520663"/>
    <n v="108.11281895905451"/>
    <n v="0"/>
    <n v="20271.999930000002"/>
    <n v="8769.1831499999989"/>
    <n v="0"/>
    <n v="23664.975019729398"/>
    <n v="8148.355052124979"/>
  </r>
  <r>
    <s v="Regular"/>
    <x v="4"/>
    <x v="3"/>
    <x v="7"/>
    <x v="9"/>
    <x v="0"/>
    <x v="0"/>
    <x v="2"/>
    <x v="9"/>
    <n v="0"/>
    <n v="0"/>
    <n v="73.501999999999995"/>
    <n v="73.501999999999995"/>
    <n v="73.501999999999995"/>
    <n v="73.501999999999995"/>
    <n v="28"/>
    <x v="0"/>
    <n v="0"/>
    <n v="0"/>
    <n v="43"/>
    <n v="81"/>
    <n v="0"/>
    <n v="268.97000000000003"/>
    <n v="116.35"/>
    <m/>
    <n v="313.98817842520663"/>
    <n v="108.11281895905451"/>
    <n v="0"/>
    <n v="19769.83294"/>
    <n v="8551.957699999999"/>
    <n v="0"/>
    <n v="23078.759090609536"/>
    <n v="7946.5084191284241"/>
  </r>
  <r>
    <s v="Regular"/>
    <x v="4"/>
    <x v="3"/>
    <x v="7"/>
    <x v="9"/>
    <x v="0"/>
    <x v="0"/>
    <x v="2"/>
    <x v="10"/>
    <n v="0"/>
    <n v="0"/>
    <n v="75.978999999999999"/>
    <n v="75.978999999999999"/>
    <n v="75.978999999999999"/>
    <n v="75.978999999999999"/>
    <n v="28"/>
    <x v="0"/>
    <n v="0"/>
    <n v="0"/>
    <n v="43"/>
    <n v="81"/>
    <n v="0"/>
    <n v="268.97000000000003"/>
    <n v="116.35"/>
    <m/>
    <n v="313.98817842520663"/>
    <n v="108.11281895905451"/>
    <n v="0"/>
    <n v="20436.071630000002"/>
    <n v="8840.156649999999"/>
    <n v="0"/>
    <n v="23856.507808568775"/>
    <n v="8214.3038716900028"/>
  </r>
  <r>
    <s v="Regular"/>
    <x v="4"/>
    <x v="3"/>
    <x v="7"/>
    <x v="9"/>
    <x v="0"/>
    <x v="0"/>
    <x v="2"/>
    <x v="11"/>
    <n v="0"/>
    <n v="0"/>
    <n v="75.396000000000001"/>
    <n v="75.396000000000001"/>
    <n v="75.396000000000001"/>
    <n v="75.396000000000001"/>
    <n v="28"/>
    <x v="0"/>
    <n v="0"/>
    <n v="0"/>
    <n v="43"/>
    <n v="81"/>
    <n v="0"/>
    <n v="268.97000000000003"/>
    <n v="116.35"/>
    <m/>
    <n v="313.98817842520663"/>
    <n v="108.11281895905451"/>
    <n v="0"/>
    <n v="20279.262120000003"/>
    <n v="8772.3245999999999"/>
    <n v="0"/>
    <n v="23673.452700546881"/>
    <n v="8151.27409823687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0E498-0EF0-4D0A-97C0-884466905311}" name="Efeito Resumo" cacheId="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16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5">
        <item sd="0" x="0"/>
        <item sd="0" x="3"/>
        <item sd="0" x="1"/>
        <item sd="0" x="2"/>
        <item t="default"/>
      </items>
    </pivotField>
    <pivotField axis="axisRow" showAll="0">
      <items count="9">
        <item x="2"/>
        <item x="7"/>
        <item x="0"/>
        <item x="1"/>
        <item x="3"/>
        <item x="5"/>
        <item x="4"/>
        <item x="6"/>
        <item t="default"/>
      </items>
    </pivotField>
    <pivotField axis="axisRow" showAll="0">
      <items count="11">
        <item x="1"/>
        <item x="8"/>
        <item x="7"/>
        <item x="9"/>
        <item x="0"/>
        <item x="2"/>
        <item x="3"/>
        <item x="4"/>
        <item x="5"/>
        <item x="6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3">
        <item x="0"/>
        <item x="1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15">
    <i>
      <x/>
    </i>
    <i r="1">
      <x/>
    </i>
    <i r="2">
      <x/>
    </i>
    <i r="2">
      <x v="3"/>
    </i>
    <i r="1">
      <x v="1"/>
    </i>
    <i r="2">
      <x v="1"/>
    </i>
    <i r="1">
      <x v="2"/>
    </i>
    <i r="2">
      <x v="1"/>
    </i>
    <i r="1">
      <x v="3"/>
    </i>
    <i r="2">
      <x v="1"/>
    </i>
    <i r="1">
      <x v="4"/>
    </i>
    <i r="2">
      <x v="1"/>
    </i>
    <i>
      <x v="1"/>
    </i>
    <i r="1">
      <x/>
    </i>
    <i r="2">
      <x v="2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7"/>
    <dataField name="Soma de Variação TE" fld="34" baseField="0" baseItem="0" numFmtId="167"/>
    <dataField name="Soma de Variação" fld="35" baseField="0" baseItem="0" numFmtId="167"/>
  </dataFields>
  <formats count="274">
    <format dxfId="627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62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625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624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623">
      <pivotArea type="all" dataOnly="0" outline="0" fieldPosition="0"/>
    </format>
    <format dxfId="622">
      <pivotArea outline="0" collapsedLevelsAreSubtotals="1" fieldPosition="0"/>
    </format>
    <format dxfId="621">
      <pivotArea field="16" type="button" dataOnly="0" labelOnly="1" outline="0" axis="axisRow" fieldPosition="0"/>
    </format>
    <format dxfId="620">
      <pivotArea dataOnly="0" labelOnly="1" fieldPosition="0">
        <references count="1">
          <reference field="16" count="0"/>
        </references>
      </pivotArea>
    </format>
    <format dxfId="619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618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617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3"/>
          </reference>
          <reference field="16" count="1" selected="0">
            <x v="0"/>
          </reference>
        </references>
      </pivotArea>
    </format>
    <format dxfId="616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15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14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13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12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1"/>
          </reference>
        </references>
      </pivotArea>
    </format>
    <format dxfId="611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610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4">
            <x v="0"/>
            <x v="2"/>
            <x v="4"/>
            <x v="6"/>
          </reference>
          <reference field="16" count="1" selected="0">
            <x v="0"/>
          </reference>
        </references>
      </pivotArea>
    </format>
    <format dxfId="609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608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607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4">
            <x v="0"/>
            <x v="2"/>
            <x v="4"/>
            <x v="7"/>
          </reference>
          <reference field="16" count="1" selected="0">
            <x v="0"/>
          </reference>
        </references>
      </pivotArea>
    </format>
    <format dxfId="606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1"/>
          </reference>
          <reference field="16" count="1" selected="0">
            <x v="0"/>
          </reference>
        </references>
      </pivotArea>
    </format>
    <format dxfId="605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16" count="1" selected="0">
            <x v="1"/>
          </reference>
        </references>
      </pivotArea>
    </format>
    <format dxfId="604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603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602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601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600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2">
            <x v="0"/>
            <x v="4"/>
          </reference>
          <reference field="16" count="1" selected="0">
            <x v="0"/>
          </reference>
        </references>
      </pivotArea>
    </format>
    <format dxfId="599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5"/>
            <x v="6"/>
            <x v="7"/>
            <x v="8"/>
            <x v="9"/>
          </reference>
          <reference field="16" count="1" selected="0">
            <x v="0"/>
          </reference>
        </references>
      </pivotArea>
    </format>
    <format dxfId="598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3">
            <x v="0"/>
            <x v="2"/>
            <x v="4"/>
          </reference>
          <reference field="16" count="1" selected="0">
            <x v="0"/>
          </reference>
        </references>
      </pivotArea>
    </format>
    <format dxfId="597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96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9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9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593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92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1"/>
          </reference>
        </references>
      </pivotArea>
    </format>
    <format dxfId="591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90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89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88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87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586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8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8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8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8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8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80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0"/>
            <x v="1"/>
          </reference>
          <reference field="16" count="1" selected="0">
            <x v="0"/>
          </reference>
        </references>
      </pivotArea>
    </format>
    <format dxfId="579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2">
            <x v="0"/>
            <x v="1"/>
          </reference>
          <reference field="16" count="1" selected="0">
            <x v="0"/>
          </reference>
        </references>
      </pivotArea>
    </format>
    <format dxfId="578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77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76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75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74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73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572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1"/>
          </reference>
        </references>
      </pivotArea>
    </format>
    <format dxfId="571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570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569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568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567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566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565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56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56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56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56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56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559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55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55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55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55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554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553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552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55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550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549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2">
            <x v="0"/>
            <x v="1"/>
          </reference>
          <reference field="16" count="1" selected="0">
            <x v="1"/>
          </reference>
        </references>
      </pivotArea>
    </format>
    <format dxfId="548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2">
            <x v="0"/>
            <x v="2"/>
          </reference>
          <reference field="16" count="1" selected="0">
            <x v="0"/>
          </reference>
        </references>
      </pivotArea>
    </format>
    <format dxfId="547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0"/>
          <reference field="16" count="1" selected="0">
            <x v="0"/>
          </reference>
        </references>
      </pivotArea>
    </format>
    <format dxfId="546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0"/>
          <reference field="16" count="1" selected="0">
            <x v="0"/>
          </reference>
        </references>
      </pivotArea>
    </format>
    <format dxfId="545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0"/>
          <reference field="16" count="1" selected="0">
            <x v="0"/>
          </reference>
        </references>
      </pivotArea>
    </format>
    <format dxfId="544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  <reference field="7" count="1">
            <x v="0"/>
          </reference>
          <reference field="16" count="1" selected="0">
            <x v="0"/>
          </reference>
        </references>
      </pivotArea>
    </format>
    <format dxfId="543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  <reference field="7" count="0"/>
          <reference field="16" count="1" selected="0">
            <x v="0"/>
          </reference>
        </references>
      </pivotArea>
    </format>
    <format dxfId="542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0"/>
          <reference field="16" count="1" selected="0">
            <x v="0"/>
          </reference>
        </references>
      </pivotArea>
    </format>
    <format dxfId="54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4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3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3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3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36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35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34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3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32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3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30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29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28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27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26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52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524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23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22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2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2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1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1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17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1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15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14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2"/>
          </reference>
          <reference field="8" count="11">
            <x v="0"/>
            <x v="1"/>
            <x v="2"/>
            <x v="3"/>
            <x v="4"/>
            <x v="5"/>
            <x v="6"/>
            <x v="7"/>
            <x v="8"/>
            <x v="9"/>
            <x v="11"/>
          </reference>
          <reference field="16" count="1" selected="0">
            <x v="0"/>
          </reference>
        </references>
      </pivotArea>
    </format>
    <format dxfId="513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12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1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1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0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07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0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0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0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0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0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00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7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2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49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489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88">
      <pivotArea type="all" dataOnly="0" outline="0" fieldPosition="0"/>
    </format>
    <format dxfId="487">
      <pivotArea outline="0" collapsedLevelsAreSubtotals="1" fieldPosition="0"/>
    </format>
    <format dxfId="486">
      <pivotArea field="16" type="button" dataOnly="0" labelOnly="1" outline="0" axis="axisRow" fieldPosition="0"/>
    </format>
    <format dxfId="485">
      <pivotArea dataOnly="0" labelOnly="1" fieldPosition="0">
        <references count="1">
          <reference field="16" count="0"/>
        </references>
      </pivotArea>
    </format>
    <format dxfId="484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483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482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3"/>
          </reference>
          <reference field="16" count="1" selected="0">
            <x v="0"/>
          </reference>
        </references>
      </pivotArea>
    </format>
    <format dxfId="481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80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79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78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77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1"/>
          </reference>
        </references>
      </pivotArea>
    </format>
    <format dxfId="476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475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4">
            <x v="0"/>
            <x v="2"/>
            <x v="4"/>
            <x v="6"/>
          </reference>
          <reference field="16" count="1" selected="0">
            <x v="0"/>
          </reference>
        </references>
      </pivotArea>
    </format>
    <format dxfId="474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473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472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4">
            <x v="0"/>
            <x v="2"/>
            <x v="4"/>
            <x v="7"/>
          </reference>
          <reference field="16" count="1" selected="0">
            <x v="0"/>
          </reference>
        </references>
      </pivotArea>
    </format>
    <format dxfId="471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1"/>
          </reference>
          <reference field="16" count="1" selected="0">
            <x v="0"/>
          </reference>
        </references>
      </pivotArea>
    </format>
    <format dxfId="470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16" count="1" selected="0">
            <x v="1"/>
          </reference>
        </references>
      </pivotArea>
    </format>
    <format dxfId="469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68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6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66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65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2">
            <x v="0"/>
            <x v="4"/>
          </reference>
          <reference field="16" count="1" selected="0">
            <x v="0"/>
          </reference>
        </references>
      </pivotArea>
    </format>
    <format dxfId="464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5"/>
            <x v="6"/>
            <x v="7"/>
            <x v="8"/>
            <x v="9"/>
          </reference>
          <reference field="16" count="1" selected="0">
            <x v="0"/>
          </reference>
        </references>
      </pivotArea>
    </format>
    <format dxfId="463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3">
            <x v="0"/>
            <x v="2"/>
            <x v="4"/>
          </reference>
          <reference field="16" count="1" selected="0">
            <x v="0"/>
          </reference>
        </references>
      </pivotArea>
    </format>
    <format dxfId="46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61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60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59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458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57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1"/>
          </reference>
        </references>
      </pivotArea>
    </format>
    <format dxfId="456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55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54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53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52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451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5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4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4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4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4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45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0"/>
            <x v="1"/>
          </reference>
          <reference field="16" count="1" selected="0">
            <x v="0"/>
          </reference>
        </references>
      </pivotArea>
    </format>
    <format dxfId="444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2">
            <x v="0"/>
            <x v="1"/>
          </reference>
          <reference field="16" count="1" selected="0">
            <x v="0"/>
          </reference>
        </references>
      </pivotArea>
    </format>
    <format dxfId="443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4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4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40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39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38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16" count="1" selected="0">
            <x v="0"/>
          </reference>
        </references>
      </pivotArea>
    </format>
    <format dxfId="43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1" selected="0">
            <x v="1"/>
          </reference>
        </references>
      </pivotArea>
    </format>
    <format dxfId="436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435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434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433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432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431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430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42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42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42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42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42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42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42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42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42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420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41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41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41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416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415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1">
            <x v="2"/>
          </reference>
          <reference field="16" count="1" selected="0">
            <x v="0"/>
          </reference>
        </references>
      </pivotArea>
    </format>
    <format dxfId="414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2">
            <x v="0"/>
            <x v="1"/>
          </reference>
          <reference field="16" count="1" selected="0">
            <x v="1"/>
          </reference>
        </references>
      </pivotArea>
    </format>
    <format dxfId="413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2">
            <x v="0"/>
            <x v="2"/>
          </reference>
          <reference field="16" count="1" selected="0">
            <x v="0"/>
          </reference>
        </references>
      </pivotArea>
    </format>
    <format dxfId="412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0"/>
          <reference field="16" count="1" selected="0">
            <x v="0"/>
          </reference>
        </references>
      </pivotArea>
    </format>
    <format dxfId="411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0"/>
          <reference field="16" count="1" selected="0">
            <x v="0"/>
          </reference>
        </references>
      </pivotArea>
    </format>
    <format dxfId="410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0"/>
          <reference field="16" count="1" selected="0">
            <x v="0"/>
          </reference>
        </references>
      </pivotArea>
    </format>
    <format dxfId="409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  <reference field="7" count="1">
            <x v="0"/>
          </reference>
          <reference field="16" count="1" selected="0">
            <x v="0"/>
          </reference>
        </references>
      </pivotArea>
    </format>
    <format dxfId="408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  <reference field="7" count="0"/>
          <reference field="16" count="1" selected="0">
            <x v="0"/>
          </reference>
        </references>
      </pivotArea>
    </format>
    <format dxfId="407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0"/>
          <reference field="16" count="1" selected="0">
            <x v="0"/>
          </reference>
        </references>
      </pivotArea>
    </format>
    <format dxfId="40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0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0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0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0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0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40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9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9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9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96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9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9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9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92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91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390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389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88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87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8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85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84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83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82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8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8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7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2"/>
          </reference>
          <reference field="8" count="11">
            <x v="0"/>
            <x v="1"/>
            <x v="2"/>
            <x v="3"/>
            <x v="4"/>
            <x v="5"/>
            <x v="6"/>
            <x v="7"/>
            <x v="8"/>
            <x v="9"/>
            <x v="11"/>
          </reference>
          <reference field="16" count="1" selected="0">
            <x v="0"/>
          </reference>
        </references>
      </pivotArea>
    </format>
    <format dxfId="37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77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7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75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74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73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72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7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7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5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1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0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59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58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57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5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35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35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CDA6FB-CCD9-4128-ACB5-996869985A7B}" name="Subsidio Resumo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334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axis="axisRow" showAll="0">
      <items count="10">
        <item x="1"/>
        <item x="8"/>
        <item x="7"/>
        <item x="0"/>
        <item x="2"/>
        <item x="3"/>
        <item x="4"/>
        <item x="5"/>
        <item x="6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7">
        <item x="5"/>
        <item x="4"/>
        <item x="0"/>
        <item x="1"/>
        <item x="2"/>
        <item x="3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333">
    <i>
      <x/>
    </i>
    <i r="1">
      <x v="3"/>
    </i>
    <i r="2">
      <x/>
    </i>
    <i r="3">
      <x v="3"/>
    </i>
    <i r="4">
      <x v="1"/>
    </i>
    <i r="5">
      <x v="2"/>
    </i>
    <i r="6">
      <x v="2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/>
    </i>
    <i r="3">
      <x v="1"/>
    </i>
    <i r="4">
      <x v="5"/>
    </i>
    <i r="5">
      <x v="2"/>
    </i>
    <i r="6">
      <x v="2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 v="2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 v="2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2"/>
    </i>
    <i r="6">
      <x v="2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/>
    </i>
    <i r="2">
      <x v="1"/>
    </i>
    <i r="3">
      <x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/>
    </i>
    <i r="2">
      <x v="2"/>
    </i>
    <i r="3">
      <x v="2"/>
    </i>
    <i r="4">
      <x/>
    </i>
    <i r="5">
      <x v="1"/>
    </i>
    <i r="6">
      <x v="2"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2"/>
    </i>
    <i r="4">
      <x/>
    </i>
    <i r="5">
      <x v="1"/>
    </i>
    <i r="6">
      <x v="2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1"/>
    </i>
    <i r="6">
      <x v="2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/>
    </i>
    <i r="2">
      <x v="2"/>
    </i>
    <i r="3">
      <x v="2"/>
    </i>
    <i r="4">
      <x/>
    </i>
    <i r="5">
      <x v="2"/>
    </i>
    <i r="6">
      <x v="2"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2"/>
    </i>
    <i r="6">
      <x v="2"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2"/>
    </i>
    <i r="4">
      <x/>
    </i>
    <i r="5">
      <x/>
    </i>
    <i r="6">
      <x v="2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1"/>
    </i>
    <i r="6">
      <x v="2"/>
    </i>
    <i r="7">
      <x v="1"/>
    </i>
    <i r="8">
      <x v="3"/>
    </i>
    <i r="8">
      <x v="4"/>
    </i>
    <i r="8">
      <x v="5"/>
    </i>
    <i r="8">
      <x v="6"/>
    </i>
    <i r="8">
      <x v="10"/>
    </i>
    <i r="4">
      <x v="2"/>
    </i>
    <i r="5">
      <x/>
    </i>
    <i r="6">
      <x v="2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2"/>
    </i>
    <i r="6">
      <x v="2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5"/>
    </i>
    <i r="1">
      <x v="1"/>
    </i>
    <i r="2">
      <x/>
    </i>
    <i r="3">
      <x v="1"/>
    </i>
    <i r="4">
      <x v="4"/>
    </i>
    <i r="5">
      <x v="2"/>
    </i>
    <i r="6">
      <x v="2"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210">
    <format dxfId="353">
      <pivotArea outline="0" collapsedLevelsAreSubtotals="1" fieldPosition="0"/>
    </format>
    <format dxfId="35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51">
      <pivotArea type="all" dataOnly="0" outline="0" fieldPosition="0"/>
    </format>
    <format dxfId="350">
      <pivotArea outline="0" collapsedLevelsAreSubtotals="1" fieldPosition="0"/>
    </format>
    <format dxfId="349">
      <pivotArea field="31" type="button" dataOnly="0" labelOnly="1" outline="0" axis="axisRow" fieldPosition="0"/>
    </format>
    <format dxfId="348">
      <pivotArea dataOnly="0" labelOnly="1" fieldPosition="0">
        <references count="1">
          <reference field="31" count="0"/>
        </references>
      </pivotArea>
    </format>
    <format dxfId="347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346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345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344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343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4"/>
          </reference>
        </references>
      </pivotArea>
    </format>
    <format dxfId="342">
      <pivotArea dataOnly="0" labelOnly="1" fieldPosition="0">
        <references count="2">
          <reference field="1" count="1">
            <x v="1"/>
          </reference>
          <reference field="31" count="1" selected="0">
            <x v="5"/>
          </reference>
        </references>
      </pivotArea>
    </format>
    <format dxfId="341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340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339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338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3"/>
          </reference>
        </references>
      </pivotArea>
    </format>
    <format dxfId="337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336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4"/>
          </reference>
        </references>
      </pivotArea>
    </format>
    <format dxfId="335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334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5"/>
          </reference>
        </references>
      </pivotArea>
    </format>
    <format dxfId="333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332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331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330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329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328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327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326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5"/>
          </reference>
        </references>
      </pivotArea>
    </format>
    <format dxfId="325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324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323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2"/>
          </reference>
        </references>
      </pivotArea>
    </format>
    <format dxfId="322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0"/>
          </reference>
          <reference field="31" count="1" selected="0">
            <x v="3"/>
          </reference>
        </references>
      </pivotArea>
    </format>
    <format dxfId="321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320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2">
            <x v="0"/>
            <x v="3"/>
          </reference>
          <reference field="31" count="1" selected="0">
            <x v="4"/>
          </reference>
        </references>
      </pivotArea>
    </format>
    <format dxfId="319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3">
            <x v="0"/>
            <x v="2"/>
            <x v="3"/>
          </reference>
          <reference field="31" count="1" selected="0">
            <x v="4"/>
          </reference>
        </references>
      </pivotArea>
    </format>
    <format dxfId="318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4"/>
          </reference>
          <reference field="31" count="1" selected="0">
            <x v="5"/>
          </reference>
        </references>
      </pivotArea>
    </format>
    <format dxfId="317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31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315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31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313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312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2"/>
          </reference>
        </references>
      </pivotArea>
    </format>
    <format dxfId="311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31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309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30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30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306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2">
            <x v="0"/>
            <x v="1"/>
          </reference>
          <reference field="31" count="1" selected="0">
            <x v="4"/>
          </reference>
        </references>
      </pivotArea>
    </format>
    <format dxfId="30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0"/>
          </reference>
          <reference field="31" count="1" selected="0">
            <x v="4"/>
          </reference>
        </references>
      </pivotArea>
    </format>
    <format dxfId="304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303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5"/>
          </reference>
        </references>
      </pivotArea>
    </format>
    <format dxfId="302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2"/>
          </reference>
          <reference field="31" count="1" selected="0">
            <x v="0"/>
          </reference>
        </references>
      </pivotArea>
    </format>
    <format dxfId="30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2"/>
          </reference>
          <reference field="31" count="1" selected="0">
            <x v="1"/>
          </reference>
        </references>
      </pivotArea>
    </format>
    <format dxfId="300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2"/>
          </reference>
          <reference field="6" count="1">
            <x v="2"/>
          </reference>
          <reference field="31" count="1" selected="0">
            <x v="1"/>
          </reference>
        </references>
      </pivotArea>
    </format>
    <format dxfId="29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2"/>
          </reference>
          <reference field="6" count="1">
            <x v="2"/>
          </reference>
          <reference field="31" count="1" selected="0">
            <x v="1"/>
          </reference>
        </references>
      </pivotArea>
    </format>
    <format dxfId="29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2"/>
          </reference>
          <reference field="6" count="1">
            <x v="2"/>
          </reference>
          <reference field="31" count="1" selected="0">
            <x v="1"/>
          </reference>
        </references>
      </pivotArea>
    </format>
    <format dxfId="297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2">
            <x v="0"/>
            <x v="1"/>
          </reference>
          <reference field="31" count="1" selected="0">
            <x v="2"/>
          </reference>
        </references>
      </pivotArea>
    </format>
    <format dxfId="29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2"/>
          </reference>
          <reference field="31" count="1" selected="0">
            <x v="3"/>
          </reference>
        </references>
      </pivotArea>
    </format>
    <format dxfId="295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2"/>
          </reference>
          <reference field="31" count="1" selected="0">
            <x v="3"/>
          </reference>
        </references>
      </pivotArea>
    </format>
    <format dxfId="294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2"/>
          </reference>
          <reference field="31" count="1" selected="0">
            <x v="3"/>
          </reference>
        </references>
      </pivotArea>
    </format>
    <format dxfId="293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1">
            <x v="2"/>
          </reference>
          <reference field="31" count="1" selected="0">
            <x v="4"/>
          </reference>
        </references>
      </pivotArea>
    </format>
    <format dxfId="292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>
            <x v="2"/>
          </reference>
          <reference field="31" count="1" selected="0">
            <x v="4"/>
          </reference>
        </references>
      </pivotArea>
    </format>
    <format dxfId="29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0"/>
          </reference>
          <reference field="6" count="1">
            <x v="2"/>
          </reference>
          <reference field="31" count="1" selected="0">
            <x v="4"/>
          </reference>
        </references>
      </pivotArea>
    </format>
    <format dxfId="290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2"/>
          </reference>
          <reference field="31" count="1" selected="0">
            <x v="4"/>
          </reference>
        </references>
      </pivotArea>
    </format>
    <format dxfId="289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1">
            <x v="2"/>
          </reference>
          <reference field="31" count="1" selected="0">
            <x v="4"/>
          </reference>
        </references>
      </pivotArea>
    </format>
    <format dxfId="288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>
            <x v="2"/>
          </reference>
          <reference field="31" count="1" selected="0">
            <x v="4"/>
          </reference>
        </references>
      </pivotArea>
    </format>
    <format dxfId="28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2"/>
          </reference>
          <reference field="31" count="1" selected="0">
            <x v="5"/>
          </reference>
        </references>
      </pivotArea>
    </format>
    <format dxfId="286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0"/>
          </reference>
        </references>
      </pivotArea>
    </format>
    <format dxfId="28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28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283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28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281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2"/>
          </reference>
        </references>
      </pivotArea>
    </format>
    <format dxfId="280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2"/>
          </reference>
        </references>
      </pivotArea>
    </format>
    <format dxfId="279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  <reference field="7" count="1">
            <x v="0"/>
          </reference>
          <reference field="31" count="1" selected="0">
            <x v="3"/>
          </reference>
        </references>
      </pivotArea>
    </format>
    <format dxfId="278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27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276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  <reference field="7" count="0"/>
          <reference field="31" count="1" selected="0">
            <x v="4"/>
          </reference>
        </references>
      </pivotArea>
    </format>
    <format dxfId="27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2"/>
          </reference>
          <reference field="7" count="0"/>
          <reference field="31" count="1" selected="0">
            <x v="4"/>
          </reference>
        </references>
      </pivotArea>
    </format>
    <format dxfId="274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273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27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271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27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269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6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6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6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6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6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26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26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261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60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5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0"/>
          </reference>
          <reference field="8" count="0"/>
          <reference field="31" count="1" selected="0">
            <x v="4"/>
          </reference>
        </references>
      </pivotArea>
    </format>
    <format dxfId="25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5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25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0"/>
          </reference>
          <reference field="8" count="0"/>
          <reference field="31" count="1" selected="0">
            <x v="4"/>
          </reference>
        </references>
      </pivotArea>
    </format>
    <format dxfId="25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5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25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5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  <reference field="7" count="1" selected="0">
            <x v="1"/>
          </reference>
          <reference field="8" count="5">
            <x v="3"/>
            <x v="4"/>
            <x v="5"/>
            <x v="6"/>
            <x v="10"/>
          </reference>
          <reference field="31" count="1" selected="0">
            <x v="4"/>
          </reference>
        </references>
      </pivotArea>
    </format>
    <format dxfId="251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50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4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1">
            <x v="0"/>
          </reference>
          <reference field="31" count="1" selected="0">
            <x v="5"/>
          </reference>
        </references>
      </pivotArea>
    </format>
    <format dxfId="24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47">
      <pivotArea type="all" dataOnly="0" outline="0" fieldPosition="0"/>
    </format>
    <format dxfId="246">
      <pivotArea outline="0" collapsedLevelsAreSubtotals="1" fieldPosition="0"/>
    </format>
    <format dxfId="245">
      <pivotArea field="31" type="button" dataOnly="0" labelOnly="1" outline="0" axis="axisRow" fieldPosition="0"/>
    </format>
    <format dxfId="244">
      <pivotArea dataOnly="0" labelOnly="1" fieldPosition="0">
        <references count="1">
          <reference field="31" count="0"/>
        </references>
      </pivotArea>
    </format>
    <format dxfId="243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242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41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240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239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4"/>
          </reference>
        </references>
      </pivotArea>
    </format>
    <format dxfId="238">
      <pivotArea dataOnly="0" labelOnly="1" fieldPosition="0">
        <references count="2">
          <reference field="1" count="1">
            <x v="1"/>
          </reference>
          <reference field="31" count="1" selected="0">
            <x v="5"/>
          </reference>
        </references>
      </pivotArea>
    </format>
    <format dxfId="237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236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235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234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3"/>
          </reference>
        </references>
      </pivotArea>
    </format>
    <format dxfId="233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232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4"/>
          </reference>
        </references>
      </pivotArea>
    </format>
    <format dxfId="231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230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5"/>
          </reference>
        </references>
      </pivotArea>
    </format>
    <format dxfId="229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28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227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226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225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224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22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222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5"/>
          </reference>
        </references>
      </pivotArea>
    </format>
    <format dxfId="221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20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219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2"/>
          </reference>
        </references>
      </pivotArea>
    </format>
    <format dxfId="218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0"/>
          </reference>
          <reference field="31" count="1" selected="0">
            <x v="3"/>
          </reference>
        </references>
      </pivotArea>
    </format>
    <format dxfId="217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21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2">
            <x v="0"/>
            <x v="3"/>
          </reference>
          <reference field="31" count="1" selected="0">
            <x v="4"/>
          </reference>
        </references>
      </pivotArea>
    </format>
    <format dxfId="215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3">
            <x v="0"/>
            <x v="2"/>
            <x v="3"/>
          </reference>
          <reference field="31" count="1" selected="0">
            <x v="4"/>
          </reference>
        </references>
      </pivotArea>
    </format>
    <format dxfId="214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4"/>
          </reference>
          <reference field="31" count="1" selected="0">
            <x v="5"/>
          </reference>
        </references>
      </pivotArea>
    </format>
    <format dxfId="213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21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1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10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0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08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2"/>
          </reference>
        </references>
      </pivotArea>
    </format>
    <format dxfId="20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206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20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204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203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202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2">
            <x v="0"/>
            <x v="1"/>
          </reference>
          <reference field="31" count="1" selected="0">
            <x v="4"/>
          </reference>
        </references>
      </pivotArea>
    </format>
    <format dxfId="201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0"/>
          </reference>
          <reference field="31" count="1" selected="0">
            <x v="4"/>
          </reference>
        </references>
      </pivotArea>
    </format>
    <format dxfId="20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19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5"/>
          </reference>
        </references>
      </pivotArea>
    </format>
    <format dxfId="198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2"/>
          </reference>
          <reference field="31" count="1" selected="0">
            <x v="0"/>
          </reference>
        </references>
      </pivotArea>
    </format>
    <format dxfId="19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2"/>
          </reference>
          <reference field="31" count="1" selected="0">
            <x v="1"/>
          </reference>
        </references>
      </pivotArea>
    </format>
    <format dxfId="196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2"/>
          </reference>
          <reference field="6" count="1">
            <x v="2"/>
          </reference>
          <reference field="31" count="1" selected="0">
            <x v="1"/>
          </reference>
        </references>
      </pivotArea>
    </format>
    <format dxfId="19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2"/>
          </reference>
          <reference field="6" count="1">
            <x v="2"/>
          </reference>
          <reference field="31" count="1" selected="0">
            <x v="1"/>
          </reference>
        </references>
      </pivotArea>
    </format>
    <format dxfId="19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2"/>
          </reference>
          <reference field="6" count="1">
            <x v="2"/>
          </reference>
          <reference field="31" count="1" selected="0">
            <x v="1"/>
          </reference>
        </references>
      </pivotArea>
    </format>
    <format dxfId="193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2">
            <x v="0"/>
            <x v="1"/>
          </reference>
          <reference field="31" count="1" selected="0">
            <x v="2"/>
          </reference>
        </references>
      </pivotArea>
    </format>
    <format dxfId="192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2"/>
          </reference>
          <reference field="31" count="1" selected="0">
            <x v="3"/>
          </reference>
        </references>
      </pivotArea>
    </format>
    <format dxfId="19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2"/>
          </reference>
          <reference field="31" count="1" selected="0">
            <x v="3"/>
          </reference>
        </references>
      </pivotArea>
    </format>
    <format dxfId="190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>
            <x v="2"/>
          </reference>
          <reference field="31" count="1" selected="0">
            <x v="3"/>
          </reference>
        </references>
      </pivotArea>
    </format>
    <format dxfId="189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1">
            <x v="2"/>
          </reference>
          <reference field="31" count="1" selected="0">
            <x v="4"/>
          </reference>
        </references>
      </pivotArea>
    </format>
    <format dxfId="188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>
            <x v="2"/>
          </reference>
          <reference field="31" count="1" selected="0">
            <x v="4"/>
          </reference>
        </references>
      </pivotArea>
    </format>
    <format dxfId="187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0"/>
          </reference>
          <reference field="6" count="1">
            <x v="2"/>
          </reference>
          <reference field="31" count="1" selected="0">
            <x v="4"/>
          </reference>
        </references>
      </pivotArea>
    </format>
    <format dxfId="18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>
            <x v="2"/>
          </reference>
          <reference field="31" count="1" selected="0">
            <x v="4"/>
          </reference>
        </references>
      </pivotArea>
    </format>
    <format dxfId="185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1">
            <x v="2"/>
          </reference>
          <reference field="31" count="1" selected="0">
            <x v="4"/>
          </reference>
        </references>
      </pivotArea>
    </format>
    <format dxfId="184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>
            <x v="2"/>
          </reference>
          <reference field="31" count="1" selected="0">
            <x v="4"/>
          </reference>
        </references>
      </pivotArea>
    </format>
    <format dxfId="18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1">
            <x v="2"/>
          </reference>
          <reference field="31" count="1" selected="0">
            <x v="5"/>
          </reference>
        </references>
      </pivotArea>
    </format>
    <format dxfId="182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0"/>
          </reference>
        </references>
      </pivotArea>
    </format>
    <format dxfId="18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8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79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7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77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2"/>
          </reference>
        </references>
      </pivotArea>
    </format>
    <format dxfId="176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2"/>
          </reference>
        </references>
      </pivotArea>
    </format>
    <format dxfId="17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  <reference field="7" count="1">
            <x v="0"/>
          </reference>
          <reference field="31" count="1" selected="0">
            <x v="3"/>
          </reference>
        </references>
      </pivotArea>
    </format>
    <format dxfId="174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173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17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  <reference field="7" count="0"/>
          <reference field="31" count="1" selected="0">
            <x v="4"/>
          </reference>
        </references>
      </pivotArea>
    </format>
    <format dxfId="171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2"/>
          </reference>
          <reference field="7" count="0"/>
          <reference field="31" count="1" selected="0">
            <x v="4"/>
          </reference>
        </references>
      </pivotArea>
    </format>
    <format dxfId="170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169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168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16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166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165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64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5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5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157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0"/>
          </reference>
          <reference field="8" count="0"/>
          <reference field="31" count="1" selected="0">
            <x v="4"/>
          </reference>
        </references>
      </pivotArea>
    </format>
    <format dxfId="15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5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15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0"/>
          </reference>
          <reference field="8" count="0"/>
          <reference field="31" count="1" selected="0">
            <x v="4"/>
          </reference>
        </references>
      </pivotArea>
    </format>
    <format dxfId="15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5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149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4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  <reference field="7" count="1" selected="0">
            <x v="1"/>
          </reference>
          <reference field="8" count="5">
            <x v="3"/>
            <x v="4"/>
            <x v="5"/>
            <x v="6"/>
            <x v="10"/>
          </reference>
          <reference field="31" count="1" selected="0">
            <x v="4"/>
          </reference>
        </references>
      </pivotArea>
    </format>
    <format dxfId="147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4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4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  <reference field="8" count="1">
            <x v="0"/>
          </reference>
          <reference field="31" count="1" selected="0">
            <x v="5"/>
          </reference>
        </references>
      </pivotArea>
    </format>
    <format dxfId="14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3F79810-8163-4AD2-AA3F-21989C7DF939}" autoFormatId="0" applyNumberFormats="0" applyBorderFormats="0" applyFontFormats="1" applyPatternFormats="1" applyAlignmentFormats="0" applyWidthHeightFormats="0">
  <queryTableRefresh nextId="44">
    <queryTableFields count="43">
      <queryTableField id="1" name="SUBGRUPO" tableColumnId="44"/>
      <queryTableField id="2" name="MODALIDADE" tableColumnId="45"/>
      <queryTableField id="3" name="CLASSE" tableColumnId="46"/>
      <queryTableField id="4" name="SUBCLASSE" tableColumnId="47"/>
      <queryTableField id="5" name="DETALHE" tableColumnId="48"/>
      <queryTableField id="6" name="POSTO" tableColumnId="49"/>
      <queryTableField id="7" name="UNIDADE" tableColumnId="50"/>
      <queryTableField id="8" name="ACESSANTE" tableColumnId="51"/>
      <queryTableField id="9" name="Total TUSD" tableColumnId="52"/>
      <queryTableField id="10" name="Total TE" tableColumnId="53"/>
      <queryTableField id="11" name="TUSD_CDE_COVID" tableColumnId="54"/>
      <queryTableField id="12" name="TUSD_TFSEE" tableColumnId="55"/>
      <queryTableField id="13" name="TUSD_PeD" tableColumnId="56"/>
      <queryTableField id="14" name="TUSD_ONS" tableColumnId="57"/>
      <queryTableField id="15" name="TUSD_CCC" tableColumnId="58"/>
      <queryTableField id="16" name="TUSD_CDE" tableColumnId="59"/>
      <queryTableField id="17" name="TUSD_PROINFA" tableColumnId="60"/>
      <queryTableField id="18" name="Liminar1" tableColumnId="61"/>
      <queryTableField id="19" name="TUSD_RB" tableColumnId="62"/>
      <queryTableField id="20" name="TUSD_FR" tableColumnId="63"/>
      <queryTableField id="21" name="TUSD_CCT" tableColumnId="64"/>
      <queryTableField id="22" name="TUSD_CCD" tableColumnId="65"/>
      <queryTableField id="23" name="TUSD_CUSD" tableColumnId="66"/>
      <queryTableField id="24" name="TUSDG_T" tableColumnId="67"/>
      <queryTableField id="25" name="TUSDG_ONS" tableColumnId="68"/>
      <queryTableField id="26" name="TUSD_FioB" tableColumnId="69"/>
      <queryTableField id="27" name="TUSD Subsidio" tableColumnId="70"/>
      <queryTableField id="28" name="TUSD Outros" tableColumnId="71"/>
      <queryTableField id="29" name="TUSD_PT" tableColumnId="72"/>
      <queryTableField id="30" name="TUSD_Per_RB_D" tableColumnId="73"/>
      <queryTableField id="31" name="TUSD_PNT" tableColumnId="74"/>
      <queryTableField id="32" name="TUSD_RI" tableColumnId="75"/>
      <queryTableField id="33" name="TE_CDE_COVID" tableColumnId="76"/>
      <queryTableField id="34" name="TE_CDE_ELET" tableColumnId="77"/>
      <queryTableField id="35" name="TE_PeD" tableColumnId="78"/>
      <queryTableField id="36" name="TE_ESSERR" tableColumnId="79"/>
      <queryTableField id="37" name="TE_CFURH" tableColumnId="80"/>
      <queryTableField id="38" name="TE_ENERGIA" tableColumnId="81"/>
      <queryTableField id="39" name="TE_TRANSPORTE_ITAIPU" tableColumnId="82"/>
      <queryTableField id="40" name="TE_TUST_ITAIPU" tableColumnId="83"/>
      <queryTableField id="41" name="TE_TUST_CI" tableColumnId="84"/>
      <queryTableField id="42" name="TE Subsidio" tableColumnId="85"/>
      <queryTableField id="43" name="TE_Per_RB" tableColumnId="8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AB1F4F07-BFF6-43F0-BA80-98F92A5FB1B0}" autoFormatId="0" applyNumberFormats="0" applyBorderFormats="0" applyFontFormats="1" applyPatternFormats="1" applyAlignmentFormats="0" applyWidthHeightFormats="0">
  <queryTableRefresh nextId="44">
    <queryTableFields count="43">
      <queryTableField id="1" name="SUBGRUPO" tableColumnId="44"/>
      <queryTableField id="2" name="MODALIDADE" tableColumnId="45"/>
      <queryTableField id="3" name="CLASSE" tableColumnId="46"/>
      <queryTableField id="4" name="SUBCLASSE" tableColumnId="47"/>
      <queryTableField id="5" name="DETALHE" tableColumnId="48"/>
      <queryTableField id="6" name="POSTO" tableColumnId="49"/>
      <queryTableField id="7" name="UNIDADE" tableColumnId="50"/>
      <queryTableField id="8" name="ACESSANTE" tableColumnId="51"/>
      <queryTableField id="9" name="Total TUSD" tableColumnId="52"/>
      <queryTableField id="10" name="Total TE" tableColumnId="53"/>
      <queryTableField id="11" name="TUSD_CDE_COVID" tableColumnId="54"/>
      <queryTableField id="12" name="TUSD_TFSEE" tableColumnId="55"/>
      <queryTableField id="13" name="TUSD_PeD" tableColumnId="56"/>
      <queryTableField id="14" name="TUSD_ONS" tableColumnId="57"/>
      <queryTableField id="15" name="TUSD_CCC" tableColumnId="58"/>
      <queryTableField id="16" name="TUSD_CDE" tableColumnId="59"/>
      <queryTableField id="17" name="TUSD_PROINFA" tableColumnId="60"/>
      <queryTableField id="18" name="Liminar1" tableColumnId="61"/>
      <queryTableField id="19" name="TUSD_RB" tableColumnId="62"/>
      <queryTableField id="20" name="TUSD_FR" tableColumnId="63"/>
      <queryTableField id="21" name="TUSD_CCT" tableColumnId="64"/>
      <queryTableField id="22" name="TUSD_CCD" tableColumnId="65"/>
      <queryTableField id="23" name="TUSD_CUSD" tableColumnId="66"/>
      <queryTableField id="24" name="TUSDG_T" tableColumnId="67"/>
      <queryTableField id="25" name="TUSDG_ONS" tableColumnId="68"/>
      <queryTableField id="26" name="TUSD_FioB" tableColumnId="69"/>
      <queryTableField id="27" name="TUSD Subsidio" tableColumnId="70"/>
      <queryTableField id="28" name="TUSD Outros" tableColumnId="71"/>
      <queryTableField id="29" name="TUSD_PT" tableColumnId="72"/>
      <queryTableField id="30" name="TUSD_Per_RB_D" tableColumnId="73"/>
      <queryTableField id="31" name="TUSD_PNT" tableColumnId="74"/>
      <queryTableField id="32" name="TUSD_RI" tableColumnId="75"/>
      <queryTableField id="33" name="TE_CDE_COVID" tableColumnId="76"/>
      <queryTableField id="34" name="TE_CDE_ELET" tableColumnId="77"/>
      <queryTableField id="35" name="TE_PeD" tableColumnId="78"/>
      <queryTableField id="36" name="TE_ESSERR" tableColumnId="79"/>
      <queryTableField id="37" name="TE_CFURH" tableColumnId="80"/>
      <queryTableField id="38" name="TE_ENERGIA" tableColumnId="81"/>
      <queryTableField id="39" name="TE_TRANSPORTE_ITAIPU" tableColumnId="82"/>
      <queryTableField id="40" name="TE_TUST_ITAIPU" tableColumnId="83"/>
      <queryTableField id="41" name="TE_TUST_CI" tableColumnId="84"/>
      <queryTableField id="42" name="TE Subsidio" tableColumnId="85"/>
      <queryTableField id="43" name="TE_Per_RB" tableColumnId="8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5D21521A-23B8-47BF-80C0-B8A33A825AA9}" autoFormatId="0" applyNumberFormats="0" applyBorderFormats="0" applyFontFormats="1" applyPatternFormats="1" applyAlignmentFormats="0" applyWidthHeightFormats="0">
  <queryTableRefresh nextId="44">
    <queryTableFields count="43">
      <queryTableField id="1" name="SUBGRUPO" tableColumnId="44"/>
      <queryTableField id="2" name="MODALIDADE" tableColumnId="45"/>
      <queryTableField id="3" name="CLASSE" tableColumnId="46"/>
      <queryTableField id="4" name="SUBCLASSE" tableColumnId="47"/>
      <queryTableField id="5" name="DETALHE" tableColumnId="48"/>
      <queryTableField id="6" name="POSTO" tableColumnId="49"/>
      <queryTableField id="7" name="UNIDADE" tableColumnId="50"/>
      <queryTableField id="8" name="ACESSANTE" tableColumnId="51"/>
      <queryTableField id="9" name="Total TUSD" tableColumnId="52"/>
      <queryTableField id="10" name="Total TE" tableColumnId="53"/>
      <queryTableField id="11" name="TUSD_CDE_COVID" tableColumnId="54"/>
      <queryTableField id="12" name="TUSD_TFSEE" tableColumnId="55"/>
      <queryTableField id="13" name="TUSD_PeD" tableColumnId="56"/>
      <queryTableField id="14" name="TUSD_ONS" tableColumnId="57"/>
      <queryTableField id="15" name="TUSD_CCC" tableColumnId="58"/>
      <queryTableField id="16" name="TUSD_CDE" tableColumnId="59"/>
      <queryTableField id="17" name="TUSD_PROINFA" tableColumnId="60"/>
      <queryTableField id="18" name="Liminar1" tableColumnId="61"/>
      <queryTableField id="19" name="TUSD_RB" tableColumnId="62"/>
      <queryTableField id="20" name="TUSD_FR" tableColumnId="63"/>
      <queryTableField id="21" name="TUSD_CCT" tableColumnId="64"/>
      <queryTableField id="22" name="TUSD_CCD" tableColumnId="65"/>
      <queryTableField id="23" name="TUSD_CUSD" tableColumnId="66"/>
      <queryTableField id="24" name="TUSDG_T" tableColumnId="67"/>
      <queryTableField id="25" name="TUSDG_ONS" tableColumnId="68"/>
      <queryTableField id="26" name="TUSD_FioB" tableColumnId="69"/>
      <queryTableField id="27" name="TUSD Subsidio" tableColumnId="70"/>
      <queryTableField id="28" name="TUSD Outros" tableColumnId="71"/>
      <queryTableField id="29" name="TUSD_PT" tableColumnId="72"/>
      <queryTableField id="30" name="TUSD_Per_RB_D" tableColumnId="73"/>
      <queryTableField id="31" name="TUSD_PNT" tableColumnId="74"/>
      <queryTableField id="32" name="TUSD_RI" tableColumnId="75"/>
      <queryTableField id="33" name="TE_CDE_COVID" tableColumnId="76"/>
      <queryTableField id="34" name="TE_CDE_ELET" tableColumnId="77"/>
      <queryTableField id="35" name="TE_PeD" tableColumnId="78"/>
      <queryTableField id="36" name="TE_ESSERR" tableColumnId="79"/>
      <queryTableField id="37" name="TE_CFURH" tableColumnId="80"/>
      <queryTableField id="38" name="TE_ENERGIA" tableColumnId="81"/>
      <queryTableField id="39" name="TE_TRANSPORTE_ITAIPU" tableColumnId="82"/>
      <queryTableField id="40" name="TE_TUST_ITAIPU" tableColumnId="83"/>
      <queryTableField id="41" name="TE_TUST_CI" tableColumnId="84"/>
      <queryTableField id="42" name="TE Subsidio" tableColumnId="85"/>
      <queryTableField id="43" name="TE_Per_RB" tableColumnId="8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BB425-A1A9-4BC2-A955-4DD186370380}" name="Efeito" displayName="Efeito" ref="A1:AG545" totalsRowShown="0" headerRowDxfId="696" dataDxfId="695">
  <autoFilter ref="A1:AG545" xr:uid="{3A7BB425-A1A9-4BC2-A955-4DD186370380}"/>
  <tableColumns count="33">
    <tableColumn id="1" xr3:uid="{C8129A35-5BA4-4008-9BBD-35FDD8F6A2DD}" name="TipoMercado" dataDxfId="694"/>
    <tableColumn id="2" xr3:uid="{A560C7EA-2946-41F3-95E3-65D4958564E3}" name="Subgrupo" dataDxfId="693"/>
    <tableColumn id="3" xr3:uid="{377A59A0-26E0-4868-BBE4-BE92989A8AC9}" name="Modalidade" dataDxfId="692"/>
    <tableColumn id="4" xr3:uid="{2A738A21-BD65-4124-95A8-16B80835B00C}" name="Classe" dataDxfId="691"/>
    <tableColumn id="5" xr3:uid="{42F5C85B-305E-45C0-9A0B-E5F8CC88EDD8}" name="Subclasse" dataDxfId="690"/>
    <tableColumn id="6" xr3:uid="{6B556E7C-D2BB-454F-BF87-94B5D24C2805}" name="Detalhe" dataDxfId="689"/>
    <tableColumn id="7" xr3:uid="{BC485DCE-2BCA-4D3D-8635-4F41184843E3}" name="Agente" dataDxfId="688"/>
    <tableColumn id="8" xr3:uid="{A3C2828A-795C-47CE-A60E-89A01DDAB245}" name="Posto" dataDxfId="687"/>
    <tableColumn id="9" xr3:uid="{9EB38D75-B363-4910-BD56-3FACC935E737}" name="AnoMes" dataDxfId="686"/>
    <tableColumn id="10" xr3:uid="{860C8B16-225E-4447-8DF5-819EDD7478F7}" name="D" dataDxfId="685"/>
    <tableColumn id="11" xr3:uid="{67785627-39B1-4076-9B55-AFD51FA1F436}" name="Daj" dataDxfId="684"/>
    <tableColumn id="12" xr3:uid="{A88FC386-E48E-434F-A8B0-D9C7014C660B}" name="TUSD_E" dataDxfId="683"/>
    <tableColumn id="13" xr3:uid="{4CABF01E-C0C4-4239-B5AE-B2BEC3C9A40D}" name="TUSD_Eaj" dataDxfId="682"/>
    <tableColumn id="14" xr3:uid="{5E3F334D-7A9E-4121-8306-8AEE5F2D660C}" name="TE_E" dataDxfId="681"/>
    <tableColumn id="15" xr3:uid="{C0E0492B-AD53-4086-9B04-1BE2D2F58DE1}" name="TE_Eaj" dataDxfId="680"/>
    <tableColumn id="16" xr3:uid="{2B35E416-560A-41CE-A881-0E72FDB5D4CC}" name="UC" dataDxfId="679"/>
    <tableColumn id="17" xr3:uid="{8CAC3B54-13C4-4A80-BBA8-5B8CC89388F8}" name="OPÇÃO" dataDxfId="678"/>
    <tableColumn id="18" xr3:uid="{0BFAB237-8118-4D47-8D11-94D22A7DF731}" name="CóD. AUX." dataDxfId="677"/>
    <tableColumn id="19" xr3:uid="{65DB78BB-2335-4AC1-ABCB-BA5563D1A652}" name="CóD. AUX. TUSD R$/kW" dataDxfId="676"/>
    <tableColumn id="20" xr3:uid="{628FD5DF-8289-46A6-BA11-821C0ED8917F}" name="CóD. AUX. TUSD R$/MWh" dataDxfId="675"/>
    <tableColumn id="21" xr3:uid="{B5C8AD38-889E-4698-9B2E-AA1278EC5624}" name="CóD. AUX. TE R$/MWh" dataDxfId="674"/>
    <tableColumn id="22" xr3:uid="{86322700-BECC-438E-AB71-2E84F5A5DB11}" name="TUSD (R$/kW)" dataDxfId="673"/>
    <tableColumn id="23" xr3:uid="{56A9B2FD-53E7-46AF-99C2-6116EE00934E}" name="TUSD (R$/MWh)" dataDxfId="672"/>
    <tableColumn id="24" xr3:uid="{8787D4CA-5708-41E1-9D29-4C9C941C3F99}" name="TE (R$/MWh)" dataDxfId="671"/>
    <tableColumn id="25" xr3:uid="{EC5A36AA-3BF5-4402-9DF5-1D82D884BB58}" name="TUSD (R$/kW) NOVA" dataDxfId="670"/>
    <tableColumn id="26" xr3:uid="{1783EAB1-6EA6-4F9F-83C2-C45E762CCF80}" name="TUSD (R$/MWh) NOVA" dataDxfId="669">
      <calculatedColumnFormula>('TUSD BE'!$AM$50+'TUSD BF'!$AM$50+'TUSD CVA'!$AM$50)*1</calculatedColumnFormula>
    </tableColumn>
    <tableColumn id="27" xr3:uid="{47420122-0861-4806-9E86-D662EB52A0ED}" name="TE (R$/MWh) NOVA" dataDxfId="668">
      <calculatedColumnFormula>('TE BE'!$AB$41+'TE BF'!$AB$41+'TE CVA'!$AB$41)*1</calculatedColumnFormula>
    </tableColumn>
    <tableColumn id="28" xr3:uid="{278104E8-2DCB-4518-8C29-44BF0AD1A126}" name="RA0 ou RV - TUSD (kW)" dataDxfId="667"/>
    <tableColumn id="29" xr3:uid="{9CB168CC-F483-47DF-8C1D-DCC6F9E79A67}" name="RA0 ou RV - TUSD (MWh)" dataDxfId="666"/>
    <tableColumn id="30" xr3:uid="{A0B6F54F-940C-42E8-99F2-0AE0CE00ED7B}" name="RA0 ou RV - TE (MWh)" dataDxfId="665"/>
    <tableColumn id="31" xr3:uid="{BC0EE2E8-6C8C-4FAF-8640-B69DAE4D6B51}" name="RA1 ou RRD - TUSD (kW)" dataDxfId="664"/>
    <tableColumn id="32" xr3:uid="{36737C09-DE0D-4BFF-B765-C0610D41010B}" name="RA1 ou RRD - TUSD (MWh)" dataDxfId="663"/>
    <tableColumn id="33" xr3:uid="{3DC56539-E47A-40CB-B9DF-769C7DBDA826}" name="RA1 ou RRD - TE (MWh)" dataDxfId="6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28892B-DF4D-4D38-B317-236FE7A44DBD}" name="Subsidio" displayName="Subsidio" ref="A1:AF272" totalsRowShown="0" headerRowDxfId="661" dataDxfId="660">
  <autoFilter ref="A1:AF272" xr:uid="{5728892B-DF4D-4D38-B317-236FE7A44DBD}"/>
  <tableColumns count="32">
    <tableColumn id="1" xr3:uid="{73FAB8BF-7BDF-4F03-B062-41E64196EE95}" name="TipoMercado" dataDxfId="659"/>
    <tableColumn id="2" xr3:uid="{3B2ADEE1-E032-425C-917E-E5728950DDA9}" name="Subgrupo" dataDxfId="658"/>
    <tableColumn id="3" xr3:uid="{8233FF74-4635-4934-89F6-6F1C8FA763D6}" name="Modalidade" dataDxfId="657"/>
    <tableColumn id="4" xr3:uid="{73B6EF51-07F7-46CE-B0FD-AA50328E6931}" name="Classe" dataDxfId="656"/>
    <tableColumn id="5" xr3:uid="{79465238-742A-4536-96E4-BF0CF64F7BEB}" name="Subclasse" dataDxfId="655"/>
    <tableColumn id="6" xr3:uid="{AE1BED1C-235E-482B-A2CA-06DD7D22FB1D}" name="Detalhe" dataDxfId="654"/>
    <tableColumn id="7" xr3:uid="{85C2794D-DB5F-4C41-88C0-81B7BCA278D0}" name="Agente" dataDxfId="653"/>
    <tableColumn id="8" xr3:uid="{94DCC2E5-C17F-4D6F-ACC1-22CA46077A03}" name="Posto" dataDxfId="652"/>
    <tableColumn id="9" xr3:uid="{48673875-4D86-4F65-B8A1-9F3293C4294E}" name="AnoMes" dataDxfId="651"/>
    <tableColumn id="10" xr3:uid="{A95D6E5B-B705-4A7F-92DA-D89E40EE4932}" name="D" dataDxfId="650"/>
    <tableColumn id="11" xr3:uid="{F763544D-6C44-44AD-80AE-4A7C4FC509A3}" name="Daj" dataDxfId="649"/>
    <tableColumn id="12" xr3:uid="{1132323C-EF12-48AF-9D98-37AF607C4FD7}" name="TUSD_E" dataDxfId="648"/>
    <tableColumn id="13" xr3:uid="{A6DAB7F7-3DDA-49C8-9085-18B437C0C183}" name="TUSD_Eaj" dataDxfId="647"/>
    <tableColumn id="14" xr3:uid="{7D8CD18B-D837-4DDC-9FEB-443FD6AC15C8}" name="TE_E" dataDxfId="646"/>
    <tableColumn id="15" xr3:uid="{1EE33EA2-76D9-4831-860A-506CBE2F84DA}" name="TE_Eaj" dataDxfId="645"/>
    <tableColumn id="16" xr3:uid="{E636C7E8-EEB2-4AA2-BB9D-3E6DA38653EF}" name="UC" dataDxfId="644"/>
    <tableColumn id="17" xr3:uid="{CA1DCE0B-76D1-4177-88BF-C2E5AC6EB2C6}" name="OPÇÃO" dataDxfId="643"/>
    <tableColumn id="18" xr3:uid="{7AD909BD-EF54-4235-A666-A7493A066FD7}" name="CóD. AUX." dataDxfId="642"/>
    <tableColumn id="19" xr3:uid="{E5C47442-E176-48E9-9416-271533F426DF}" name="CóD. AUX. TUSD R$/kW" dataDxfId="641"/>
    <tableColumn id="20" xr3:uid="{D48D7894-8196-4817-B2B9-93E806F5FA79}" name="CóD. AUX. TUSD R$/MWh" dataDxfId="640"/>
    <tableColumn id="21" xr3:uid="{324F0E0C-41C2-4126-A810-4E5BF3E292C6}" name="CóD. AUX. TE R$/MWh" dataDxfId="639"/>
    <tableColumn id="22" xr3:uid="{B62705CA-4AC9-4DCB-B8F7-BB28FDDF99BB}" name="TUSD (R$/kW)" dataDxfId="638"/>
    <tableColumn id="23" xr3:uid="{C3E040CF-EC6E-4AE8-9C30-CCC5DA68CA79}" name="TUSD (R$/MWh)" dataDxfId="637"/>
    <tableColumn id="24" xr3:uid="{2B4D69C0-A9FD-4635-AE0C-0651CA518044}" name="TE (R$/MWh)" dataDxfId="636"/>
    <tableColumn id="25" xr3:uid="{AA30927A-AF23-48BC-9030-4CE277947400}" name="TUSD (R$/kW) NOVA" dataDxfId="635"/>
    <tableColumn id="26" xr3:uid="{D168355A-65DA-463E-93AD-E122D4458C48}" name="TUSD (R$/MWh) NOVA" dataDxfId="634">
      <calculatedColumnFormula>('TUSD BE'!$AM$48+'TUSD BF'!$AM$48+'TUSD CVA'!$AM$48)*1</calculatedColumnFormula>
    </tableColumn>
    <tableColumn id="27" xr3:uid="{F6A98DD1-99E7-44B7-92E7-FE33B0F5A37F}" name="TE (R$/MWh) NOVA" dataDxfId="633">
      <calculatedColumnFormula>('TE BE'!$AB$39+'TE BF'!$AB$39+'TE CVA'!$AB$39)*1</calculatedColumnFormula>
    </tableColumn>
    <tableColumn id="28" xr3:uid="{744AEAF9-9788-4070-BA8C-499D9203663F}" name="SUBSIDIO kW - TV" dataDxfId="632">
      <calculatedColumnFormula>(J2-K2)*V2</calculatedColumnFormula>
    </tableColumn>
    <tableColumn id="29" xr3:uid="{23FE4126-4F2A-4D4F-B117-31412B2FBF93}" name="SUBSIDIO MWh - TV" dataDxfId="631">
      <calculatedColumnFormula>(L2-M2)*W2+(N2-O2)*X2</calculatedColumnFormula>
    </tableColumn>
    <tableColumn id="30" xr3:uid="{91A50B0F-3F91-43E2-B51A-4F8AEB1D143A}" name="SUBSIDIO kW - TN" dataDxfId="630">
      <calculatedColumnFormula>(J2-K2)*Y2</calculatedColumnFormula>
    </tableColumn>
    <tableColumn id="31" xr3:uid="{53DC3390-26DB-4B7F-9576-F7BA06794190}" name="SUBSIDIO MWh - TN" dataDxfId="629">
      <calculatedColumnFormula>(L2-M2)*Z2+(N2-O2)*AA2</calculatedColumnFormula>
    </tableColumn>
    <tableColumn id="32" xr3:uid="{58C0AFCE-DE00-4B2F-9933-87A80E57E534}" name="TIPO" dataDxfId="6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89296C-2344-4369-A29A-D32B77BFAF6D}" name="TabelaFin" displayName="TabelaFin" ref="B3:AR50" tableType="queryTable" totalsRowShown="0" headerRowDxfId="143" dataDxfId="141" headerRowBorderDxfId="142" tableBorderDxfId="140" totalsRowBorderDxfId="139">
  <autoFilter ref="B3:AR50" xr:uid="{5E89296C-2344-4369-A29A-D32B77BFAF6D}"/>
  <sortState xmlns:xlrd2="http://schemas.microsoft.com/office/spreadsheetml/2017/richdata2" ref="B4:AR50">
    <sortCondition ref="B4:B50"/>
    <sortCondition ref="C4:C50"/>
    <sortCondition ref="D4:D50"/>
    <sortCondition ref="E4:E50"/>
    <sortCondition ref="F4:F50"/>
    <sortCondition descending="1" ref="G4:G50"/>
    <sortCondition descending="1" ref="H4:H50"/>
    <sortCondition ref="I4:I50"/>
  </sortState>
  <tableColumns count="43">
    <tableColumn id="44" xr3:uid="{9F35B752-DE80-468C-ACC1-58EC001358A0}" uniqueName="44" name="SUBGRUPO" queryTableFieldId="1" dataDxfId="138"/>
    <tableColumn id="45" xr3:uid="{C1655075-E4B6-4361-8517-3AE91365338B}" uniqueName="45" name="MODALIDADE" queryTableFieldId="2" dataDxfId="137"/>
    <tableColumn id="46" xr3:uid="{A026A9B9-012F-4E46-8BE8-714F1C077CBF}" uniqueName="46" name="CLASSE" queryTableFieldId="3" dataDxfId="136"/>
    <tableColumn id="47" xr3:uid="{D0FFC23B-6A90-4B81-A7F2-589586713423}" uniqueName="47" name="SUBCLASSE" queryTableFieldId="4" dataDxfId="135"/>
    <tableColumn id="48" xr3:uid="{E8508422-B97B-412E-AF8E-D04E6D16D413}" uniqueName="48" name="DETALHE" queryTableFieldId="5" dataDxfId="134"/>
    <tableColumn id="49" xr3:uid="{AC452A8B-CBD9-408A-81C7-1F2703074550}" uniqueName="49" name="POSTO" queryTableFieldId="6" dataDxfId="133"/>
    <tableColumn id="50" xr3:uid="{EEA2FDDA-B5CE-4AD9-B392-5FBF362E6531}" uniqueName="50" name="UNIDADE" queryTableFieldId="7" dataDxfId="132"/>
    <tableColumn id="51" xr3:uid="{986D4352-DC01-43A1-83BD-A4A398899791}" uniqueName="51" name="ACESSANTE" queryTableFieldId="8" dataDxfId="131"/>
    <tableColumn id="52" xr3:uid="{59970839-8FDB-43D2-A148-4427C14CB8AE}" uniqueName="52" name="Total TUSD" queryTableFieldId="9" dataDxfId="130"/>
    <tableColumn id="53" xr3:uid="{E25972E8-5903-477D-94C1-BA0550188182}" uniqueName="53" name="Total TE" queryTableFieldId="10" dataDxfId="129"/>
    <tableColumn id="54" xr3:uid="{7B22F174-170C-46CD-B2B8-E9BE1AB46856}" uniqueName="54" name="TUSD_CDE_COVID" queryTableFieldId="11" dataDxfId="128"/>
    <tableColumn id="55" xr3:uid="{20F94B93-39F5-49F5-9121-349EB9F4EAFA}" uniqueName="55" name="TUSD_TFSEE" queryTableFieldId="12" dataDxfId="127"/>
    <tableColumn id="56" xr3:uid="{25A8DD64-F2AF-4CF9-B3E4-565C3ECCA322}" uniqueName="56" name="TUSD_PeD" queryTableFieldId="13" dataDxfId="126"/>
    <tableColumn id="57" xr3:uid="{587CB121-05E7-4256-AC90-EFEB4FE2CFCA}" uniqueName="57" name="TUSD_ONS" queryTableFieldId="14" dataDxfId="125"/>
    <tableColumn id="58" xr3:uid="{19C7CDB4-18FA-48A2-B07E-CA4E00CFCA06}" uniqueName="58" name="TUSD_CCC" queryTableFieldId="15" dataDxfId="124"/>
    <tableColumn id="59" xr3:uid="{5A958FC9-31D2-4CCD-B896-693B1DB2252E}" uniqueName="59" name="TUSD_CDE" queryTableFieldId="16" dataDxfId="123"/>
    <tableColumn id="60" xr3:uid="{2CB158D3-AFC6-45BC-B128-85C7753A912F}" uniqueName="60" name="TUSD_PROINFA" queryTableFieldId="17" dataDxfId="122"/>
    <tableColumn id="61" xr3:uid="{51F7B60A-B1F9-4E1A-B37F-59717C45679E}" uniqueName="61" name="Liminar1" queryTableFieldId="18" dataDxfId="121"/>
    <tableColumn id="62" xr3:uid="{6967576A-9012-4257-BCCF-52056D1CC2D8}" uniqueName="62" name="TUSD_RB" queryTableFieldId="19" dataDxfId="120"/>
    <tableColumn id="63" xr3:uid="{B3017CC7-1003-4E1C-A341-F276EB4E6B5B}" uniqueName="63" name="TUSD_FR" queryTableFieldId="20" dataDxfId="119"/>
    <tableColumn id="64" xr3:uid="{3686F293-F162-4174-BD7E-7035D7EC4B0B}" uniqueName="64" name="TUSD_CCT" queryTableFieldId="21" dataDxfId="118"/>
    <tableColumn id="65" xr3:uid="{BD7ADA68-595C-4816-A4D5-8E45861D8DF1}" uniqueName="65" name="TUSD_CCD" queryTableFieldId="22" dataDxfId="117"/>
    <tableColumn id="66" xr3:uid="{7B715237-81A2-4C9C-8A9C-177F9187DD5C}" uniqueName="66" name="TUSD_CUSD" queryTableFieldId="23" dataDxfId="116"/>
    <tableColumn id="67" xr3:uid="{6CF64330-2ABD-4208-B250-6F2A9303909B}" uniqueName="67" name="TUSDG_T" queryTableFieldId="24" dataDxfId="115"/>
    <tableColumn id="68" xr3:uid="{53AD72A6-33A7-4A51-84B4-63C87B94C5B2}" uniqueName="68" name="TUSDG_ONS" queryTableFieldId="25" dataDxfId="114"/>
    <tableColumn id="69" xr3:uid="{24B703F8-BBDE-45FA-A414-B0429A4408F3}" uniqueName="69" name="TUSD_FioB" queryTableFieldId="26" dataDxfId="113"/>
    <tableColumn id="70" xr3:uid="{5FC7A6D9-3398-4C96-A946-886E1B0FA7E8}" uniqueName="70" name="TUSD Subsidio" queryTableFieldId="27" dataDxfId="112"/>
    <tableColumn id="71" xr3:uid="{2986F213-AD2E-4DF4-8267-FCCD91054956}" uniqueName="71" name="TUSD Outros" queryTableFieldId="28" dataDxfId="111"/>
    <tableColumn id="72" xr3:uid="{49A581B7-0E6D-4A23-89B2-371BE37861EF}" uniqueName="72" name="TUSD_PT" queryTableFieldId="29" dataDxfId="110"/>
    <tableColumn id="73" xr3:uid="{EC9FD793-9104-446B-BA44-6A77BA777822}" uniqueName="73" name="TUSD_Per_RB_D" queryTableFieldId="30" dataDxfId="109"/>
    <tableColumn id="74" xr3:uid="{BA04EC8B-6A53-4C74-AD59-AE7CD183A9E6}" uniqueName="74" name="TUSD_PNT" queryTableFieldId="31" dataDxfId="108"/>
    <tableColumn id="75" xr3:uid="{B27E968D-9831-4A8F-87F4-A2B7CFD6C0E0}" uniqueName="75" name="TUSD_RI" queryTableFieldId="32" dataDxfId="107"/>
    <tableColumn id="76" xr3:uid="{C7F7CF9E-5EA2-4AD7-BD28-F3E93BBE151A}" uniqueName="76" name="TE_CDE_COVID" queryTableFieldId="33" dataDxfId="106"/>
    <tableColumn id="77" xr3:uid="{439A08E8-7451-4D16-BC99-D70474C49A45}" uniqueName="77" name="TE_CDE_ELET" queryTableFieldId="34" dataDxfId="105"/>
    <tableColumn id="78" xr3:uid="{432F1289-B790-476A-8642-3A9E82FBE372}" uniqueName="78" name="TE_PeD" queryTableFieldId="35" dataDxfId="104"/>
    <tableColumn id="79" xr3:uid="{552BBA3C-761B-4583-8020-4B05B9DB17EA}" uniqueName="79" name="TE_ESSERR" queryTableFieldId="36" dataDxfId="103"/>
    <tableColumn id="80" xr3:uid="{FC65A027-E0FC-4940-81CB-4D553CD3DCCB}" uniqueName="80" name="TE_CFURH" queryTableFieldId="37" dataDxfId="102"/>
    <tableColumn id="81" xr3:uid="{E0BEA6C4-0E2E-43C8-9CE5-FFB893C4982A}" uniqueName="81" name="TE_ENERGIA" queryTableFieldId="38" dataDxfId="101"/>
    <tableColumn id="82" xr3:uid="{928EEB0E-74F5-4E78-BC11-1E56AD1FF061}" uniqueName="82" name="TE_TRANSPORTE_ITAIPU" queryTableFieldId="39" dataDxfId="100"/>
    <tableColumn id="83" xr3:uid="{F78D461D-3547-4132-9B85-DAC63A6609FA}" uniqueName="83" name="TE_TUST_ITAIPU" queryTableFieldId="40" dataDxfId="99"/>
    <tableColumn id="84" xr3:uid="{E7AA4047-660C-4C5E-8685-6CBAD58FE93E}" uniqueName="84" name="TE_TUST_CI" queryTableFieldId="41" dataDxfId="98"/>
    <tableColumn id="85" xr3:uid="{608B78DB-F4A6-44AD-9C18-9B50B4659889}" uniqueName="85" name="TE Subsidio" queryTableFieldId="42" dataDxfId="97"/>
    <tableColumn id="86" xr3:uid="{B07D2053-9B56-44E7-A225-1F7A4455F25A}" uniqueName="86" name="TE_Per_RB" queryTableFieldId="43" dataDxfId="9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3BA2AF-34E7-4A27-9F60-42CF3DD49D0F}" name="TabelaEc" displayName="TabelaEc" ref="B3:AR50" tableType="queryTable" totalsRowShown="0" headerRowDxfId="95" dataDxfId="93" headerRowBorderDxfId="94" tableBorderDxfId="92" totalsRowBorderDxfId="91">
  <autoFilter ref="B3:AR50" xr:uid="{993BA2AF-34E7-4A27-9F60-42CF3DD49D0F}"/>
  <sortState xmlns:xlrd2="http://schemas.microsoft.com/office/spreadsheetml/2017/richdata2" ref="B4:AR50">
    <sortCondition ref="B4:B50"/>
    <sortCondition ref="C4:C50"/>
    <sortCondition ref="D4:D50"/>
    <sortCondition ref="E4:E50"/>
    <sortCondition ref="F4:F50"/>
    <sortCondition descending="1" ref="G4:G50"/>
    <sortCondition descending="1" ref="H4:H50"/>
    <sortCondition ref="I4:I50"/>
  </sortState>
  <tableColumns count="43">
    <tableColumn id="44" xr3:uid="{11DCA41C-447C-4B95-836C-6F1BE2646FE9}" uniqueName="44" name="SUBGRUPO" queryTableFieldId="1" dataDxfId="90"/>
    <tableColumn id="45" xr3:uid="{5A53B7E7-5C50-4510-A949-21D96DF8E828}" uniqueName="45" name="MODALIDADE" queryTableFieldId="2" dataDxfId="89"/>
    <tableColumn id="46" xr3:uid="{1F24D216-666F-4437-9100-EC68113F7096}" uniqueName="46" name="CLASSE" queryTableFieldId="3" dataDxfId="88"/>
    <tableColumn id="47" xr3:uid="{2D1387D4-D695-480D-8691-C4E7340911F9}" uniqueName="47" name="SUBCLASSE" queryTableFieldId="4" dataDxfId="87"/>
    <tableColumn id="48" xr3:uid="{3740CB99-778C-4A3D-A48B-3DFC595F21D6}" uniqueName="48" name="DETALHE" queryTableFieldId="5" dataDxfId="86"/>
    <tableColumn id="49" xr3:uid="{A694D43C-5BB8-429C-9CA0-3096DB01EEBC}" uniqueName="49" name="POSTO" queryTableFieldId="6" dataDxfId="85"/>
    <tableColumn id="50" xr3:uid="{A6B5CA25-F4CE-45B0-B788-8D5DC880DF48}" uniqueName="50" name="UNIDADE" queryTableFieldId="7" dataDxfId="84"/>
    <tableColumn id="51" xr3:uid="{9036B1AC-E88F-4AC1-BA49-0B56BD86139C}" uniqueName="51" name="ACESSANTE" queryTableFieldId="8" dataDxfId="83"/>
    <tableColumn id="52" xr3:uid="{4B318DCA-3325-4106-9ECF-C9F4539C2144}" uniqueName="52" name="Total TUSD" queryTableFieldId="9" dataDxfId="82"/>
    <tableColumn id="53" xr3:uid="{9147E85D-479F-4A1F-8EC6-6D6084BE625E}" uniqueName="53" name="Total TE" queryTableFieldId="10" dataDxfId="81"/>
    <tableColumn id="54" xr3:uid="{1409E17D-E741-4D4C-8DE4-4B6AF67979B2}" uniqueName="54" name="TUSD_CDE_COVID" queryTableFieldId="11" dataDxfId="80"/>
    <tableColumn id="55" xr3:uid="{D9478131-1B57-4E34-A93C-6266BBA086E3}" uniqueName="55" name="TUSD_TFSEE" queryTableFieldId="12" dataDxfId="79"/>
    <tableColumn id="56" xr3:uid="{9C3F1796-7EC4-43ED-9D12-426BE9E9C06F}" uniqueName="56" name="TUSD_PeD" queryTableFieldId="13" dataDxfId="78"/>
    <tableColumn id="57" xr3:uid="{C3165ECD-8F4D-4828-A7FD-5ADC597BF7D9}" uniqueName="57" name="TUSD_ONS" queryTableFieldId="14" dataDxfId="77"/>
    <tableColumn id="58" xr3:uid="{6327D0CD-6903-4EA3-82FF-714119BAED83}" uniqueName="58" name="TUSD_CCC" queryTableFieldId="15" dataDxfId="76"/>
    <tableColumn id="59" xr3:uid="{475FDB00-D6C3-453E-BBDD-D7E1FBBB31C3}" uniqueName="59" name="TUSD_CDE" queryTableFieldId="16" dataDxfId="75"/>
    <tableColumn id="60" xr3:uid="{23637FED-1B3D-4B85-BE0A-26719A0B4618}" uniqueName="60" name="TUSD_PROINFA" queryTableFieldId="17" dataDxfId="74"/>
    <tableColumn id="61" xr3:uid="{BE1FE56D-05C7-45A9-86C1-737F33380AE7}" uniqueName="61" name="Liminar1" queryTableFieldId="18" dataDxfId="73"/>
    <tableColumn id="62" xr3:uid="{C3C977E9-F9A5-41E8-8B71-F9C7F3B036EB}" uniqueName="62" name="TUSD_RB" queryTableFieldId="19" dataDxfId="72"/>
    <tableColumn id="63" xr3:uid="{5F3E93A2-60E9-4DC4-904E-D32DE2510D45}" uniqueName="63" name="TUSD_FR" queryTableFieldId="20" dataDxfId="71"/>
    <tableColumn id="64" xr3:uid="{B4483AC7-1E37-4436-ACA0-EC467571720A}" uniqueName="64" name="TUSD_CCT" queryTableFieldId="21" dataDxfId="70"/>
    <tableColumn id="65" xr3:uid="{153687B0-5B11-4262-AE13-61C7A2A191DA}" uniqueName="65" name="TUSD_CCD" queryTableFieldId="22" dataDxfId="69"/>
    <tableColumn id="66" xr3:uid="{2A671243-575C-4960-81D9-102E61F3B213}" uniqueName="66" name="TUSD_CUSD" queryTableFieldId="23" dataDxfId="68"/>
    <tableColumn id="67" xr3:uid="{EE3D9D23-1829-40B3-A919-805FB2011E0C}" uniqueName="67" name="TUSDG_T" queryTableFieldId="24" dataDxfId="67"/>
    <tableColumn id="68" xr3:uid="{54C3A5C5-D8B6-406E-906F-3E0B118FCB41}" uniqueName="68" name="TUSDG_ONS" queryTableFieldId="25" dataDxfId="66"/>
    <tableColumn id="69" xr3:uid="{E90C9C2A-5EA3-4DE5-9C31-9D75D298DD69}" uniqueName="69" name="TUSD_FioB" queryTableFieldId="26" dataDxfId="65"/>
    <tableColumn id="70" xr3:uid="{235F862B-146D-428C-8CE2-56BED5F66A77}" uniqueName="70" name="TUSD Subsidio" queryTableFieldId="27" dataDxfId="64"/>
    <tableColumn id="71" xr3:uid="{FB3FC1CC-661F-4460-BD66-CD05337051EC}" uniqueName="71" name="TUSD Outros" queryTableFieldId="28" dataDxfId="63"/>
    <tableColumn id="72" xr3:uid="{3F74EE95-8600-4AB0-A8B6-483C3CB807E1}" uniqueName="72" name="TUSD_PT" queryTableFieldId="29" dataDxfId="62"/>
    <tableColumn id="73" xr3:uid="{FECA5588-164C-4089-837C-0851806BB056}" uniqueName="73" name="TUSD_Per_RB_D" queryTableFieldId="30" dataDxfId="61"/>
    <tableColumn id="74" xr3:uid="{54D35518-7D76-4BD1-AB0D-012B987B16C9}" uniqueName="74" name="TUSD_PNT" queryTableFieldId="31" dataDxfId="60"/>
    <tableColumn id="75" xr3:uid="{018A0711-4A53-4A0C-A7C3-04FBCA600A5E}" uniqueName="75" name="TUSD_RI" queryTableFieldId="32" dataDxfId="59"/>
    <tableColumn id="76" xr3:uid="{84D00088-CBCA-43BD-A20A-2D0A0C80A3AE}" uniqueName="76" name="TE_CDE_COVID" queryTableFieldId="33" dataDxfId="58"/>
    <tableColumn id="77" xr3:uid="{4C61E604-1E4B-4C7A-B5FF-9C4EB8CA83A6}" uniqueName="77" name="TE_CDE_ELET" queryTableFieldId="34" dataDxfId="57"/>
    <tableColumn id="78" xr3:uid="{B8811331-8E59-45D0-8842-B06F637B697B}" uniqueName="78" name="TE_PeD" queryTableFieldId="35" dataDxfId="56"/>
    <tableColumn id="79" xr3:uid="{79742162-396E-473D-BEA9-B3142D3E55FB}" uniqueName="79" name="TE_ESSERR" queryTableFieldId="36" dataDxfId="55"/>
    <tableColumn id="80" xr3:uid="{CB7DB6D0-244F-490A-9EBD-F23332D752E8}" uniqueName="80" name="TE_CFURH" queryTableFieldId="37" dataDxfId="54"/>
    <tableColumn id="81" xr3:uid="{D92B39D9-D821-4AAB-9A22-4A9ABE0B4FB4}" uniqueName="81" name="TE_ENERGIA" queryTableFieldId="38" dataDxfId="53"/>
    <tableColumn id="82" xr3:uid="{355565C7-FB94-4808-9309-42F5486F5393}" uniqueName="82" name="TE_TRANSPORTE_ITAIPU" queryTableFieldId="39" dataDxfId="52"/>
    <tableColumn id="83" xr3:uid="{27F13C63-A227-4B3F-9E04-93A55A7BEE17}" uniqueName="83" name="TE_TUST_ITAIPU" queryTableFieldId="40" dataDxfId="51"/>
    <tableColumn id="84" xr3:uid="{3B0736E2-3FD7-45E6-9FB9-08DFC86A870A}" uniqueName="84" name="TE_TUST_CI" queryTableFieldId="41" dataDxfId="50"/>
    <tableColumn id="85" xr3:uid="{BE7FB1B7-7F80-4799-AF4A-F8D5491D45B9}" uniqueName="85" name="TE Subsidio" queryTableFieldId="42" dataDxfId="49"/>
    <tableColumn id="86" xr3:uid="{526330EF-92C7-4022-AE1E-09856DC16EE0}" uniqueName="86" name="TE_Per_RB" queryTableFieldId="43" dataDxfId="4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4E0A14-0CB8-419C-BF59-A0A701857AF3}" name="TabelaCVA" displayName="TabelaCVA" ref="B3:AR50" tableType="queryTable" totalsRowShown="0" headerRowDxfId="47" dataDxfId="45" headerRowBorderDxfId="46" tableBorderDxfId="44" totalsRowBorderDxfId="43">
  <autoFilter ref="B3:AR50" xr:uid="{BE4E0A14-0CB8-419C-BF59-A0A701857AF3}"/>
  <sortState xmlns:xlrd2="http://schemas.microsoft.com/office/spreadsheetml/2017/richdata2" ref="B4:AR50">
    <sortCondition ref="B4:B50"/>
    <sortCondition ref="C4:C50"/>
    <sortCondition ref="D4:D50"/>
    <sortCondition ref="E4:E50"/>
    <sortCondition ref="F4:F50"/>
    <sortCondition descending="1" ref="G4:G50"/>
    <sortCondition descending="1" ref="H4:H50"/>
    <sortCondition ref="I4:I50"/>
  </sortState>
  <tableColumns count="43">
    <tableColumn id="44" xr3:uid="{F700220E-03C4-493D-88ED-471A9C42A64C}" uniqueName="44" name="SUBGRUPO" queryTableFieldId="1" dataDxfId="42"/>
    <tableColumn id="45" xr3:uid="{83DBCB2E-DD4C-4A65-8ADD-568BD0ECF164}" uniqueName="45" name="MODALIDADE" queryTableFieldId="2" dataDxfId="41"/>
    <tableColumn id="46" xr3:uid="{67E41616-D244-4736-B1E8-B00398A242E3}" uniqueName="46" name="CLASSE" queryTableFieldId="3" dataDxfId="40"/>
    <tableColumn id="47" xr3:uid="{1649B0F3-9701-4161-AC6B-1557BF40C8A5}" uniqueName="47" name="SUBCLASSE" queryTableFieldId="4" dataDxfId="39"/>
    <tableColumn id="48" xr3:uid="{2B7D0871-EE5C-40AB-8C67-A8259553407A}" uniqueName="48" name="DETALHE" queryTableFieldId="5" dataDxfId="38"/>
    <tableColumn id="49" xr3:uid="{87A574A4-493A-42C0-9C04-73785EF1BB34}" uniqueName="49" name="POSTO" queryTableFieldId="6" dataDxfId="37"/>
    <tableColumn id="50" xr3:uid="{484B57CD-D38B-4C73-B9DF-AAD58A10E520}" uniqueName="50" name="UNIDADE" queryTableFieldId="7" dataDxfId="36"/>
    <tableColumn id="51" xr3:uid="{7181BB9D-A75E-47AE-9AE8-E50BC1C3D70C}" uniqueName="51" name="ACESSANTE" queryTableFieldId="8" dataDxfId="35"/>
    <tableColumn id="52" xr3:uid="{FC891989-67B9-402C-BE34-4B83620FCDFF}" uniqueName="52" name="Total TUSD" queryTableFieldId="9" dataDxfId="34"/>
    <tableColumn id="53" xr3:uid="{313A128E-12EB-44C7-8746-85487F6A6E19}" uniqueName="53" name="Total TE" queryTableFieldId="10" dataDxfId="33"/>
    <tableColumn id="54" xr3:uid="{48DE5BD3-D54A-48C5-BC65-EC9F3D176F56}" uniqueName="54" name="TUSD_CDE_COVID" queryTableFieldId="11" dataDxfId="32"/>
    <tableColumn id="55" xr3:uid="{7F8933E8-BFA0-4E27-962C-25D0DD886C68}" uniqueName="55" name="TUSD_TFSEE" queryTableFieldId="12" dataDxfId="31"/>
    <tableColumn id="56" xr3:uid="{E3023359-934B-49B8-BAB5-75E7D588BC20}" uniqueName="56" name="TUSD_PeD" queryTableFieldId="13" dataDxfId="30"/>
    <tableColumn id="57" xr3:uid="{D3C9DFC4-26A9-4A99-86BB-7AC1F3F6E696}" uniqueName="57" name="TUSD_ONS" queryTableFieldId="14" dataDxfId="29"/>
    <tableColumn id="58" xr3:uid="{18497A95-DA90-4CE9-9059-C3ED3C7A5F96}" uniqueName="58" name="TUSD_CCC" queryTableFieldId="15" dataDxfId="28"/>
    <tableColumn id="59" xr3:uid="{45297A87-E1ED-4F87-9130-C3A0EB1BDB60}" uniqueName="59" name="TUSD_CDE" queryTableFieldId="16" dataDxfId="27"/>
    <tableColumn id="60" xr3:uid="{CDAE04EC-78F8-4CCA-A65E-E00FB54E68D8}" uniqueName="60" name="TUSD_PROINFA" queryTableFieldId="17" dataDxfId="26"/>
    <tableColumn id="61" xr3:uid="{036160C2-DAAE-4DA4-A92F-7623C1F2DE25}" uniqueName="61" name="Liminar1" queryTableFieldId="18" dataDxfId="25"/>
    <tableColumn id="62" xr3:uid="{D840FEFB-6251-4AB2-B232-6E89F2AD8E58}" uniqueName="62" name="TUSD_RB" queryTableFieldId="19" dataDxfId="24"/>
    <tableColumn id="63" xr3:uid="{173821DD-D22B-4B1D-A774-876C4831B547}" uniqueName="63" name="TUSD_FR" queryTableFieldId="20" dataDxfId="23"/>
    <tableColumn id="64" xr3:uid="{6E939849-C757-4363-8975-69D96F377802}" uniqueName="64" name="TUSD_CCT" queryTableFieldId="21" dataDxfId="22"/>
    <tableColumn id="65" xr3:uid="{E5C0DB12-E869-4AD5-94C8-F48AD1A670D8}" uniqueName="65" name="TUSD_CCD" queryTableFieldId="22" dataDxfId="21"/>
    <tableColumn id="66" xr3:uid="{61FE25BA-2751-4AB9-8147-BEFA54D2285B}" uniqueName="66" name="TUSD_CUSD" queryTableFieldId="23" dataDxfId="20"/>
    <tableColumn id="67" xr3:uid="{24C71CE1-8746-4017-A9D8-F828BB024BB7}" uniqueName="67" name="TUSDG_T" queryTableFieldId="24" dataDxfId="19"/>
    <tableColumn id="68" xr3:uid="{4B2BC975-0247-4A40-9F4E-B5010A908D95}" uniqueName="68" name="TUSDG_ONS" queryTableFieldId="25" dataDxfId="18"/>
    <tableColumn id="69" xr3:uid="{C6E35775-41FB-4610-A788-484443F59645}" uniqueName="69" name="TUSD_FioB" queryTableFieldId="26" dataDxfId="17"/>
    <tableColumn id="70" xr3:uid="{ADD027C2-DC8A-4AB0-AFD4-987509251E79}" uniqueName="70" name="TUSD Subsidio" queryTableFieldId="27" dataDxfId="16"/>
    <tableColumn id="71" xr3:uid="{5886E89E-367F-444C-8137-F825B4142478}" uniqueName="71" name="TUSD Outros" queryTableFieldId="28" dataDxfId="15"/>
    <tableColumn id="72" xr3:uid="{DDA2047E-0AA2-439F-8A18-11E72495A2D6}" uniqueName="72" name="TUSD_PT" queryTableFieldId="29" dataDxfId="14"/>
    <tableColumn id="73" xr3:uid="{47638290-923D-4076-8110-B77CE44CEF67}" uniqueName="73" name="TUSD_Per_RB_D" queryTableFieldId="30" dataDxfId="13"/>
    <tableColumn id="74" xr3:uid="{FB3BD1F4-5E18-4B35-BCB2-C32E3FBC9708}" uniqueName="74" name="TUSD_PNT" queryTableFieldId="31" dataDxfId="12"/>
    <tableColumn id="75" xr3:uid="{7C46CAC3-E3BA-4758-8818-432DBF43537B}" uniqueName="75" name="TUSD_RI" queryTableFieldId="32" dataDxfId="11"/>
    <tableColumn id="76" xr3:uid="{492D117D-7B8D-4B97-88D6-B2D112B2A924}" uniqueName="76" name="TE_CDE_COVID" queryTableFieldId="33" dataDxfId="10"/>
    <tableColumn id="77" xr3:uid="{ECDD3C08-BB09-451F-9493-E1124BCFBBA7}" uniqueName="77" name="TE_CDE_ELET" queryTableFieldId="34" dataDxfId="9"/>
    <tableColumn id="78" xr3:uid="{1C750758-DB81-415B-A7BB-D6BB99951FEF}" uniqueName="78" name="TE_PeD" queryTableFieldId="35" dataDxfId="8"/>
    <tableColumn id="79" xr3:uid="{5B16FAA6-3360-404E-8082-C7011FBB38F1}" uniqueName="79" name="TE_ESSERR" queryTableFieldId="36" dataDxfId="7"/>
    <tableColumn id="80" xr3:uid="{00FF663D-00C2-468B-A14C-80E327790600}" uniqueName="80" name="TE_CFURH" queryTableFieldId="37" dataDxfId="6"/>
    <tableColumn id="81" xr3:uid="{C5F7EB78-CE5A-46EF-BC80-9C0B6C23BDB0}" uniqueName="81" name="TE_ENERGIA" queryTableFieldId="38" dataDxfId="5"/>
    <tableColumn id="82" xr3:uid="{4F35F5A0-7882-48BE-AC76-B59928AA0F88}" uniqueName="82" name="TE_TRANSPORTE_ITAIPU" queryTableFieldId="39" dataDxfId="4"/>
    <tableColumn id="83" xr3:uid="{91E21A0C-47AE-4B6E-B691-F8DCAEC6E6D5}" uniqueName="83" name="TE_TUST_ITAIPU" queryTableFieldId="40" dataDxfId="3"/>
    <tableColumn id="84" xr3:uid="{678AAFB9-59A8-437B-ABAE-7B8D7177288E}" uniqueName="84" name="TE_TUST_CI" queryTableFieldId="41" dataDxfId="2"/>
    <tableColumn id="85" xr3:uid="{86C37CA8-02EA-4875-8515-B732056F7250}" uniqueName="85" name="TE Subsidio" queryTableFieldId="42" dataDxfId="1"/>
    <tableColumn id="86" xr3:uid="{F2C3AFE8-2FA6-4163-ADF2-EFA372B53E74}" uniqueName="86" name="TE_Per_RB" queryTableFieldId="4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89F9-EDBC-4477-AEB9-6EE34D0DBD6F}">
  <dimension ref="A1:W545"/>
  <sheetViews>
    <sheetView showGridLines="0" topLeftCell="R532" workbookViewId="0">
      <selection activeCell="T546" sqref="T546"/>
    </sheetView>
  </sheetViews>
  <sheetFormatPr defaultRowHeight="11.25" customHeight="1" x14ac:dyDescent="0.25"/>
  <cols>
    <col min="1" max="1" width="19.140625" style="3" bestFit="1" customWidth="1"/>
    <col min="2" max="2" width="8.7109375" style="3" bestFit="1" customWidth="1"/>
    <col min="3" max="3" width="10.285156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7" width="27.140625" style="3" bestFit="1" customWidth="1"/>
    <col min="8" max="8" width="10.28515625" style="3" bestFit="1" customWidth="1"/>
    <col min="9" max="9" width="8.7109375" style="6" bestFit="1" customWidth="1"/>
    <col min="10" max="12" width="7" style="4" bestFit="1" customWidth="1"/>
    <col min="13" max="13" width="8" style="4" bestFit="1" customWidth="1"/>
    <col min="14" max="16" width="7" style="4" bestFit="1" customWidth="1"/>
    <col min="17" max="17" width="8.42578125" style="3" bestFit="1" customWidth="1"/>
    <col min="18" max="18" width="8.5703125" style="3" bestFit="1" customWidth="1"/>
    <col min="19" max="19" width="78.140625" style="3" bestFit="1" customWidth="1"/>
    <col min="20" max="20" width="83.85546875" style="3" bestFit="1" customWidth="1"/>
    <col min="21" max="21" width="18.42578125" style="3" bestFit="1" customWidth="1"/>
    <col min="22" max="22" width="19.85546875" style="3" bestFit="1" customWidth="1"/>
    <col min="23" max="23" width="17.7109375" style="3" bestFit="1" customWidth="1"/>
    <col min="24" max="16384" width="9.140625" style="3"/>
  </cols>
  <sheetData>
    <row r="1" spans="1:23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92</v>
      </c>
      <c r="T1" s="1" t="s">
        <v>261</v>
      </c>
      <c r="U1" s="1" t="s">
        <v>18</v>
      </c>
      <c r="V1" s="1" t="s">
        <v>19</v>
      </c>
      <c r="W1" s="1" t="s">
        <v>20</v>
      </c>
    </row>
    <row r="2" spans="1:23" ht="11.25" customHeight="1" x14ac:dyDescent="0.25">
      <c r="A2" s="3" t="s">
        <v>21</v>
      </c>
      <c r="B2" s="3" t="s">
        <v>35</v>
      </c>
      <c r="C2" s="3" t="s">
        <v>36</v>
      </c>
      <c r="D2" s="3" t="s">
        <v>34</v>
      </c>
      <c r="E2" s="3" t="s">
        <v>25</v>
      </c>
      <c r="F2" s="3" t="s">
        <v>25</v>
      </c>
      <c r="G2" s="3" t="s">
        <v>25</v>
      </c>
      <c r="H2" s="3" t="s">
        <v>38</v>
      </c>
      <c r="I2" s="6">
        <v>44378</v>
      </c>
      <c r="J2" s="4">
        <v>4694</v>
      </c>
      <c r="K2" s="4">
        <v>4694</v>
      </c>
      <c r="L2" s="4">
        <v>1879.4090000000001</v>
      </c>
      <c r="M2" s="4">
        <v>1879.4090000000001</v>
      </c>
      <c r="N2" s="4">
        <v>1879.4090000000001</v>
      </c>
      <c r="O2" s="4">
        <v>1879.4090000000001</v>
      </c>
      <c r="P2" s="4">
        <v>0</v>
      </c>
      <c r="Q2" s="3" t="s">
        <v>26</v>
      </c>
      <c r="R2" s="3">
        <v>0</v>
      </c>
      <c r="S2" s="3" t="s">
        <v>93</v>
      </c>
      <c r="T2" s="3" t="s">
        <v>262</v>
      </c>
      <c r="U2" s="3">
        <v>12</v>
      </c>
      <c r="V2" s="3">
        <v>19</v>
      </c>
      <c r="W2" s="3">
        <v>48</v>
      </c>
    </row>
    <row r="3" spans="1:23" ht="11.25" customHeight="1" x14ac:dyDescent="0.25">
      <c r="A3" s="3" t="s">
        <v>21</v>
      </c>
      <c r="B3" s="3" t="s">
        <v>35</v>
      </c>
      <c r="C3" s="3" t="s">
        <v>36</v>
      </c>
      <c r="D3" s="3" t="s">
        <v>34</v>
      </c>
      <c r="E3" s="3" t="s">
        <v>25</v>
      </c>
      <c r="F3" s="3" t="s">
        <v>25</v>
      </c>
      <c r="G3" s="3" t="s">
        <v>25</v>
      </c>
      <c r="H3" s="3" t="s">
        <v>38</v>
      </c>
      <c r="I3" s="6">
        <v>44409</v>
      </c>
      <c r="J3" s="4">
        <v>4729</v>
      </c>
      <c r="K3" s="4">
        <v>4729</v>
      </c>
      <c r="L3" s="4">
        <v>1895.8910000000001</v>
      </c>
      <c r="M3" s="4">
        <v>1895.8910000000001</v>
      </c>
      <c r="N3" s="4">
        <v>1895.8910000000001</v>
      </c>
      <c r="O3" s="4">
        <v>1895.8910000000001</v>
      </c>
      <c r="P3" s="4">
        <v>0</v>
      </c>
      <c r="Q3" s="3" t="s">
        <v>26</v>
      </c>
      <c r="R3" s="3">
        <v>0</v>
      </c>
      <c r="S3" s="3" t="s">
        <v>94</v>
      </c>
      <c r="T3" s="3" t="s">
        <v>263</v>
      </c>
      <c r="U3" s="3">
        <v>12</v>
      </c>
      <c r="V3" s="3">
        <v>19</v>
      </c>
      <c r="W3" s="3">
        <v>48</v>
      </c>
    </row>
    <row r="4" spans="1:23" ht="11.25" customHeight="1" x14ac:dyDescent="0.25">
      <c r="A4" s="3" t="s">
        <v>21</v>
      </c>
      <c r="B4" s="3" t="s">
        <v>35</v>
      </c>
      <c r="C4" s="3" t="s">
        <v>36</v>
      </c>
      <c r="D4" s="3" t="s">
        <v>34</v>
      </c>
      <c r="E4" s="3" t="s">
        <v>25</v>
      </c>
      <c r="F4" s="3" t="s">
        <v>25</v>
      </c>
      <c r="G4" s="3" t="s">
        <v>25</v>
      </c>
      <c r="H4" s="3" t="s">
        <v>38</v>
      </c>
      <c r="I4" s="6">
        <v>44440</v>
      </c>
      <c r="J4" s="4">
        <v>4934</v>
      </c>
      <c r="K4" s="4">
        <v>4934</v>
      </c>
      <c r="L4" s="4">
        <v>1901.1320000000001</v>
      </c>
      <c r="M4" s="4">
        <v>1901.1320000000001</v>
      </c>
      <c r="N4" s="4">
        <v>1901.1320000000001</v>
      </c>
      <c r="O4" s="4">
        <v>1901.1320000000001</v>
      </c>
      <c r="P4" s="4">
        <v>0</v>
      </c>
      <c r="Q4" s="3" t="s">
        <v>26</v>
      </c>
      <c r="R4" s="3">
        <v>0</v>
      </c>
      <c r="S4" s="3" t="s">
        <v>95</v>
      </c>
      <c r="T4" s="3" t="s">
        <v>264</v>
      </c>
      <c r="U4" s="3">
        <v>12</v>
      </c>
      <c r="V4" s="3">
        <v>19</v>
      </c>
      <c r="W4" s="3">
        <v>48</v>
      </c>
    </row>
    <row r="5" spans="1:23" ht="11.25" customHeight="1" x14ac:dyDescent="0.25">
      <c r="A5" s="3" t="s">
        <v>21</v>
      </c>
      <c r="B5" s="3" t="s">
        <v>35</v>
      </c>
      <c r="C5" s="3" t="s">
        <v>36</v>
      </c>
      <c r="D5" s="3" t="s">
        <v>34</v>
      </c>
      <c r="E5" s="3" t="s">
        <v>25</v>
      </c>
      <c r="F5" s="3" t="s">
        <v>25</v>
      </c>
      <c r="G5" s="3" t="s">
        <v>25</v>
      </c>
      <c r="H5" s="3" t="s">
        <v>38</v>
      </c>
      <c r="I5" s="6">
        <v>44470</v>
      </c>
      <c r="J5" s="4">
        <v>4844</v>
      </c>
      <c r="K5" s="4">
        <v>4844</v>
      </c>
      <c r="L5" s="4">
        <v>1952.5340000000001</v>
      </c>
      <c r="M5" s="4">
        <v>1952.5340000000001</v>
      </c>
      <c r="N5" s="4">
        <v>1952.5340000000001</v>
      </c>
      <c r="O5" s="4">
        <v>1952.5340000000001</v>
      </c>
      <c r="P5" s="4">
        <v>0</v>
      </c>
      <c r="Q5" s="3" t="s">
        <v>26</v>
      </c>
      <c r="R5" s="3">
        <v>0</v>
      </c>
      <c r="S5" s="3" t="s">
        <v>96</v>
      </c>
      <c r="T5" s="3" t="s">
        <v>265</v>
      </c>
      <c r="U5" s="3">
        <v>12</v>
      </c>
      <c r="V5" s="3">
        <v>19</v>
      </c>
      <c r="W5" s="3">
        <v>48</v>
      </c>
    </row>
    <row r="6" spans="1:23" ht="11.25" customHeight="1" x14ac:dyDescent="0.25">
      <c r="A6" s="3" t="s">
        <v>21</v>
      </c>
      <c r="B6" s="3" t="s">
        <v>35</v>
      </c>
      <c r="C6" s="3" t="s">
        <v>36</v>
      </c>
      <c r="D6" s="3" t="s">
        <v>34</v>
      </c>
      <c r="E6" s="3" t="s">
        <v>25</v>
      </c>
      <c r="F6" s="3" t="s">
        <v>25</v>
      </c>
      <c r="G6" s="3" t="s">
        <v>25</v>
      </c>
      <c r="H6" s="3" t="s">
        <v>38</v>
      </c>
      <c r="I6" s="6">
        <v>44501</v>
      </c>
      <c r="J6" s="4">
        <v>5085</v>
      </c>
      <c r="K6" s="4">
        <v>5085</v>
      </c>
      <c r="L6" s="4">
        <v>1953.104</v>
      </c>
      <c r="M6" s="4">
        <v>1953.104</v>
      </c>
      <c r="N6" s="4">
        <v>1953.104</v>
      </c>
      <c r="O6" s="4">
        <v>1953.104</v>
      </c>
      <c r="P6" s="4">
        <v>0</v>
      </c>
      <c r="Q6" s="3" t="s">
        <v>26</v>
      </c>
      <c r="R6" s="3">
        <v>0</v>
      </c>
      <c r="S6" s="3" t="s">
        <v>97</v>
      </c>
      <c r="T6" s="3" t="s">
        <v>266</v>
      </c>
      <c r="U6" s="3">
        <v>12</v>
      </c>
      <c r="V6" s="3">
        <v>19</v>
      </c>
      <c r="W6" s="3">
        <v>48</v>
      </c>
    </row>
    <row r="7" spans="1:23" ht="11.25" customHeight="1" x14ac:dyDescent="0.25">
      <c r="A7" s="3" t="s">
        <v>21</v>
      </c>
      <c r="B7" s="3" t="s">
        <v>35</v>
      </c>
      <c r="C7" s="3" t="s">
        <v>36</v>
      </c>
      <c r="D7" s="3" t="s">
        <v>34</v>
      </c>
      <c r="E7" s="3" t="s">
        <v>25</v>
      </c>
      <c r="F7" s="3" t="s">
        <v>25</v>
      </c>
      <c r="G7" s="3" t="s">
        <v>25</v>
      </c>
      <c r="H7" s="3" t="s">
        <v>38</v>
      </c>
      <c r="I7" s="6">
        <v>44531</v>
      </c>
      <c r="J7" s="4">
        <v>5098</v>
      </c>
      <c r="K7" s="4">
        <v>5098</v>
      </c>
      <c r="L7" s="4">
        <v>1934.24</v>
      </c>
      <c r="M7" s="4">
        <v>1934.24</v>
      </c>
      <c r="N7" s="4">
        <v>1934.24</v>
      </c>
      <c r="O7" s="4">
        <v>1934.24</v>
      </c>
      <c r="P7" s="4">
        <v>0</v>
      </c>
      <c r="Q7" s="3" t="s">
        <v>26</v>
      </c>
      <c r="R7" s="3">
        <v>0</v>
      </c>
      <c r="S7" s="3" t="s">
        <v>98</v>
      </c>
      <c r="T7" s="3" t="s">
        <v>267</v>
      </c>
      <c r="U7" s="3">
        <v>12</v>
      </c>
      <c r="V7" s="3">
        <v>19</v>
      </c>
      <c r="W7" s="3">
        <v>48</v>
      </c>
    </row>
    <row r="8" spans="1:23" ht="11.25" customHeight="1" x14ac:dyDescent="0.25">
      <c r="A8" s="3" t="s">
        <v>21</v>
      </c>
      <c r="B8" s="3" t="s">
        <v>35</v>
      </c>
      <c r="C8" s="3" t="s">
        <v>36</v>
      </c>
      <c r="D8" s="3" t="s">
        <v>34</v>
      </c>
      <c r="E8" s="3" t="s">
        <v>25</v>
      </c>
      <c r="F8" s="3" t="s">
        <v>25</v>
      </c>
      <c r="G8" s="3" t="s">
        <v>25</v>
      </c>
      <c r="H8" s="3" t="s">
        <v>38</v>
      </c>
      <c r="I8" s="6">
        <v>44562</v>
      </c>
      <c r="J8" s="4">
        <v>5078</v>
      </c>
      <c r="K8" s="4">
        <v>5078</v>
      </c>
      <c r="L8" s="4">
        <v>1989.569</v>
      </c>
      <c r="M8" s="4">
        <v>1989.569</v>
      </c>
      <c r="N8" s="4">
        <v>1989.569</v>
      </c>
      <c r="O8" s="4">
        <v>1989.569</v>
      </c>
      <c r="P8" s="4">
        <v>0</v>
      </c>
      <c r="Q8" s="3" t="s">
        <v>26</v>
      </c>
      <c r="R8" s="3">
        <v>0</v>
      </c>
      <c r="S8" s="3" t="s">
        <v>99</v>
      </c>
      <c r="T8" s="3" t="s">
        <v>268</v>
      </c>
      <c r="U8" s="3">
        <v>12</v>
      </c>
      <c r="V8" s="3">
        <v>19</v>
      </c>
      <c r="W8" s="3">
        <v>48</v>
      </c>
    </row>
    <row r="9" spans="1:23" ht="11.25" customHeight="1" x14ac:dyDescent="0.25">
      <c r="A9" s="3" t="s">
        <v>21</v>
      </c>
      <c r="B9" s="3" t="s">
        <v>35</v>
      </c>
      <c r="C9" s="3" t="s">
        <v>36</v>
      </c>
      <c r="D9" s="3" t="s">
        <v>34</v>
      </c>
      <c r="E9" s="3" t="s">
        <v>25</v>
      </c>
      <c r="F9" s="3" t="s">
        <v>25</v>
      </c>
      <c r="G9" s="3" t="s">
        <v>25</v>
      </c>
      <c r="H9" s="3" t="s">
        <v>38</v>
      </c>
      <c r="I9" s="6">
        <v>44593</v>
      </c>
      <c r="J9" s="4">
        <v>5048</v>
      </c>
      <c r="K9" s="4">
        <v>5048</v>
      </c>
      <c r="L9" s="4">
        <v>2034.4</v>
      </c>
      <c r="M9" s="4">
        <v>2034.4</v>
      </c>
      <c r="N9" s="4">
        <v>2034.4</v>
      </c>
      <c r="O9" s="4">
        <v>2034.4</v>
      </c>
      <c r="P9" s="4">
        <v>0</v>
      </c>
      <c r="Q9" s="3" t="s">
        <v>26</v>
      </c>
      <c r="R9" s="3">
        <v>0</v>
      </c>
      <c r="S9" s="3" t="s">
        <v>100</v>
      </c>
      <c r="T9" s="3" t="s">
        <v>269</v>
      </c>
      <c r="U9" s="3">
        <v>12</v>
      </c>
      <c r="V9" s="3">
        <v>19</v>
      </c>
      <c r="W9" s="3">
        <v>48</v>
      </c>
    </row>
    <row r="10" spans="1:23" ht="11.25" customHeight="1" x14ac:dyDescent="0.25">
      <c r="A10" s="3" t="s">
        <v>21</v>
      </c>
      <c r="B10" s="3" t="s">
        <v>35</v>
      </c>
      <c r="C10" s="3" t="s">
        <v>36</v>
      </c>
      <c r="D10" s="3" t="s">
        <v>34</v>
      </c>
      <c r="E10" s="3" t="s">
        <v>25</v>
      </c>
      <c r="F10" s="3" t="s">
        <v>25</v>
      </c>
      <c r="G10" s="3" t="s">
        <v>25</v>
      </c>
      <c r="H10" s="3" t="s">
        <v>38</v>
      </c>
      <c r="I10" s="6">
        <v>44621</v>
      </c>
      <c r="J10" s="4">
        <v>6637</v>
      </c>
      <c r="K10" s="4">
        <v>6637</v>
      </c>
      <c r="L10" s="4">
        <v>2236.8580000000002</v>
      </c>
      <c r="M10" s="4">
        <v>2236.8580000000002</v>
      </c>
      <c r="N10" s="4">
        <v>2236.8580000000002</v>
      </c>
      <c r="O10" s="4">
        <v>2236.8580000000002</v>
      </c>
      <c r="P10" s="4">
        <v>0</v>
      </c>
      <c r="Q10" s="3" t="s">
        <v>26</v>
      </c>
      <c r="R10" s="3">
        <v>0</v>
      </c>
      <c r="S10" s="3" t="s">
        <v>101</v>
      </c>
      <c r="T10" s="3" t="s">
        <v>270</v>
      </c>
      <c r="U10" s="3">
        <v>12</v>
      </c>
      <c r="V10" s="3">
        <v>19</v>
      </c>
      <c r="W10" s="3">
        <v>48</v>
      </c>
    </row>
    <row r="11" spans="1:23" ht="11.25" customHeight="1" x14ac:dyDescent="0.25">
      <c r="A11" s="3" t="s">
        <v>21</v>
      </c>
      <c r="B11" s="3" t="s">
        <v>35</v>
      </c>
      <c r="C11" s="3" t="s">
        <v>36</v>
      </c>
      <c r="D11" s="3" t="s">
        <v>34</v>
      </c>
      <c r="E11" s="3" t="s">
        <v>25</v>
      </c>
      <c r="F11" s="3" t="s">
        <v>25</v>
      </c>
      <c r="G11" s="3" t="s">
        <v>25</v>
      </c>
      <c r="H11" s="3" t="s">
        <v>38</v>
      </c>
      <c r="I11" s="6">
        <v>44652</v>
      </c>
      <c r="J11" s="4">
        <v>6612</v>
      </c>
      <c r="K11" s="4">
        <v>6612</v>
      </c>
      <c r="L11" s="4">
        <v>1715.6410000000001</v>
      </c>
      <c r="M11" s="4">
        <v>1715.6410000000001</v>
      </c>
      <c r="N11" s="4">
        <v>1715.6410000000001</v>
      </c>
      <c r="O11" s="4">
        <v>1715.6410000000001</v>
      </c>
      <c r="P11" s="4">
        <v>0</v>
      </c>
      <c r="Q11" s="3" t="s">
        <v>26</v>
      </c>
      <c r="R11" s="3">
        <v>0</v>
      </c>
      <c r="S11" s="3" t="s">
        <v>102</v>
      </c>
      <c r="T11" s="3" t="s">
        <v>271</v>
      </c>
      <c r="U11" s="3">
        <v>12</v>
      </c>
      <c r="V11" s="3">
        <v>19</v>
      </c>
      <c r="W11" s="3">
        <v>48</v>
      </c>
    </row>
    <row r="12" spans="1:23" ht="11.25" customHeight="1" x14ac:dyDescent="0.25">
      <c r="A12" s="3" t="s">
        <v>21</v>
      </c>
      <c r="B12" s="3" t="s">
        <v>35</v>
      </c>
      <c r="C12" s="3" t="s">
        <v>36</v>
      </c>
      <c r="D12" s="3" t="s">
        <v>34</v>
      </c>
      <c r="E12" s="3" t="s">
        <v>25</v>
      </c>
      <c r="F12" s="3" t="s">
        <v>25</v>
      </c>
      <c r="G12" s="3" t="s">
        <v>25</v>
      </c>
      <c r="H12" s="3" t="s">
        <v>38</v>
      </c>
      <c r="I12" s="6">
        <v>44682</v>
      </c>
      <c r="J12" s="4">
        <v>6610</v>
      </c>
      <c r="K12" s="4">
        <v>6610</v>
      </c>
      <c r="L12" s="4">
        <v>1888.7560000000001</v>
      </c>
      <c r="M12" s="4">
        <v>1888.7560000000001</v>
      </c>
      <c r="N12" s="4">
        <v>1888.7560000000001</v>
      </c>
      <c r="O12" s="4">
        <v>1888.7560000000001</v>
      </c>
      <c r="P12" s="4">
        <v>0</v>
      </c>
      <c r="Q12" s="3" t="s">
        <v>26</v>
      </c>
      <c r="R12" s="3">
        <v>0</v>
      </c>
      <c r="S12" s="3" t="s">
        <v>103</v>
      </c>
      <c r="T12" s="3" t="s">
        <v>272</v>
      </c>
      <c r="U12" s="3">
        <v>12</v>
      </c>
      <c r="V12" s="3">
        <v>19</v>
      </c>
      <c r="W12" s="3">
        <v>48</v>
      </c>
    </row>
    <row r="13" spans="1:23" ht="11.25" customHeight="1" x14ac:dyDescent="0.25">
      <c r="A13" s="3" t="s">
        <v>21</v>
      </c>
      <c r="B13" s="3" t="s">
        <v>35</v>
      </c>
      <c r="C13" s="3" t="s">
        <v>36</v>
      </c>
      <c r="D13" s="3" t="s">
        <v>34</v>
      </c>
      <c r="E13" s="3" t="s">
        <v>25</v>
      </c>
      <c r="F13" s="3" t="s">
        <v>25</v>
      </c>
      <c r="G13" s="3" t="s">
        <v>25</v>
      </c>
      <c r="H13" s="3" t="s">
        <v>38</v>
      </c>
      <c r="I13" s="6">
        <v>44713</v>
      </c>
      <c r="J13" s="4">
        <v>6610</v>
      </c>
      <c r="K13" s="4">
        <v>6610</v>
      </c>
      <c r="L13" s="4">
        <v>1772.796</v>
      </c>
      <c r="M13" s="4">
        <v>1772.796</v>
      </c>
      <c r="N13" s="4">
        <v>1772.796</v>
      </c>
      <c r="O13" s="4">
        <v>1772.796</v>
      </c>
      <c r="P13" s="4">
        <v>0</v>
      </c>
      <c r="Q13" s="3" t="s">
        <v>26</v>
      </c>
      <c r="R13" s="3">
        <v>0</v>
      </c>
      <c r="S13" s="3" t="s">
        <v>104</v>
      </c>
      <c r="T13" s="3" t="s">
        <v>273</v>
      </c>
      <c r="U13" s="3">
        <v>12</v>
      </c>
      <c r="V13" s="3">
        <v>19</v>
      </c>
      <c r="W13" s="3">
        <v>48</v>
      </c>
    </row>
    <row r="14" spans="1:23" ht="11.25" customHeight="1" x14ac:dyDescent="0.25">
      <c r="A14" s="3" t="s">
        <v>21</v>
      </c>
      <c r="B14" s="3" t="s">
        <v>35</v>
      </c>
      <c r="C14" s="3" t="s">
        <v>36</v>
      </c>
      <c r="D14" s="3" t="s">
        <v>34</v>
      </c>
      <c r="E14" s="3" t="s">
        <v>25</v>
      </c>
      <c r="F14" s="3" t="s">
        <v>25</v>
      </c>
      <c r="G14" s="3" t="s">
        <v>25</v>
      </c>
      <c r="H14" s="3" t="s">
        <v>37</v>
      </c>
      <c r="I14" s="6">
        <v>44378</v>
      </c>
      <c r="J14" s="4">
        <v>4240</v>
      </c>
      <c r="K14" s="4">
        <v>4240</v>
      </c>
      <c r="L14" s="4">
        <v>228.905</v>
      </c>
      <c r="M14" s="4">
        <v>228.905</v>
      </c>
      <c r="N14" s="4">
        <v>228.905</v>
      </c>
      <c r="O14" s="4">
        <v>228.905</v>
      </c>
      <c r="P14" s="4">
        <v>0</v>
      </c>
      <c r="Q14" s="3" t="s">
        <v>26</v>
      </c>
      <c r="R14" s="3">
        <v>0</v>
      </c>
      <c r="S14" s="3" t="s">
        <v>105</v>
      </c>
      <c r="T14" s="3" t="s">
        <v>274</v>
      </c>
      <c r="U14" s="3">
        <v>5</v>
      </c>
      <c r="V14" s="3">
        <v>19</v>
      </c>
      <c r="W14" s="3">
        <v>24</v>
      </c>
    </row>
    <row r="15" spans="1:23" ht="11.25" customHeight="1" x14ac:dyDescent="0.25">
      <c r="A15" s="3" t="s">
        <v>21</v>
      </c>
      <c r="B15" s="3" t="s">
        <v>35</v>
      </c>
      <c r="C15" s="3" t="s">
        <v>36</v>
      </c>
      <c r="D15" s="3" t="s">
        <v>34</v>
      </c>
      <c r="E15" s="3" t="s">
        <v>25</v>
      </c>
      <c r="F15" s="3" t="s">
        <v>25</v>
      </c>
      <c r="G15" s="3" t="s">
        <v>25</v>
      </c>
      <c r="H15" s="3" t="s">
        <v>37</v>
      </c>
      <c r="I15" s="6">
        <v>44409</v>
      </c>
      <c r="J15" s="4">
        <v>4287</v>
      </c>
      <c r="K15" s="4">
        <v>4287</v>
      </c>
      <c r="L15" s="4">
        <v>240.565</v>
      </c>
      <c r="M15" s="4">
        <v>240.565</v>
      </c>
      <c r="N15" s="4">
        <v>240.565</v>
      </c>
      <c r="O15" s="4">
        <v>240.565</v>
      </c>
      <c r="P15" s="4">
        <v>0</v>
      </c>
      <c r="Q15" s="3" t="s">
        <v>26</v>
      </c>
      <c r="R15" s="3">
        <v>0</v>
      </c>
      <c r="S15" s="3" t="s">
        <v>106</v>
      </c>
      <c r="T15" s="3" t="s">
        <v>275</v>
      </c>
      <c r="U15" s="3">
        <v>5</v>
      </c>
      <c r="V15" s="3">
        <v>19</v>
      </c>
      <c r="W15" s="3">
        <v>24</v>
      </c>
    </row>
    <row r="16" spans="1:23" ht="11.25" customHeight="1" x14ac:dyDescent="0.25">
      <c r="A16" s="3" t="s">
        <v>21</v>
      </c>
      <c r="B16" s="3" t="s">
        <v>35</v>
      </c>
      <c r="C16" s="3" t="s">
        <v>36</v>
      </c>
      <c r="D16" s="3" t="s">
        <v>34</v>
      </c>
      <c r="E16" s="3" t="s">
        <v>25</v>
      </c>
      <c r="F16" s="3" t="s">
        <v>25</v>
      </c>
      <c r="G16" s="3" t="s">
        <v>25</v>
      </c>
      <c r="H16" s="3" t="s">
        <v>37</v>
      </c>
      <c r="I16" s="6">
        <v>44440</v>
      </c>
      <c r="J16" s="4">
        <v>4615</v>
      </c>
      <c r="K16" s="4">
        <v>4615</v>
      </c>
      <c r="L16" s="4">
        <v>235.898</v>
      </c>
      <c r="M16" s="4">
        <v>235.898</v>
      </c>
      <c r="N16" s="4">
        <v>235.898</v>
      </c>
      <c r="O16" s="4">
        <v>235.898</v>
      </c>
      <c r="P16" s="4">
        <v>0</v>
      </c>
      <c r="Q16" s="3" t="s">
        <v>26</v>
      </c>
      <c r="R16" s="3">
        <v>0</v>
      </c>
      <c r="S16" s="3" t="s">
        <v>107</v>
      </c>
      <c r="T16" s="3" t="s">
        <v>276</v>
      </c>
      <c r="U16" s="3">
        <v>5</v>
      </c>
      <c r="V16" s="3">
        <v>19</v>
      </c>
      <c r="W16" s="3">
        <v>24</v>
      </c>
    </row>
    <row r="17" spans="1:23" ht="11.25" customHeight="1" x14ac:dyDescent="0.25">
      <c r="A17" s="3" t="s">
        <v>21</v>
      </c>
      <c r="B17" s="3" t="s">
        <v>35</v>
      </c>
      <c r="C17" s="3" t="s">
        <v>36</v>
      </c>
      <c r="D17" s="3" t="s">
        <v>34</v>
      </c>
      <c r="E17" s="3" t="s">
        <v>25</v>
      </c>
      <c r="F17" s="3" t="s">
        <v>25</v>
      </c>
      <c r="G17" s="3" t="s">
        <v>25</v>
      </c>
      <c r="H17" s="3" t="s">
        <v>37</v>
      </c>
      <c r="I17" s="6">
        <v>44470</v>
      </c>
      <c r="J17" s="4">
        <v>4361</v>
      </c>
      <c r="K17" s="4">
        <v>4361</v>
      </c>
      <c r="L17" s="4">
        <v>228.53299999999999</v>
      </c>
      <c r="M17" s="4">
        <v>228.53299999999999</v>
      </c>
      <c r="N17" s="4">
        <v>228.53299999999999</v>
      </c>
      <c r="O17" s="4">
        <v>228.53299999999999</v>
      </c>
      <c r="P17" s="4">
        <v>0</v>
      </c>
      <c r="Q17" s="3" t="s">
        <v>26</v>
      </c>
      <c r="R17" s="3">
        <v>0</v>
      </c>
      <c r="S17" s="3" t="s">
        <v>108</v>
      </c>
      <c r="T17" s="3" t="s">
        <v>277</v>
      </c>
      <c r="U17" s="3">
        <v>5</v>
      </c>
      <c r="V17" s="3">
        <v>19</v>
      </c>
      <c r="W17" s="3">
        <v>24</v>
      </c>
    </row>
    <row r="18" spans="1:23" ht="11.25" customHeight="1" x14ac:dyDescent="0.25">
      <c r="A18" s="3" t="s">
        <v>21</v>
      </c>
      <c r="B18" s="3" t="s">
        <v>35</v>
      </c>
      <c r="C18" s="3" t="s">
        <v>36</v>
      </c>
      <c r="D18" s="3" t="s">
        <v>34</v>
      </c>
      <c r="E18" s="3" t="s">
        <v>25</v>
      </c>
      <c r="F18" s="3" t="s">
        <v>25</v>
      </c>
      <c r="G18" s="3" t="s">
        <v>25</v>
      </c>
      <c r="H18" s="3" t="s">
        <v>37</v>
      </c>
      <c r="I18" s="6">
        <v>44501</v>
      </c>
      <c r="J18" s="4">
        <v>4416</v>
      </c>
      <c r="K18" s="4">
        <v>4416</v>
      </c>
      <c r="L18" s="4">
        <v>223.90700000000001</v>
      </c>
      <c r="M18" s="4">
        <v>223.90700000000001</v>
      </c>
      <c r="N18" s="4">
        <v>223.90700000000001</v>
      </c>
      <c r="O18" s="4">
        <v>223.90700000000001</v>
      </c>
      <c r="P18" s="4">
        <v>0</v>
      </c>
      <c r="Q18" s="3" t="s">
        <v>26</v>
      </c>
      <c r="R18" s="3">
        <v>0</v>
      </c>
      <c r="S18" s="3" t="s">
        <v>109</v>
      </c>
      <c r="T18" s="3" t="s">
        <v>278</v>
      </c>
      <c r="U18" s="3">
        <v>5</v>
      </c>
      <c r="V18" s="3">
        <v>19</v>
      </c>
      <c r="W18" s="3">
        <v>24</v>
      </c>
    </row>
    <row r="19" spans="1:23" ht="11.25" customHeight="1" x14ac:dyDescent="0.25">
      <c r="A19" s="3" t="s">
        <v>21</v>
      </c>
      <c r="B19" s="3" t="s">
        <v>35</v>
      </c>
      <c r="C19" s="3" t="s">
        <v>36</v>
      </c>
      <c r="D19" s="3" t="s">
        <v>34</v>
      </c>
      <c r="E19" s="3" t="s">
        <v>25</v>
      </c>
      <c r="F19" s="3" t="s">
        <v>25</v>
      </c>
      <c r="G19" s="3" t="s">
        <v>25</v>
      </c>
      <c r="H19" s="3" t="s">
        <v>37</v>
      </c>
      <c r="I19" s="6">
        <v>44531</v>
      </c>
      <c r="J19" s="4">
        <v>4282</v>
      </c>
      <c r="K19" s="4">
        <v>4282</v>
      </c>
      <c r="L19" s="4">
        <v>240.1</v>
      </c>
      <c r="M19" s="4">
        <v>240.1</v>
      </c>
      <c r="N19" s="4">
        <v>240.1</v>
      </c>
      <c r="O19" s="4">
        <v>240.1</v>
      </c>
      <c r="P19" s="4">
        <v>0</v>
      </c>
      <c r="Q19" s="3" t="s">
        <v>26</v>
      </c>
      <c r="R19" s="3">
        <v>0</v>
      </c>
      <c r="S19" s="3" t="s">
        <v>110</v>
      </c>
      <c r="T19" s="3" t="s">
        <v>279</v>
      </c>
      <c r="U19" s="3">
        <v>5</v>
      </c>
      <c r="V19" s="3">
        <v>19</v>
      </c>
      <c r="W19" s="3">
        <v>24</v>
      </c>
    </row>
    <row r="20" spans="1:23" ht="11.25" customHeight="1" x14ac:dyDescent="0.25">
      <c r="A20" s="3" t="s">
        <v>21</v>
      </c>
      <c r="B20" s="3" t="s">
        <v>35</v>
      </c>
      <c r="C20" s="3" t="s">
        <v>36</v>
      </c>
      <c r="D20" s="3" t="s">
        <v>34</v>
      </c>
      <c r="E20" s="3" t="s">
        <v>25</v>
      </c>
      <c r="F20" s="3" t="s">
        <v>25</v>
      </c>
      <c r="G20" s="3" t="s">
        <v>25</v>
      </c>
      <c r="H20" s="3" t="s">
        <v>37</v>
      </c>
      <c r="I20" s="6">
        <v>44562</v>
      </c>
      <c r="J20" s="4">
        <v>4384</v>
      </c>
      <c r="K20" s="4">
        <v>4384</v>
      </c>
      <c r="L20" s="4">
        <v>231.27500000000001</v>
      </c>
      <c r="M20" s="4">
        <v>231.27500000000001</v>
      </c>
      <c r="N20" s="4">
        <v>231.27500000000001</v>
      </c>
      <c r="O20" s="4">
        <v>231.27500000000001</v>
      </c>
      <c r="P20" s="4">
        <v>0</v>
      </c>
      <c r="Q20" s="3" t="s">
        <v>26</v>
      </c>
      <c r="R20" s="3">
        <v>0</v>
      </c>
      <c r="S20" s="3" t="s">
        <v>111</v>
      </c>
      <c r="T20" s="3" t="s">
        <v>280</v>
      </c>
      <c r="U20" s="3">
        <v>5</v>
      </c>
      <c r="V20" s="3">
        <v>19</v>
      </c>
      <c r="W20" s="3">
        <v>24</v>
      </c>
    </row>
    <row r="21" spans="1:23" ht="11.25" customHeight="1" x14ac:dyDescent="0.25">
      <c r="A21" s="3" t="s">
        <v>21</v>
      </c>
      <c r="B21" s="3" t="s">
        <v>35</v>
      </c>
      <c r="C21" s="3" t="s">
        <v>36</v>
      </c>
      <c r="D21" s="3" t="s">
        <v>34</v>
      </c>
      <c r="E21" s="3" t="s">
        <v>25</v>
      </c>
      <c r="F21" s="3" t="s">
        <v>25</v>
      </c>
      <c r="G21" s="3" t="s">
        <v>25</v>
      </c>
      <c r="H21" s="3" t="s">
        <v>37</v>
      </c>
      <c r="I21" s="6">
        <v>44593</v>
      </c>
      <c r="J21" s="4">
        <v>4420</v>
      </c>
      <c r="K21" s="4">
        <v>4420</v>
      </c>
      <c r="L21" s="4">
        <v>243.70099999999999</v>
      </c>
      <c r="M21" s="4">
        <v>243.70099999999999</v>
      </c>
      <c r="N21" s="4">
        <v>243.70099999999999</v>
      </c>
      <c r="O21" s="4">
        <v>243.70099999999999</v>
      </c>
      <c r="P21" s="4">
        <v>0</v>
      </c>
      <c r="Q21" s="3" t="s">
        <v>26</v>
      </c>
      <c r="R21" s="3">
        <v>0</v>
      </c>
      <c r="S21" s="3" t="s">
        <v>112</v>
      </c>
      <c r="T21" s="3" t="s">
        <v>281</v>
      </c>
      <c r="U21" s="3">
        <v>5</v>
      </c>
      <c r="V21" s="3">
        <v>19</v>
      </c>
      <c r="W21" s="3">
        <v>24</v>
      </c>
    </row>
    <row r="22" spans="1:23" ht="11.25" customHeight="1" x14ac:dyDescent="0.25">
      <c r="A22" s="3" t="s">
        <v>21</v>
      </c>
      <c r="B22" s="3" t="s">
        <v>35</v>
      </c>
      <c r="C22" s="3" t="s">
        <v>36</v>
      </c>
      <c r="D22" s="3" t="s">
        <v>34</v>
      </c>
      <c r="E22" s="3" t="s">
        <v>25</v>
      </c>
      <c r="F22" s="3" t="s">
        <v>25</v>
      </c>
      <c r="G22" s="3" t="s">
        <v>25</v>
      </c>
      <c r="H22" s="3" t="s">
        <v>37</v>
      </c>
      <c r="I22" s="6">
        <v>44621</v>
      </c>
      <c r="J22" s="4">
        <v>6340</v>
      </c>
      <c r="K22" s="4">
        <v>6340</v>
      </c>
      <c r="L22" s="4">
        <v>279.63400000000001</v>
      </c>
      <c r="M22" s="4">
        <v>279.63400000000001</v>
      </c>
      <c r="N22" s="4">
        <v>279.63400000000001</v>
      </c>
      <c r="O22" s="4">
        <v>279.63400000000001</v>
      </c>
      <c r="P22" s="4">
        <v>0</v>
      </c>
      <c r="Q22" s="3" t="s">
        <v>26</v>
      </c>
      <c r="R22" s="3">
        <v>0</v>
      </c>
      <c r="S22" s="3" t="s">
        <v>113</v>
      </c>
      <c r="T22" s="3" t="s">
        <v>282</v>
      </c>
      <c r="U22" s="3">
        <v>5</v>
      </c>
      <c r="V22" s="3">
        <v>19</v>
      </c>
      <c r="W22" s="3">
        <v>24</v>
      </c>
    </row>
    <row r="23" spans="1:23" ht="11.25" customHeight="1" x14ac:dyDescent="0.25">
      <c r="A23" s="3" t="s">
        <v>21</v>
      </c>
      <c r="B23" s="3" t="s">
        <v>35</v>
      </c>
      <c r="C23" s="3" t="s">
        <v>36</v>
      </c>
      <c r="D23" s="3" t="s">
        <v>34</v>
      </c>
      <c r="E23" s="3" t="s">
        <v>25</v>
      </c>
      <c r="F23" s="3" t="s">
        <v>25</v>
      </c>
      <c r="G23" s="3" t="s">
        <v>25</v>
      </c>
      <c r="H23" s="3" t="s">
        <v>37</v>
      </c>
      <c r="I23" s="6">
        <v>44652</v>
      </c>
      <c r="J23" s="4">
        <v>6340</v>
      </c>
      <c r="K23" s="4">
        <v>6340</v>
      </c>
      <c r="L23" s="4">
        <v>202.45400000000001</v>
      </c>
      <c r="M23" s="4">
        <v>202.45400000000001</v>
      </c>
      <c r="N23" s="4">
        <v>202.45400000000001</v>
      </c>
      <c r="O23" s="4">
        <v>202.45400000000001</v>
      </c>
      <c r="P23" s="4">
        <v>0</v>
      </c>
      <c r="Q23" s="3" t="s">
        <v>26</v>
      </c>
      <c r="R23" s="3">
        <v>0</v>
      </c>
      <c r="S23" s="3" t="s">
        <v>114</v>
      </c>
      <c r="T23" s="3" t="s">
        <v>283</v>
      </c>
      <c r="U23" s="3">
        <v>5</v>
      </c>
      <c r="V23" s="3">
        <v>19</v>
      </c>
      <c r="W23" s="3">
        <v>24</v>
      </c>
    </row>
    <row r="24" spans="1:23" ht="11.25" customHeight="1" x14ac:dyDescent="0.25">
      <c r="A24" s="3" t="s">
        <v>21</v>
      </c>
      <c r="B24" s="3" t="s">
        <v>35</v>
      </c>
      <c r="C24" s="3" t="s">
        <v>36</v>
      </c>
      <c r="D24" s="3" t="s">
        <v>34</v>
      </c>
      <c r="E24" s="3" t="s">
        <v>25</v>
      </c>
      <c r="F24" s="3" t="s">
        <v>25</v>
      </c>
      <c r="G24" s="3" t="s">
        <v>25</v>
      </c>
      <c r="H24" s="3" t="s">
        <v>37</v>
      </c>
      <c r="I24" s="6">
        <v>44682</v>
      </c>
      <c r="J24" s="4">
        <v>6340</v>
      </c>
      <c r="K24" s="4">
        <v>6340</v>
      </c>
      <c r="L24" s="4">
        <v>245.61699999999999</v>
      </c>
      <c r="M24" s="4">
        <v>245.61699999999999</v>
      </c>
      <c r="N24" s="4">
        <v>245.61699999999999</v>
      </c>
      <c r="O24" s="4">
        <v>245.61699999999999</v>
      </c>
      <c r="P24" s="4">
        <v>0</v>
      </c>
      <c r="Q24" s="3" t="s">
        <v>26</v>
      </c>
      <c r="R24" s="3">
        <v>0</v>
      </c>
      <c r="S24" s="3" t="s">
        <v>115</v>
      </c>
      <c r="T24" s="3" t="s">
        <v>284</v>
      </c>
      <c r="U24" s="3">
        <v>5</v>
      </c>
      <c r="V24" s="3">
        <v>19</v>
      </c>
      <c r="W24" s="3">
        <v>24</v>
      </c>
    </row>
    <row r="25" spans="1:23" ht="11.25" customHeight="1" x14ac:dyDescent="0.25">
      <c r="A25" s="3" t="s">
        <v>21</v>
      </c>
      <c r="B25" s="3" t="s">
        <v>35</v>
      </c>
      <c r="C25" s="3" t="s">
        <v>36</v>
      </c>
      <c r="D25" s="3" t="s">
        <v>34</v>
      </c>
      <c r="E25" s="3" t="s">
        <v>25</v>
      </c>
      <c r="F25" s="3" t="s">
        <v>25</v>
      </c>
      <c r="G25" s="3" t="s">
        <v>25</v>
      </c>
      <c r="H25" s="3" t="s">
        <v>37</v>
      </c>
      <c r="I25" s="6">
        <v>44713</v>
      </c>
      <c r="J25" s="4">
        <v>6340</v>
      </c>
      <c r="K25" s="4">
        <v>6340</v>
      </c>
      <c r="L25" s="4">
        <v>224.995</v>
      </c>
      <c r="M25" s="4">
        <v>224.995</v>
      </c>
      <c r="N25" s="4">
        <v>224.995</v>
      </c>
      <c r="O25" s="4">
        <v>224.995</v>
      </c>
      <c r="P25" s="4">
        <v>0</v>
      </c>
      <c r="Q25" s="3" t="s">
        <v>26</v>
      </c>
      <c r="R25" s="3">
        <v>0</v>
      </c>
      <c r="S25" s="3" t="s">
        <v>116</v>
      </c>
      <c r="T25" s="3" t="s">
        <v>285</v>
      </c>
      <c r="U25" s="3">
        <v>5</v>
      </c>
      <c r="V25" s="3">
        <v>19</v>
      </c>
      <c r="W25" s="3">
        <v>24</v>
      </c>
    </row>
    <row r="26" spans="1:23" ht="11.25" customHeight="1" x14ac:dyDescent="0.25">
      <c r="A26" s="3" t="s">
        <v>21</v>
      </c>
      <c r="B26" s="3" t="s">
        <v>35</v>
      </c>
      <c r="C26" s="3" t="s">
        <v>53</v>
      </c>
      <c r="D26" s="3" t="s">
        <v>25</v>
      </c>
      <c r="E26" s="3" t="s">
        <v>25</v>
      </c>
      <c r="F26" s="3" t="s">
        <v>25</v>
      </c>
      <c r="G26" s="3" t="s">
        <v>54</v>
      </c>
      <c r="H26" s="3" t="s">
        <v>25</v>
      </c>
      <c r="I26" s="6">
        <v>44378</v>
      </c>
      <c r="J26" s="4">
        <v>720</v>
      </c>
      <c r="K26" s="4">
        <v>360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3" t="s">
        <v>55</v>
      </c>
      <c r="R26" s="3">
        <v>15</v>
      </c>
      <c r="S26" s="3" t="s">
        <v>117</v>
      </c>
      <c r="U26" s="3">
        <v>25</v>
      </c>
      <c r="V26" s="3">
        <v>0</v>
      </c>
      <c r="W26" s="3">
        <v>0</v>
      </c>
    </row>
    <row r="27" spans="1:23" ht="11.25" customHeight="1" x14ac:dyDescent="0.25">
      <c r="A27" s="3" t="s">
        <v>21</v>
      </c>
      <c r="B27" s="3" t="s">
        <v>35</v>
      </c>
      <c r="C27" s="3" t="s">
        <v>53</v>
      </c>
      <c r="D27" s="3" t="s">
        <v>25</v>
      </c>
      <c r="E27" s="3" t="s">
        <v>25</v>
      </c>
      <c r="F27" s="3" t="s">
        <v>25</v>
      </c>
      <c r="G27" s="3" t="s">
        <v>56</v>
      </c>
      <c r="H27" s="3" t="s">
        <v>25</v>
      </c>
      <c r="I27" s="6">
        <v>44378</v>
      </c>
      <c r="J27" s="4">
        <v>1000</v>
      </c>
      <c r="K27" s="4">
        <v>500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3" t="s">
        <v>55</v>
      </c>
      <c r="R27" s="3">
        <v>28240</v>
      </c>
      <c r="S27" s="3" t="s">
        <v>117</v>
      </c>
      <c r="U27" s="3">
        <v>25</v>
      </c>
      <c r="V27" s="3">
        <v>0</v>
      </c>
      <c r="W27" s="3">
        <v>0</v>
      </c>
    </row>
    <row r="28" spans="1:23" ht="11.25" customHeight="1" x14ac:dyDescent="0.25">
      <c r="A28" s="3" t="s">
        <v>21</v>
      </c>
      <c r="B28" s="3" t="s">
        <v>35</v>
      </c>
      <c r="C28" s="3" t="s">
        <v>53</v>
      </c>
      <c r="D28" s="3" t="s">
        <v>25</v>
      </c>
      <c r="E28" s="3" t="s">
        <v>25</v>
      </c>
      <c r="F28" s="3" t="s">
        <v>25</v>
      </c>
      <c r="G28" s="3" t="s">
        <v>54</v>
      </c>
      <c r="H28" s="3" t="s">
        <v>25</v>
      </c>
      <c r="I28" s="6">
        <v>44409</v>
      </c>
      <c r="J28" s="4">
        <v>720</v>
      </c>
      <c r="K28" s="4">
        <v>360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3" t="s">
        <v>55</v>
      </c>
      <c r="R28" s="3">
        <v>15</v>
      </c>
      <c r="S28" s="3" t="s">
        <v>118</v>
      </c>
      <c r="U28" s="3">
        <v>25</v>
      </c>
      <c r="V28" s="3">
        <v>0</v>
      </c>
      <c r="W28" s="3">
        <v>0</v>
      </c>
    </row>
    <row r="29" spans="1:23" ht="11.25" customHeight="1" x14ac:dyDescent="0.25">
      <c r="A29" s="3" t="s">
        <v>21</v>
      </c>
      <c r="B29" s="3" t="s">
        <v>35</v>
      </c>
      <c r="C29" s="3" t="s">
        <v>53</v>
      </c>
      <c r="D29" s="3" t="s">
        <v>25</v>
      </c>
      <c r="E29" s="3" t="s">
        <v>25</v>
      </c>
      <c r="F29" s="3" t="s">
        <v>25</v>
      </c>
      <c r="G29" s="3" t="s">
        <v>56</v>
      </c>
      <c r="H29" s="3" t="s">
        <v>25</v>
      </c>
      <c r="I29" s="6">
        <v>44409</v>
      </c>
      <c r="J29" s="4">
        <v>1000</v>
      </c>
      <c r="K29" s="4">
        <v>500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3" t="s">
        <v>55</v>
      </c>
      <c r="R29" s="3">
        <v>28240</v>
      </c>
      <c r="S29" s="3" t="s">
        <v>118</v>
      </c>
      <c r="U29" s="3">
        <v>25</v>
      </c>
      <c r="V29" s="3">
        <v>0</v>
      </c>
      <c r="W29" s="3">
        <v>0</v>
      </c>
    </row>
    <row r="30" spans="1:23" ht="11.25" customHeight="1" x14ac:dyDescent="0.25">
      <c r="A30" s="3" t="s">
        <v>21</v>
      </c>
      <c r="B30" s="3" t="s">
        <v>35</v>
      </c>
      <c r="C30" s="3" t="s">
        <v>53</v>
      </c>
      <c r="D30" s="3" t="s">
        <v>25</v>
      </c>
      <c r="E30" s="3" t="s">
        <v>25</v>
      </c>
      <c r="F30" s="3" t="s">
        <v>25</v>
      </c>
      <c r="G30" s="3" t="s">
        <v>54</v>
      </c>
      <c r="H30" s="3" t="s">
        <v>25</v>
      </c>
      <c r="I30" s="6">
        <v>44440</v>
      </c>
      <c r="J30" s="4">
        <v>720</v>
      </c>
      <c r="K30" s="4">
        <v>360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3" t="s">
        <v>55</v>
      </c>
      <c r="R30" s="3">
        <v>15</v>
      </c>
      <c r="S30" s="3" t="s">
        <v>119</v>
      </c>
      <c r="U30" s="3">
        <v>25</v>
      </c>
      <c r="V30" s="3">
        <v>0</v>
      </c>
      <c r="W30" s="3">
        <v>0</v>
      </c>
    </row>
    <row r="31" spans="1:23" ht="11.25" customHeight="1" x14ac:dyDescent="0.25">
      <c r="A31" s="3" t="s">
        <v>21</v>
      </c>
      <c r="B31" s="3" t="s">
        <v>35</v>
      </c>
      <c r="C31" s="3" t="s">
        <v>53</v>
      </c>
      <c r="D31" s="3" t="s">
        <v>25</v>
      </c>
      <c r="E31" s="3" t="s">
        <v>25</v>
      </c>
      <c r="F31" s="3" t="s">
        <v>25</v>
      </c>
      <c r="G31" s="3" t="s">
        <v>56</v>
      </c>
      <c r="H31" s="3" t="s">
        <v>25</v>
      </c>
      <c r="I31" s="6">
        <v>44440</v>
      </c>
      <c r="J31" s="4">
        <v>1000</v>
      </c>
      <c r="K31" s="4">
        <v>500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3" t="s">
        <v>55</v>
      </c>
      <c r="R31" s="3">
        <v>28240</v>
      </c>
      <c r="S31" s="3" t="s">
        <v>119</v>
      </c>
      <c r="U31" s="3">
        <v>25</v>
      </c>
      <c r="V31" s="3">
        <v>0</v>
      </c>
      <c r="W31" s="3">
        <v>0</v>
      </c>
    </row>
    <row r="32" spans="1:23" ht="11.25" customHeight="1" x14ac:dyDescent="0.25">
      <c r="A32" s="3" t="s">
        <v>21</v>
      </c>
      <c r="B32" s="3" t="s">
        <v>35</v>
      </c>
      <c r="C32" s="3" t="s">
        <v>53</v>
      </c>
      <c r="D32" s="3" t="s">
        <v>25</v>
      </c>
      <c r="E32" s="3" t="s">
        <v>25</v>
      </c>
      <c r="F32" s="3" t="s">
        <v>25</v>
      </c>
      <c r="G32" s="3" t="s">
        <v>54</v>
      </c>
      <c r="H32" s="3" t="s">
        <v>25</v>
      </c>
      <c r="I32" s="6">
        <v>44470</v>
      </c>
      <c r="J32" s="4">
        <v>720</v>
      </c>
      <c r="K32" s="4">
        <v>360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3" t="s">
        <v>55</v>
      </c>
      <c r="R32" s="3">
        <v>15</v>
      </c>
      <c r="S32" s="3" t="s">
        <v>120</v>
      </c>
      <c r="U32" s="3">
        <v>25</v>
      </c>
      <c r="V32" s="3">
        <v>0</v>
      </c>
      <c r="W32" s="3">
        <v>0</v>
      </c>
    </row>
    <row r="33" spans="1:23" ht="11.25" customHeight="1" x14ac:dyDescent="0.25">
      <c r="A33" s="3" t="s">
        <v>21</v>
      </c>
      <c r="B33" s="3" t="s">
        <v>35</v>
      </c>
      <c r="C33" s="3" t="s">
        <v>53</v>
      </c>
      <c r="D33" s="3" t="s">
        <v>25</v>
      </c>
      <c r="E33" s="3" t="s">
        <v>25</v>
      </c>
      <c r="F33" s="3" t="s">
        <v>25</v>
      </c>
      <c r="G33" s="3" t="s">
        <v>56</v>
      </c>
      <c r="H33" s="3" t="s">
        <v>25</v>
      </c>
      <c r="I33" s="6">
        <v>44470</v>
      </c>
      <c r="J33" s="4">
        <v>1000</v>
      </c>
      <c r="K33" s="4">
        <v>500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3" t="s">
        <v>55</v>
      </c>
      <c r="R33" s="3">
        <v>28240</v>
      </c>
      <c r="S33" s="3" t="s">
        <v>120</v>
      </c>
      <c r="U33" s="3">
        <v>25</v>
      </c>
      <c r="V33" s="3">
        <v>0</v>
      </c>
      <c r="W33" s="3">
        <v>0</v>
      </c>
    </row>
    <row r="34" spans="1:23" ht="11.25" customHeight="1" x14ac:dyDescent="0.25">
      <c r="A34" s="3" t="s">
        <v>21</v>
      </c>
      <c r="B34" s="3" t="s">
        <v>35</v>
      </c>
      <c r="C34" s="3" t="s">
        <v>53</v>
      </c>
      <c r="D34" s="3" t="s">
        <v>25</v>
      </c>
      <c r="E34" s="3" t="s">
        <v>25</v>
      </c>
      <c r="F34" s="3" t="s">
        <v>25</v>
      </c>
      <c r="G34" s="3" t="s">
        <v>54</v>
      </c>
      <c r="H34" s="3" t="s">
        <v>25</v>
      </c>
      <c r="I34" s="6">
        <v>44501</v>
      </c>
      <c r="J34" s="4">
        <v>720</v>
      </c>
      <c r="K34" s="4">
        <v>360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3" t="s">
        <v>55</v>
      </c>
      <c r="R34" s="3">
        <v>15</v>
      </c>
      <c r="S34" s="3" t="s">
        <v>121</v>
      </c>
      <c r="U34" s="3">
        <v>25</v>
      </c>
      <c r="V34" s="3">
        <v>0</v>
      </c>
      <c r="W34" s="3">
        <v>0</v>
      </c>
    </row>
    <row r="35" spans="1:23" ht="11.25" customHeight="1" x14ac:dyDescent="0.25">
      <c r="A35" s="3" t="s">
        <v>21</v>
      </c>
      <c r="B35" s="3" t="s">
        <v>35</v>
      </c>
      <c r="C35" s="3" t="s">
        <v>53</v>
      </c>
      <c r="D35" s="3" t="s">
        <v>25</v>
      </c>
      <c r="E35" s="3" t="s">
        <v>25</v>
      </c>
      <c r="F35" s="3" t="s">
        <v>25</v>
      </c>
      <c r="G35" s="3" t="s">
        <v>56</v>
      </c>
      <c r="H35" s="3" t="s">
        <v>25</v>
      </c>
      <c r="I35" s="6">
        <v>44501</v>
      </c>
      <c r="J35" s="4">
        <v>1000</v>
      </c>
      <c r="K35" s="4">
        <v>500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3" t="s">
        <v>55</v>
      </c>
      <c r="R35" s="3">
        <v>28240</v>
      </c>
      <c r="S35" s="3" t="s">
        <v>121</v>
      </c>
      <c r="U35" s="3">
        <v>25</v>
      </c>
      <c r="V35" s="3">
        <v>0</v>
      </c>
      <c r="W35" s="3">
        <v>0</v>
      </c>
    </row>
    <row r="36" spans="1:23" ht="11.25" customHeight="1" x14ac:dyDescent="0.25">
      <c r="A36" s="3" t="s">
        <v>21</v>
      </c>
      <c r="B36" s="3" t="s">
        <v>35</v>
      </c>
      <c r="C36" s="3" t="s">
        <v>53</v>
      </c>
      <c r="D36" s="3" t="s">
        <v>25</v>
      </c>
      <c r="E36" s="3" t="s">
        <v>25</v>
      </c>
      <c r="F36" s="3" t="s">
        <v>25</v>
      </c>
      <c r="G36" s="3" t="s">
        <v>54</v>
      </c>
      <c r="H36" s="3" t="s">
        <v>25</v>
      </c>
      <c r="I36" s="6">
        <v>44531</v>
      </c>
      <c r="J36" s="4">
        <v>720</v>
      </c>
      <c r="K36" s="4">
        <v>360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3" t="s">
        <v>55</v>
      </c>
      <c r="R36" s="3">
        <v>15</v>
      </c>
      <c r="S36" s="3" t="s">
        <v>122</v>
      </c>
      <c r="U36" s="3">
        <v>25</v>
      </c>
      <c r="V36" s="3">
        <v>0</v>
      </c>
      <c r="W36" s="3">
        <v>0</v>
      </c>
    </row>
    <row r="37" spans="1:23" ht="11.25" customHeight="1" x14ac:dyDescent="0.25">
      <c r="A37" s="3" t="s">
        <v>21</v>
      </c>
      <c r="B37" s="3" t="s">
        <v>35</v>
      </c>
      <c r="C37" s="3" t="s">
        <v>53</v>
      </c>
      <c r="D37" s="3" t="s">
        <v>25</v>
      </c>
      <c r="E37" s="3" t="s">
        <v>25</v>
      </c>
      <c r="F37" s="3" t="s">
        <v>25</v>
      </c>
      <c r="G37" s="3" t="s">
        <v>56</v>
      </c>
      <c r="H37" s="3" t="s">
        <v>25</v>
      </c>
      <c r="I37" s="6">
        <v>44531</v>
      </c>
      <c r="J37" s="4">
        <v>1000</v>
      </c>
      <c r="K37" s="4">
        <v>500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3" t="s">
        <v>55</v>
      </c>
      <c r="R37" s="3">
        <v>28240</v>
      </c>
      <c r="S37" s="3" t="s">
        <v>122</v>
      </c>
      <c r="U37" s="3">
        <v>25</v>
      </c>
      <c r="V37" s="3">
        <v>0</v>
      </c>
      <c r="W37" s="3">
        <v>0</v>
      </c>
    </row>
    <row r="38" spans="1:23" ht="11.25" customHeight="1" x14ac:dyDescent="0.25">
      <c r="A38" s="3" t="s">
        <v>21</v>
      </c>
      <c r="B38" s="3" t="s">
        <v>35</v>
      </c>
      <c r="C38" s="3" t="s">
        <v>53</v>
      </c>
      <c r="D38" s="3" t="s">
        <v>25</v>
      </c>
      <c r="E38" s="3" t="s">
        <v>25</v>
      </c>
      <c r="F38" s="3" t="s">
        <v>25</v>
      </c>
      <c r="G38" s="3" t="s">
        <v>54</v>
      </c>
      <c r="H38" s="3" t="s">
        <v>25</v>
      </c>
      <c r="I38" s="6">
        <v>44562</v>
      </c>
      <c r="J38" s="4">
        <v>720</v>
      </c>
      <c r="K38" s="4">
        <v>360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3" t="s">
        <v>55</v>
      </c>
      <c r="R38" s="3">
        <v>15</v>
      </c>
      <c r="S38" s="3" t="s">
        <v>123</v>
      </c>
      <c r="U38" s="3">
        <v>25</v>
      </c>
      <c r="V38" s="3">
        <v>0</v>
      </c>
      <c r="W38" s="3">
        <v>0</v>
      </c>
    </row>
    <row r="39" spans="1:23" ht="11.25" customHeight="1" x14ac:dyDescent="0.25">
      <c r="A39" s="3" t="s">
        <v>21</v>
      </c>
      <c r="B39" s="3" t="s">
        <v>35</v>
      </c>
      <c r="C39" s="3" t="s">
        <v>53</v>
      </c>
      <c r="D39" s="3" t="s">
        <v>25</v>
      </c>
      <c r="E39" s="3" t="s">
        <v>25</v>
      </c>
      <c r="F39" s="3" t="s">
        <v>25</v>
      </c>
      <c r="G39" s="3" t="s">
        <v>56</v>
      </c>
      <c r="H39" s="3" t="s">
        <v>25</v>
      </c>
      <c r="I39" s="6">
        <v>44562</v>
      </c>
      <c r="J39" s="4">
        <v>1000</v>
      </c>
      <c r="K39" s="4">
        <v>500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3" t="s">
        <v>55</v>
      </c>
      <c r="R39" s="3">
        <v>28240</v>
      </c>
      <c r="S39" s="3" t="s">
        <v>123</v>
      </c>
      <c r="U39" s="3">
        <v>25</v>
      </c>
      <c r="V39" s="3">
        <v>0</v>
      </c>
      <c r="W39" s="3">
        <v>0</v>
      </c>
    </row>
    <row r="40" spans="1:23" ht="11.25" customHeight="1" x14ac:dyDescent="0.25">
      <c r="A40" s="3" t="s">
        <v>21</v>
      </c>
      <c r="B40" s="3" t="s">
        <v>35</v>
      </c>
      <c r="C40" s="3" t="s">
        <v>53</v>
      </c>
      <c r="D40" s="3" t="s">
        <v>25</v>
      </c>
      <c r="E40" s="3" t="s">
        <v>25</v>
      </c>
      <c r="F40" s="3" t="s">
        <v>25</v>
      </c>
      <c r="G40" s="3" t="s">
        <v>54</v>
      </c>
      <c r="H40" s="3" t="s">
        <v>25</v>
      </c>
      <c r="I40" s="6">
        <v>44593</v>
      </c>
      <c r="J40" s="4">
        <v>720</v>
      </c>
      <c r="K40" s="4">
        <v>360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3" t="s">
        <v>55</v>
      </c>
      <c r="R40" s="3">
        <v>15</v>
      </c>
      <c r="S40" s="3" t="s">
        <v>124</v>
      </c>
      <c r="U40" s="3">
        <v>25</v>
      </c>
      <c r="V40" s="3">
        <v>0</v>
      </c>
      <c r="W40" s="3">
        <v>0</v>
      </c>
    </row>
    <row r="41" spans="1:23" ht="11.25" customHeight="1" x14ac:dyDescent="0.25">
      <c r="A41" s="3" t="s">
        <v>21</v>
      </c>
      <c r="B41" s="3" t="s">
        <v>35</v>
      </c>
      <c r="C41" s="3" t="s">
        <v>53</v>
      </c>
      <c r="D41" s="3" t="s">
        <v>25</v>
      </c>
      <c r="E41" s="3" t="s">
        <v>25</v>
      </c>
      <c r="F41" s="3" t="s">
        <v>25</v>
      </c>
      <c r="G41" s="3" t="s">
        <v>56</v>
      </c>
      <c r="H41" s="3" t="s">
        <v>25</v>
      </c>
      <c r="I41" s="6">
        <v>44593</v>
      </c>
      <c r="J41" s="4">
        <v>1000</v>
      </c>
      <c r="K41" s="4">
        <v>500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3" t="s">
        <v>55</v>
      </c>
      <c r="R41" s="3">
        <v>28240</v>
      </c>
      <c r="S41" s="3" t="s">
        <v>124</v>
      </c>
      <c r="U41" s="3">
        <v>25</v>
      </c>
      <c r="V41" s="3">
        <v>0</v>
      </c>
      <c r="W41" s="3">
        <v>0</v>
      </c>
    </row>
    <row r="42" spans="1:23" ht="11.25" customHeight="1" x14ac:dyDescent="0.25">
      <c r="A42" s="3" t="s">
        <v>21</v>
      </c>
      <c r="B42" s="3" t="s">
        <v>35</v>
      </c>
      <c r="C42" s="3" t="s">
        <v>53</v>
      </c>
      <c r="D42" s="3" t="s">
        <v>25</v>
      </c>
      <c r="E42" s="3" t="s">
        <v>25</v>
      </c>
      <c r="F42" s="3" t="s">
        <v>25</v>
      </c>
      <c r="G42" s="3" t="s">
        <v>54</v>
      </c>
      <c r="H42" s="3" t="s">
        <v>25</v>
      </c>
      <c r="I42" s="6">
        <v>44621</v>
      </c>
      <c r="J42" s="4">
        <v>720</v>
      </c>
      <c r="K42" s="4">
        <v>360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3" t="s">
        <v>55</v>
      </c>
      <c r="R42" s="3">
        <v>15</v>
      </c>
      <c r="S42" s="3" t="s">
        <v>125</v>
      </c>
      <c r="U42" s="3">
        <v>25</v>
      </c>
      <c r="V42" s="3">
        <v>0</v>
      </c>
      <c r="W42" s="3">
        <v>0</v>
      </c>
    </row>
    <row r="43" spans="1:23" ht="11.25" customHeight="1" x14ac:dyDescent="0.25">
      <c r="A43" s="3" t="s">
        <v>21</v>
      </c>
      <c r="B43" s="3" t="s">
        <v>35</v>
      </c>
      <c r="C43" s="3" t="s">
        <v>53</v>
      </c>
      <c r="D43" s="3" t="s">
        <v>25</v>
      </c>
      <c r="E43" s="3" t="s">
        <v>25</v>
      </c>
      <c r="F43" s="3" t="s">
        <v>25</v>
      </c>
      <c r="G43" s="3" t="s">
        <v>56</v>
      </c>
      <c r="H43" s="3" t="s">
        <v>25</v>
      </c>
      <c r="I43" s="6">
        <v>44621</v>
      </c>
      <c r="J43" s="4">
        <v>1000</v>
      </c>
      <c r="K43" s="4">
        <v>500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3" t="s">
        <v>55</v>
      </c>
      <c r="R43" s="3">
        <v>28240</v>
      </c>
      <c r="S43" s="3" t="s">
        <v>125</v>
      </c>
      <c r="U43" s="3">
        <v>25</v>
      </c>
      <c r="V43" s="3">
        <v>0</v>
      </c>
      <c r="W43" s="3">
        <v>0</v>
      </c>
    </row>
    <row r="44" spans="1:23" ht="11.25" customHeight="1" x14ac:dyDescent="0.25">
      <c r="A44" s="3" t="s">
        <v>21</v>
      </c>
      <c r="B44" s="3" t="s">
        <v>35</v>
      </c>
      <c r="C44" s="3" t="s">
        <v>53</v>
      </c>
      <c r="D44" s="3" t="s">
        <v>25</v>
      </c>
      <c r="E44" s="3" t="s">
        <v>25</v>
      </c>
      <c r="F44" s="3" t="s">
        <v>25</v>
      </c>
      <c r="G44" s="3" t="s">
        <v>54</v>
      </c>
      <c r="H44" s="3" t="s">
        <v>25</v>
      </c>
      <c r="I44" s="6">
        <v>44652</v>
      </c>
      <c r="J44" s="4">
        <v>720</v>
      </c>
      <c r="K44" s="4">
        <v>360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3" t="s">
        <v>55</v>
      </c>
      <c r="R44" s="3">
        <v>15</v>
      </c>
      <c r="S44" s="3" t="s">
        <v>126</v>
      </c>
      <c r="U44" s="3">
        <v>25</v>
      </c>
      <c r="V44" s="3">
        <v>0</v>
      </c>
      <c r="W44" s="3">
        <v>0</v>
      </c>
    </row>
    <row r="45" spans="1:23" ht="11.25" customHeight="1" x14ac:dyDescent="0.25">
      <c r="A45" s="3" t="s">
        <v>21</v>
      </c>
      <c r="B45" s="3" t="s">
        <v>35</v>
      </c>
      <c r="C45" s="3" t="s">
        <v>53</v>
      </c>
      <c r="D45" s="3" t="s">
        <v>25</v>
      </c>
      <c r="E45" s="3" t="s">
        <v>25</v>
      </c>
      <c r="F45" s="3" t="s">
        <v>25</v>
      </c>
      <c r="G45" s="3" t="s">
        <v>56</v>
      </c>
      <c r="H45" s="3" t="s">
        <v>25</v>
      </c>
      <c r="I45" s="6">
        <v>44652</v>
      </c>
      <c r="J45" s="4">
        <v>1000</v>
      </c>
      <c r="K45" s="4">
        <v>500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3" t="s">
        <v>55</v>
      </c>
      <c r="R45" s="3">
        <v>28240</v>
      </c>
      <c r="S45" s="3" t="s">
        <v>126</v>
      </c>
      <c r="U45" s="3">
        <v>25</v>
      </c>
      <c r="V45" s="3">
        <v>0</v>
      </c>
      <c r="W45" s="3">
        <v>0</v>
      </c>
    </row>
    <row r="46" spans="1:23" ht="11.25" customHeight="1" x14ac:dyDescent="0.25">
      <c r="A46" s="3" t="s">
        <v>21</v>
      </c>
      <c r="B46" s="3" t="s">
        <v>35</v>
      </c>
      <c r="C46" s="3" t="s">
        <v>53</v>
      </c>
      <c r="D46" s="3" t="s">
        <v>25</v>
      </c>
      <c r="E46" s="3" t="s">
        <v>25</v>
      </c>
      <c r="F46" s="3" t="s">
        <v>25</v>
      </c>
      <c r="G46" s="3" t="s">
        <v>54</v>
      </c>
      <c r="H46" s="3" t="s">
        <v>25</v>
      </c>
      <c r="I46" s="6">
        <v>44682</v>
      </c>
      <c r="J46" s="4">
        <v>720</v>
      </c>
      <c r="K46" s="4">
        <v>360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3" t="s">
        <v>55</v>
      </c>
      <c r="R46" s="3">
        <v>15</v>
      </c>
      <c r="S46" s="3" t="s">
        <v>127</v>
      </c>
      <c r="U46" s="3">
        <v>25</v>
      </c>
      <c r="V46" s="3">
        <v>0</v>
      </c>
      <c r="W46" s="3">
        <v>0</v>
      </c>
    </row>
    <row r="47" spans="1:23" ht="11.25" customHeight="1" x14ac:dyDescent="0.25">
      <c r="A47" s="3" t="s">
        <v>21</v>
      </c>
      <c r="B47" s="3" t="s">
        <v>35</v>
      </c>
      <c r="C47" s="3" t="s">
        <v>53</v>
      </c>
      <c r="D47" s="3" t="s">
        <v>25</v>
      </c>
      <c r="E47" s="3" t="s">
        <v>25</v>
      </c>
      <c r="F47" s="3" t="s">
        <v>25</v>
      </c>
      <c r="G47" s="3" t="s">
        <v>56</v>
      </c>
      <c r="H47" s="3" t="s">
        <v>25</v>
      </c>
      <c r="I47" s="6">
        <v>44682</v>
      </c>
      <c r="J47" s="4">
        <v>1000</v>
      </c>
      <c r="K47" s="4">
        <v>500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3" t="s">
        <v>55</v>
      </c>
      <c r="R47" s="3">
        <v>28240</v>
      </c>
      <c r="S47" s="3" t="s">
        <v>127</v>
      </c>
      <c r="U47" s="3">
        <v>25</v>
      </c>
      <c r="V47" s="3">
        <v>0</v>
      </c>
      <c r="W47" s="3">
        <v>0</v>
      </c>
    </row>
    <row r="48" spans="1:23" ht="11.25" customHeight="1" x14ac:dyDescent="0.25">
      <c r="A48" s="3" t="s">
        <v>21</v>
      </c>
      <c r="B48" s="3" t="s">
        <v>35</v>
      </c>
      <c r="C48" s="3" t="s">
        <v>53</v>
      </c>
      <c r="D48" s="3" t="s">
        <v>25</v>
      </c>
      <c r="E48" s="3" t="s">
        <v>25</v>
      </c>
      <c r="F48" s="3" t="s">
        <v>25</v>
      </c>
      <c r="G48" s="3" t="s">
        <v>54</v>
      </c>
      <c r="H48" s="3" t="s">
        <v>25</v>
      </c>
      <c r="I48" s="6">
        <v>44713</v>
      </c>
      <c r="J48" s="4">
        <v>720</v>
      </c>
      <c r="K48" s="4">
        <v>360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3" t="s">
        <v>55</v>
      </c>
      <c r="R48" s="3">
        <v>15</v>
      </c>
      <c r="S48" s="3" t="s">
        <v>128</v>
      </c>
      <c r="U48" s="3">
        <v>25</v>
      </c>
      <c r="V48" s="3">
        <v>0</v>
      </c>
      <c r="W48" s="3">
        <v>0</v>
      </c>
    </row>
    <row r="49" spans="1:23" ht="11.25" customHeight="1" x14ac:dyDescent="0.25">
      <c r="A49" s="3" t="s">
        <v>21</v>
      </c>
      <c r="B49" s="3" t="s">
        <v>35</v>
      </c>
      <c r="C49" s="3" t="s">
        <v>53</v>
      </c>
      <c r="D49" s="3" t="s">
        <v>25</v>
      </c>
      <c r="E49" s="3" t="s">
        <v>25</v>
      </c>
      <c r="F49" s="3" t="s">
        <v>25</v>
      </c>
      <c r="G49" s="3" t="s">
        <v>56</v>
      </c>
      <c r="H49" s="3" t="s">
        <v>25</v>
      </c>
      <c r="I49" s="6">
        <v>44713</v>
      </c>
      <c r="J49" s="4">
        <v>1000</v>
      </c>
      <c r="K49" s="4">
        <v>500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3" t="s">
        <v>55</v>
      </c>
      <c r="R49" s="3">
        <v>28240</v>
      </c>
      <c r="S49" s="3" t="s">
        <v>128</v>
      </c>
      <c r="U49" s="3">
        <v>25</v>
      </c>
      <c r="V49" s="3">
        <v>0</v>
      </c>
      <c r="W49" s="3">
        <v>0</v>
      </c>
    </row>
    <row r="50" spans="1:23" ht="11.25" customHeight="1" x14ac:dyDescent="0.25">
      <c r="A50" s="3" t="s">
        <v>21</v>
      </c>
      <c r="B50" s="3" t="s">
        <v>35</v>
      </c>
      <c r="C50" s="3" t="s">
        <v>39</v>
      </c>
      <c r="D50" s="3" t="s">
        <v>40</v>
      </c>
      <c r="E50" s="3" t="s">
        <v>25</v>
      </c>
      <c r="F50" s="3" t="s">
        <v>25</v>
      </c>
      <c r="G50" s="3" t="s">
        <v>25</v>
      </c>
      <c r="H50" s="3" t="s">
        <v>38</v>
      </c>
      <c r="I50" s="6">
        <v>44378</v>
      </c>
      <c r="J50" s="4">
        <v>0</v>
      </c>
      <c r="K50" s="4">
        <v>0</v>
      </c>
      <c r="L50" s="4">
        <v>94.724999999999994</v>
      </c>
      <c r="M50" s="4">
        <v>94.724999999999994</v>
      </c>
      <c r="N50" s="4">
        <v>94.724999999999994</v>
      </c>
      <c r="O50" s="4">
        <v>94.724999999999994</v>
      </c>
      <c r="P50" s="4">
        <v>0</v>
      </c>
      <c r="Q50" s="3" t="s">
        <v>26</v>
      </c>
      <c r="R50" s="3">
        <v>0</v>
      </c>
      <c r="S50" s="3" t="s">
        <v>129</v>
      </c>
      <c r="T50" s="3" t="s">
        <v>262</v>
      </c>
      <c r="U50" s="3">
        <v>0</v>
      </c>
      <c r="V50" s="3">
        <v>3</v>
      </c>
      <c r="W50" s="3">
        <v>48</v>
      </c>
    </row>
    <row r="51" spans="1:23" ht="11.25" customHeight="1" x14ac:dyDescent="0.25">
      <c r="A51" s="3" t="s">
        <v>28</v>
      </c>
      <c r="B51" s="3" t="s">
        <v>35</v>
      </c>
      <c r="C51" s="3" t="s">
        <v>39</v>
      </c>
      <c r="D51" s="3" t="s">
        <v>40</v>
      </c>
      <c r="E51" s="3" t="s">
        <v>25</v>
      </c>
      <c r="F51" s="3" t="s">
        <v>25</v>
      </c>
      <c r="G51" s="3" t="s">
        <v>25</v>
      </c>
      <c r="H51" s="3" t="s">
        <v>38</v>
      </c>
      <c r="I51" s="6">
        <v>44378</v>
      </c>
      <c r="J51" s="4">
        <v>0</v>
      </c>
      <c r="K51" s="4">
        <v>0</v>
      </c>
      <c r="L51" s="4">
        <v>5.383</v>
      </c>
      <c r="M51" s="4">
        <v>5.383</v>
      </c>
      <c r="N51" s="4">
        <v>5.383</v>
      </c>
      <c r="O51" s="4">
        <v>5.383</v>
      </c>
      <c r="P51" s="4">
        <v>0</v>
      </c>
      <c r="Q51" s="3" t="s">
        <v>26</v>
      </c>
      <c r="R51" s="3">
        <v>0</v>
      </c>
      <c r="S51" s="3" t="s">
        <v>129</v>
      </c>
      <c r="T51" s="3" t="s">
        <v>262</v>
      </c>
      <c r="U51" s="3">
        <v>0</v>
      </c>
      <c r="V51" s="3">
        <v>3</v>
      </c>
      <c r="W51" s="3">
        <v>48</v>
      </c>
    </row>
    <row r="52" spans="1:23" ht="11.25" customHeight="1" x14ac:dyDescent="0.25">
      <c r="A52" s="3" t="s">
        <v>21</v>
      </c>
      <c r="B52" s="3" t="s">
        <v>35</v>
      </c>
      <c r="C52" s="3" t="s">
        <v>39</v>
      </c>
      <c r="D52" s="3" t="s">
        <v>40</v>
      </c>
      <c r="E52" s="3" t="s">
        <v>25</v>
      </c>
      <c r="F52" s="3" t="s">
        <v>25</v>
      </c>
      <c r="G52" s="3" t="s">
        <v>25</v>
      </c>
      <c r="H52" s="3" t="s">
        <v>38</v>
      </c>
      <c r="I52" s="6">
        <v>44409</v>
      </c>
      <c r="J52" s="4">
        <v>0</v>
      </c>
      <c r="K52" s="4">
        <v>0</v>
      </c>
      <c r="L52" s="4">
        <v>86.697999999999993</v>
      </c>
      <c r="M52" s="4">
        <v>86.697999999999993</v>
      </c>
      <c r="N52" s="4">
        <v>86.697999999999993</v>
      </c>
      <c r="O52" s="4">
        <v>86.697999999999993</v>
      </c>
      <c r="P52" s="4">
        <v>0</v>
      </c>
      <c r="Q52" s="3" t="s">
        <v>26</v>
      </c>
      <c r="R52" s="3">
        <v>0</v>
      </c>
      <c r="S52" s="3" t="s">
        <v>130</v>
      </c>
      <c r="T52" s="3" t="s">
        <v>263</v>
      </c>
      <c r="U52" s="3">
        <v>0</v>
      </c>
      <c r="V52" s="3">
        <v>3</v>
      </c>
      <c r="W52" s="3">
        <v>48</v>
      </c>
    </row>
    <row r="53" spans="1:23" ht="11.25" customHeight="1" x14ac:dyDescent="0.25">
      <c r="A53" s="3" t="s">
        <v>21</v>
      </c>
      <c r="B53" s="3" t="s">
        <v>35</v>
      </c>
      <c r="C53" s="3" t="s">
        <v>39</v>
      </c>
      <c r="D53" s="3" t="s">
        <v>40</v>
      </c>
      <c r="E53" s="3" t="s">
        <v>25</v>
      </c>
      <c r="F53" s="3" t="s">
        <v>25</v>
      </c>
      <c r="G53" s="3" t="s">
        <v>25</v>
      </c>
      <c r="H53" s="3" t="s">
        <v>38</v>
      </c>
      <c r="I53" s="6">
        <v>44440</v>
      </c>
      <c r="J53" s="4">
        <v>0</v>
      </c>
      <c r="K53" s="4">
        <v>0</v>
      </c>
      <c r="L53" s="4">
        <v>94.786000000000001</v>
      </c>
      <c r="M53" s="4">
        <v>94.786000000000001</v>
      </c>
      <c r="N53" s="4">
        <v>94.786000000000001</v>
      </c>
      <c r="O53" s="4">
        <v>94.786000000000001</v>
      </c>
      <c r="P53" s="4">
        <v>0</v>
      </c>
      <c r="Q53" s="3" t="s">
        <v>26</v>
      </c>
      <c r="R53" s="3">
        <v>0</v>
      </c>
      <c r="S53" s="3" t="s">
        <v>131</v>
      </c>
      <c r="T53" s="3" t="s">
        <v>264</v>
      </c>
      <c r="U53" s="3">
        <v>0</v>
      </c>
      <c r="V53" s="3">
        <v>3</v>
      </c>
      <c r="W53" s="3">
        <v>48</v>
      </c>
    </row>
    <row r="54" spans="1:23" ht="11.25" customHeight="1" x14ac:dyDescent="0.25">
      <c r="A54" s="3" t="s">
        <v>28</v>
      </c>
      <c r="B54" s="3" t="s">
        <v>35</v>
      </c>
      <c r="C54" s="3" t="s">
        <v>39</v>
      </c>
      <c r="D54" s="3" t="s">
        <v>40</v>
      </c>
      <c r="E54" s="3" t="s">
        <v>25</v>
      </c>
      <c r="F54" s="3" t="s">
        <v>25</v>
      </c>
      <c r="G54" s="3" t="s">
        <v>25</v>
      </c>
      <c r="H54" s="3" t="s">
        <v>38</v>
      </c>
      <c r="I54" s="6">
        <v>44440</v>
      </c>
      <c r="J54" s="4">
        <v>0</v>
      </c>
      <c r="K54" s="4">
        <v>0</v>
      </c>
      <c r="L54" s="4">
        <v>4.5970000000000004</v>
      </c>
      <c r="M54" s="4">
        <v>4.5970000000000004</v>
      </c>
      <c r="N54" s="4">
        <v>4.5970000000000004</v>
      </c>
      <c r="O54" s="4">
        <v>4.5970000000000004</v>
      </c>
      <c r="P54" s="4">
        <v>0</v>
      </c>
      <c r="Q54" s="3" t="s">
        <v>26</v>
      </c>
      <c r="R54" s="3">
        <v>0</v>
      </c>
      <c r="S54" s="3" t="s">
        <v>131</v>
      </c>
      <c r="T54" s="3" t="s">
        <v>264</v>
      </c>
      <c r="U54" s="3">
        <v>0</v>
      </c>
      <c r="V54" s="3">
        <v>3</v>
      </c>
      <c r="W54" s="3">
        <v>48</v>
      </c>
    </row>
    <row r="55" spans="1:23" ht="11.25" customHeight="1" x14ac:dyDescent="0.25">
      <c r="A55" s="3" t="s">
        <v>21</v>
      </c>
      <c r="B55" s="3" t="s">
        <v>35</v>
      </c>
      <c r="C55" s="3" t="s">
        <v>39</v>
      </c>
      <c r="D55" s="3" t="s">
        <v>40</v>
      </c>
      <c r="E55" s="3" t="s">
        <v>25</v>
      </c>
      <c r="F55" s="3" t="s">
        <v>25</v>
      </c>
      <c r="G55" s="3" t="s">
        <v>25</v>
      </c>
      <c r="H55" s="3" t="s">
        <v>38</v>
      </c>
      <c r="I55" s="6">
        <v>44470</v>
      </c>
      <c r="J55" s="4">
        <v>0</v>
      </c>
      <c r="K55" s="4">
        <v>0</v>
      </c>
      <c r="L55" s="4">
        <v>129.74700000000001</v>
      </c>
      <c r="M55" s="4">
        <v>129.74700000000001</v>
      </c>
      <c r="N55" s="4">
        <v>129.74700000000001</v>
      </c>
      <c r="O55" s="4">
        <v>129.74700000000001</v>
      </c>
      <c r="P55" s="4">
        <v>0</v>
      </c>
      <c r="Q55" s="3" t="s">
        <v>26</v>
      </c>
      <c r="R55" s="3">
        <v>0</v>
      </c>
      <c r="S55" s="3" t="s">
        <v>132</v>
      </c>
      <c r="T55" s="3" t="s">
        <v>265</v>
      </c>
      <c r="U55" s="3">
        <v>0</v>
      </c>
      <c r="V55" s="3">
        <v>3</v>
      </c>
      <c r="W55" s="3">
        <v>48</v>
      </c>
    </row>
    <row r="56" spans="1:23" ht="11.25" customHeight="1" x14ac:dyDescent="0.25">
      <c r="A56" s="3" t="s">
        <v>28</v>
      </c>
      <c r="B56" s="3" t="s">
        <v>35</v>
      </c>
      <c r="C56" s="3" t="s">
        <v>39</v>
      </c>
      <c r="D56" s="3" t="s">
        <v>40</v>
      </c>
      <c r="E56" s="3" t="s">
        <v>25</v>
      </c>
      <c r="F56" s="3" t="s">
        <v>25</v>
      </c>
      <c r="G56" s="3" t="s">
        <v>25</v>
      </c>
      <c r="H56" s="3" t="s">
        <v>38</v>
      </c>
      <c r="I56" s="6">
        <v>44470</v>
      </c>
      <c r="J56" s="4">
        <v>0</v>
      </c>
      <c r="K56" s="4">
        <v>0</v>
      </c>
      <c r="L56" s="4">
        <v>10.166</v>
      </c>
      <c r="M56" s="4">
        <v>10.166</v>
      </c>
      <c r="N56" s="4">
        <v>10.166</v>
      </c>
      <c r="O56" s="4">
        <v>10.166</v>
      </c>
      <c r="P56" s="4">
        <v>0</v>
      </c>
      <c r="Q56" s="3" t="s">
        <v>26</v>
      </c>
      <c r="R56" s="3">
        <v>0</v>
      </c>
      <c r="S56" s="3" t="s">
        <v>132</v>
      </c>
      <c r="T56" s="3" t="s">
        <v>265</v>
      </c>
      <c r="U56" s="3">
        <v>0</v>
      </c>
      <c r="V56" s="3">
        <v>3</v>
      </c>
      <c r="W56" s="3">
        <v>48</v>
      </c>
    </row>
    <row r="57" spans="1:23" ht="11.25" customHeight="1" x14ac:dyDescent="0.25">
      <c r="A57" s="3" t="s">
        <v>21</v>
      </c>
      <c r="B57" s="3" t="s">
        <v>35</v>
      </c>
      <c r="C57" s="3" t="s">
        <v>39</v>
      </c>
      <c r="D57" s="3" t="s">
        <v>40</v>
      </c>
      <c r="E57" s="3" t="s">
        <v>25</v>
      </c>
      <c r="F57" s="3" t="s">
        <v>25</v>
      </c>
      <c r="G57" s="3" t="s">
        <v>25</v>
      </c>
      <c r="H57" s="3" t="s">
        <v>38</v>
      </c>
      <c r="I57" s="6">
        <v>44501</v>
      </c>
      <c r="J57" s="4">
        <v>0</v>
      </c>
      <c r="K57" s="4">
        <v>0</v>
      </c>
      <c r="L57" s="4">
        <v>178.274</v>
      </c>
      <c r="M57" s="4">
        <v>178.274</v>
      </c>
      <c r="N57" s="4">
        <v>178.274</v>
      </c>
      <c r="O57" s="4">
        <v>178.274</v>
      </c>
      <c r="P57" s="4">
        <v>0</v>
      </c>
      <c r="Q57" s="3" t="s">
        <v>26</v>
      </c>
      <c r="R57" s="3">
        <v>0</v>
      </c>
      <c r="S57" s="3" t="s">
        <v>133</v>
      </c>
      <c r="T57" s="3" t="s">
        <v>266</v>
      </c>
      <c r="U57" s="3">
        <v>0</v>
      </c>
      <c r="V57" s="3">
        <v>3</v>
      </c>
      <c r="W57" s="3">
        <v>48</v>
      </c>
    </row>
    <row r="58" spans="1:23" ht="11.25" customHeight="1" x14ac:dyDescent="0.25">
      <c r="A58" s="3" t="s">
        <v>28</v>
      </c>
      <c r="B58" s="3" t="s">
        <v>35</v>
      </c>
      <c r="C58" s="3" t="s">
        <v>39</v>
      </c>
      <c r="D58" s="3" t="s">
        <v>40</v>
      </c>
      <c r="E58" s="3" t="s">
        <v>25</v>
      </c>
      <c r="F58" s="3" t="s">
        <v>25</v>
      </c>
      <c r="G58" s="3" t="s">
        <v>25</v>
      </c>
      <c r="H58" s="3" t="s">
        <v>38</v>
      </c>
      <c r="I58" s="6">
        <v>44501</v>
      </c>
      <c r="J58" s="4">
        <v>0</v>
      </c>
      <c r="K58" s="4">
        <v>0</v>
      </c>
      <c r="L58" s="4">
        <v>19.777999999999999</v>
      </c>
      <c r="M58" s="4">
        <v>19.777999999999999</v>
      </c>
      <c r="N58" s="4">
        <v>19.777999999999999</v>
      </c>
      <c r="O58" s="4">
        <v>19.777999999999999</v>
      </c>
      <c r="P58" s="4">
        <v>0</v>
      </c>
      <c r="Q58" s="3" t="s">
        <v>26</v>
      </c>
      <c r="R58" s="3">
        <v>0</v>
      </c>
      <c r="S58" s="3" t="s">
        <v>133</v>
      </c>
      <c r="T58" s="3" t="s">
        <v>266</v>
      </c>
      <c r="U58" s="3">
        <v>0</v>
      </c>
      <c r="V58" s="3">
        <v>3</v>
      </c>
      <c r="W58" s="3">
        <v>48</v>
      </c>
    </row>
    <row r="59" spans="1:23" ht="11.25" customHeight="1" x14ac:dyDescent="0.25">
      <c r="A59" s="3" t="s">
        <v>21</v>
      </c>
      <c r="B59" s="3" t="s">
        <v>35</v>
      </c>
      <c r="C59" s="3" t="s">
        <v>39</v>
      </c>
      <c r="D59" s="3" t="s">
        <v>40</v>
      </c>
      <c r="E59" s="3" t="s">
        <v>25</v>
      </c>
      <c r="F59" s="3" t="s">
        <v>25</v>
      </c>
      <c r="G59" s="3" t="s">
        <v>25</v>
      </c>
      <c r="H59" s="3" t="s">
        <v>38</v>
      </c>
      <c r="I59" s="6">
        <v>44531</v>
      </c>
      <c r="J59" s="4">
        <v>0</v>
      </c>
      <c r="K59" s="4">
        <v>0</v>
      </c>
      <c r="L59" s="4">
        <v>142.62100000000001</v>
      </c>
      <c r="M59" s="4">
        <v>142.62100000000001</v>
      </c>
      <c r="N59" s="4">
        <v>142.62100000000001</v>
      </c>
      <c r="O59" s="4">
        <v>142.62100000000001</v>
      </c>
      <c r="P59" s="4">
        <v>0</v>
      </c>
      <c r="Q59" s="3" t="s">
        <v>26</v>
      </c>
      <c r="R59" s="3">
        <v>0</v>
      </c>
      <c r="S59" s="3" t="s">
        <v>134</v>
      </c>
      <c r="T59" s="3" t="s">
        <v>267</v>
      </c>
      <c r="U59" s="3">
        <v>0</v>
      </c>
      <c r="V59" s="3">
        <v>3</v>
      </c>
      <c r="W59" s="3">
        <v>48</v>
      </c>
    </row>
    <row r="60" spans="1:23" ht="11.25" customHeight="1" x14ac:dyDescent="0.25">
      <c r="A60" s="3" t="s">
        <v>21</v>
      </c>
      <c r="B60" s="3" t="s">
        <v>35</v>
      </c>
      <c r="C60" s="3" t="s">
        <v>39</v>
      </c>
      <c r="D60" s="3" t="s">
        <v>40</v>
      </c>
      <c r="E60" s="3" t="s">
        <v>25</v>
      </c>
      <c r="F60" s="3" t="s">
        <v>25</v>
      </c>
      <c r="G60" s="3" t="s">
        <v>25</v>
      </c>
      <c r="H60" s="3" t="s">
        <v>38</v>
      </c>
      <c r="I60" s="6">
        <v>44562</v>
      </c>
      <c r="J60" s="4">
        <v>0</v>
      </c>
      <c r="K60" s="4">
        <v>0</v>
      </c>
      <c r="L60" s="4">
        <v>153.30799999999999</v>
      </c>
      <c r="M60" s="4">
        <v>153.30799999999999</v>
      </c>
      <c r="N60" s="4">
        <v>153.30799999999999</v>
      </c>
      <c r="O60" s="4">
        <v>153.30799999999999</v>
      </c>
      <c r="P60" s="4">
        <v>0</v>
      </c>
      <c r="Q60" s="3" t="s">
        <v>26</v>
      </c>
      <c r="R60" s="3">
        <v>0</v>
      </c>
      <c r="S60" s="3" t="s">
        <v>135</v>
      </c>
      <c r="T60" s="3" t="s">
        <v>268</v>
      </c>
      <c r="U60" s="3">
        <v>0</v>
      </c>
      <c r="V60" s="3">
        <v>3</v>
      </c>
      <c r="W60" s="3">
        <v>48</v>
      </c>
    </row>
    <row r="61" spans="1:23" ht="11.25" customHeight="1" x14ac:dyDescent="0.25">
      <c r="A61" s="3" t="s">
        <v>21</v>
      </c>
      <c r="B61" s="3" t="s">
        <v>35</v>
      </c>
      <c r="C61" s="3" t="s">
        <v>39</v>
      </c>
      <c r="D61" s="3" t="s">
        <v>40</v>
      </c>
      <c r="E61" s="3" t="s">
        <v>25</v>
      </c>
      <c r="F61" s="3" t="s">
        <v>25</v>
      </c>
      <c r="G61" s="3" t="s">
        <v>25</v>
      </c>
      <c r="H61" s="3" t="s">
        <v>38</v>
      </c>
      <c r="I61" s="6">
        <v>44593</v>
      </c>
      <c r="J61" s="4">
        <v>0</v>
      </c>
      <c r="K61" s="4">
        <v>0</v>
      </c>
      <c r="L61" s="4">
        <v>141.02199999999999</v>
      </c>
      <c r="M61" s="4">
        <v>141.02199999999999</v>
      </c>
      <c r="N61" s="4">
        <v>141.02199999999999</v>
      </c>
      <c r="O61" s="4">
        <v>141.02199999999999</v>
      </c>
      <c r="P61" s="4">
        <v>0</v>
      </c>
      <c r="Q61" s="3" t="s">
        <v>26</v>
      </c>
      <c r="R61" s="3">
        <v>0</v>
      </c>
      <c r="S61" s="3" t="s">
        <v>136</v>
      </c>
      <c r="T61" s="3" t="s">
        <v>269</v>
      </c>
      <c r="U61" s="3">
        <v>0</v>
      </c>
      <c r="V61" s="3">
        <v>3</v>
      </c>
      <c r="W61" s="3">
        <v>48</v>
      </c>
    </row>
    <row r="62" spans="1:23" ht="11.25" customHeight="1" x14ac:dyDescent="0.25">
      <c r="A62" s="3" t="s">
        <v>28</v>
      </c>
      <c r="B62" s="3" t="s">
        <v>35</v>
      </c>
      <c r="C62" s="3" t="s">
        <v>39</v>
      </c>
      <c r="D62" s="3" t="s">
        <v>40</v>
      </c>
      <c r="E62" s="3" t="s">
        <v>25</v>
      </c>
      <c r="F62" s="3" t="s">
        <v>25</v>
      </c>
      <c r="G62" s="3" t="s">
        <v>25</v>
      </c>
      <c r="H62" s="3" t="s">
        <v>38</v>
      </c>
      <c r="I62" s="6">
        <v>44593</v>
      </c>
      <c r="J62" s="4">
        <v>0</v>
      </c>
      <c r="K62" s="4">
        <v>0</v>
      </c>
      <c r="L62" s="4">
        <v>9.3350000000000009</v>
      </c>
      <c r="M62" s="4">
        <v>9.3350000000000009</v>
      </c>
      <c r="N62" s="4">
        <v>9.3350000000000009</v>
      </c>
      <c r="O62" s="4">
        <v>9.3350000000000009</v>
      </c>
      <c r="P62" s="4">
        <v>0</v>
      </c>
      <c r="Q62" s="3" t="s">
        <v>26</v>
      </c>
      <c r="R62" s="3">
        <v>0</v>
      </c>
      <c r="S62" s="3" t="s">
        <v>136</v>
      </c>
      <c r="T62" s="3" t="s">
        <v>269</v>
      </c>
      <c r="U62" s="3">
        <v>0</v>
      </c>
      <c r="V62" s="3">
        <v>3</v>
      </c>
      <c r="W62" s="3">
        <v>48</v>
      </c>
    </row>
    <row r="63" spans="1:23" ht="11.25" customHeight="1" x14ac:dyDescent="0.25">
      <c r="A63" s="3" t="s">
        <v>21</v>
      </c>
      <c r="B63" s="3" t="s">
        <v>35</v>
      </c>
      <c r="C63" s="3" t="s">
        <v>39</v>
      </c>
      <c r="D63" s="3" t="s">
        <v>40</v>
      </c>
      <c r="E63" s="3" t="s">
        <v>25</v>
      </c>
      <c r="F63" s="3" t="s">
        <v>25</v>
      </c>
      <c r="G63" s="3" t="s">
        <v>25</v>
      </c>
      <c r="H63" s="3" t="s">
        <v>38</v>
      </c>
      <c r="I63" s="6">
        <v>44621</v>
      </c>
      <c r="J63" s="4">
        <v>0</v>
      </c>
      <c r="K63" s="4">
        <v>0</v>
      </c>
      <c r="L63" s="4">
        <v>176.18600000000001</v>
      </c>
      <c r="M63" s="4">
        <v>176.18600000000001</v>
      </c>
      <c r="N63" s="4">
        <v>176.18600000000001</v>
      </c>
      <c r="O63" s="4">
        <v>176.18600000000001</v>
      </c>
      <c r="P63" s="4">
        <v>0</v>
      </c>
      <c r="Q63" s="3" t="s">
        <v>26</v>
      </c>
      <c r="R63" s="3">
        <v>0</v>
      </c>
      <c r="S63" s="3" t="s">
        <v>137</v>
      </c>
      <c r="T63" s="3" t="s">
        <v>270</v>
      </c>
      <c r="U63" s="3">
        <v>0</v>
      </c>
      <c r="V63" s="3">
        <v>3</v>
      </c>
      <c r="W63" s="3">
        <v>48</v>
      </c>
    </row>
    <row r="64" spans="1:23" ht="11.25" customHeight="1" x14ac:dyDescent="0.25">
      <c r="A64" s="3" t="s">
        <v>28</v>
      </c>
      <c r="B64" s="3" t="s">
        <v>35</v>
      </c>
      <c r="C64" s="3" t="s">
        <v>39</v>
      </c>
      <c r="D64" s="3" t="s">
        <v>40</v>
      </c>
      <c r="E64" s="3" t="s">
        <v>25</v>
      </c>
      <c r="F64" s="3" t="s">
        <v>25</v>
      </c>
      <c r="G64" s="3" t="s">
        <v>25</v>
      </c>
      <c r="H64" s="3" t="s">
        <v>38</v>
      </c>
      <c r="I64" s="6">
        <v>44621</v>
      </c>
      <c r="J64" s="4">
        <v>0</v>
      </c>
      <c r="K64" s="4">
        <v>0</v>
      </c>
      <c r="L64" s="4">
        <v>17.908999999999999</v>
      </c>
      <c r="M64" s="4">
        <v>17.908999999999999</v>
      </c>
      <c r="N64" s="4">
        <v>17.908999999999999</v>
      </c>
      <c r="O64" s="4">
        <v>17.908999999999999</v>
      </c>
      <c r="P64" s="4">
        <v>0</v>
      </c>
      <c r="Q64" s="3" t="s">
        <v>26</v>
      </c>
      <c r="R64" s="3">
        <v>0</v>
      </c>
      <c r="S64" s="3" t="s">
        <v>137</v>
      </c>
      <c r="T64" s="3" t="s">
        <v>270</v>
      </c>
      <c r="U64" s="3">
        <v>0</v>
      </c>
      <c r="V64" s="3">
        <v>3</v>
      </c>
      <c r="W64" s="3">
        <v>48</v>
      </c>
    </row>
    <row r="65" spans="1:23" ht="11.25" customHeight="1" x14ac:dyDescent="0.25">
      <c r="A65" s="3" t="s">
        <v>21</v>
      </c>
      <c r="B65" s="3" t="s">
        <v>35</v>
      </c>
      <c r="C65" s="3" t="s">
        <v>39</v>
      </c>
      <c r="D65" s="3" t="s">
        <v>40</v>
      </c>
      <c r="E65" s="3" t="s">
        <v>25</v>
      </c>
      <c r="F65" s="3" t="s">
        <v>25</v>
      </c>
      <c r="G65" s="3" t="s">
        <v>25</v>
      </c>
      <c r="H65" s="3" t="s">
        <v>38</v>
      </c>
      <c r="I65" s="6">
        <v>44652</v>
      </c>
      <c r="J65" s="4">
        <v>0</v>
      </c>
      <c r="K65" s="4">
        <v>0</v>
      </c>
      <c r="L65" s="4">
        <v>212.08099999999999</v>
      </c>
      <c r="M65" s="4">
        <v>212.08099999999999</v>
      </c>
      <c r="N65" s="4">
        <v>212.08099999999999</v>
      </c>
      <c r="O65" s="4">
        <v>212.08099999999999</v>
      </c>
      <c r="P65" s="4">
        <v>0</v>
      </c>
      <c r="Q65" s="3" t="s">
        <v>26</v>
      </c>
      <c r="R65" s="3">
        <v>0</v>
      </c>
      <c r="S65" s="3" t="s">
        <v>138</v>
      </c>
      <c r="T65" s="3" t="s">
        <v>271</v>
      </c>
      <c r="U65" s="3">
        <v>0</v>
      </c>
      <c r="V65" s="3">
        <v>3</v>
      </c>
      <c r="W65" s="3">
        <v>48</v>
      </c>
    </row>
    <row r="66" spans="1:23" ht="11.25" customHeight="1" x14ac:dyDescent="0.25">
      <c r="A66" s="3" t="s">
        <v>28</v>
      </c>
      <c r="B66" s="3" t="s">
        <v>35</v>
      </c>
      <c r="C66" s="3" t="s">
        <v>39</v>
      </c>
      <c r="D66" s="3" t="s">
        <v>40</v>
      </c>
      <c r="E66" s="3" t="s">
        <v>25</v>
      </c>
      <c r="F66" s="3" t="s">
        <v>25</v>
      </c>
      <c r="G66" s="3" t="s">
        <v>25</v>
      </c>
      <c r="H66" s="3" t="s">
        <v>38</v>
      </c>
      <c r="I66" s="6">
        <v>44652</v>
      </c>
      <c r="J66" s="4">
        <v>0</v>
      </c>
      <c r="K66" s="4">
        <v>0</v>
      </c>
      <c r="L66" s="4">
        <v>19.885999999999999</v>
      </c>
      <c r="M66" s="4">
        <v>19.885999999999999</v>
      </c>
      <c r="N66" s="4">
        <v>19.885999999999999</v>
      </c>
      <c r="O66" s="4">
        <v>19.885999999999999</v>
      </c>
      <c r="P66" s="4">
        <v>0</v>
      </c>
      <c r="Q66" s="3" t="s">
        <v>26</v>
      </c>
      <c r="R66" s="3">
        <v>0</v>
      </c>
      <c r="S66" s="3" t="s">
        <v>138</v>
      </c>
      <c r="T66" s="3" t="s">
        <v>271</v>
      </c>
      <c r="U66" s="3">
        <v>0</v>
      </c>
      <c r="V66" s="3">
        <v>3</v>
      </c>
      <c r="W66" s="3">
        <v>48</v>
      </c>
    </row>
    <row r="67" spans="1:23" ht="11.25" customHeight="1" x14ac:dyDescent="0.25">
      <c r="A67" s="3" t="s">
        <v>21</v>
      </c>
      <c r="B67" s="3" t="s">
        <v>35</v>
      </c>
      <c r="C67" s="3" t="s">
        <v>39</v>
      </c>
      <c r="D67" s="3" t="s">
        <v>40</v>
      </c>
      <c r="E67" s="3" t="s">
        <v>25</v>
      </c>
      <c r="F67" s="3" t="s">
        <v>25</v>
      </c>
      <c r="G67" s="3" t="s">
        <v>25</v>
      </c>
      <c r="H67" s="3" t="s">
        <v>38</v>
      </c>
      <c r="I67" s="6">
        <v>44682</v>
      </c>
      <c r="J67" s="4">
        <v>0</v>
      </c>
      <c r="K67" s="4">
        <v>0</v>
      </c>
      <c r="L67" s="4">
        <v>150.52799999999999</v>
      </c>
      <c r="M67" s="4">
        <v>150.52799999999999</v>
      </c>
      <c r="N67" s="4">
        <v>150.52799999999999</v>
      </c>
      <c r="O67" s="4">
        <v>150.52799999999999</v>
      </c>
      <c r="P67" s="4">
        <v>0</v>
      </c>
      <c r="Q67" s="3" t="s">
        <v>26</v>
      </c>
      <c r="R67" s="3">
        <v>0</v>
      </c>
      <c r="S67" s="3" t="s">
        <v>139</v>
      </c>
      <c r="T67" s="3" t="s">
        <v>272</v>
      </c>
      <c r="U67" s="3">
        <v>0</v>
      </c>
      <c r="V67" s="3">
        <v>3</v>
      </c>
      <c r="W67" s="3">
        <v>48</v>
      </c>
    </row>
    <row r="68" spans="1:23" ht="11.25" customHeight="1" x14ac:dyDescent="0.25">
      <c r="A68" s="3" t="s">
        <v>28</v>
      </c>
      <c r="B68" s="3" t="s">
        <v>35</v>
      </c>
      <c r="C68" s="3" t="s">
        <v>39</v>
      </c>
      <c r="D68" s="3" t="s">
        <v>40</v>
      </c>
      <c r="E68" s="3" t="s">
        <v>25</v>
      </c>
      <c r="F68" s="3" t="s">
        <v>25</v>
      </c>
      <c r="G68" s="3" t="s">
        <v>25</v>
      </c>
      <c r="H68" s="3" t="s">
        <v>38</v>
      </c>
      <c r="I68" s="6">
        <v>44682</v>
      </c>
      <c r="J68" s="4">
        <v>0</v>
      </c>
      <c r="K68" s="4">
        <v>0</v>
      </c>
      <c r="L68" s="4">
        <v>20.957000000000001</v>
      </c>
      <c r="M68" s="4">
        <v>20.957000000000001</v>
      </c>
      <c r="N68" s="4">
        <v>20.957000000000001</v>
      </c>
      <c r="O68" s="4">
        <v>20.957000000000001</v>
      </c>
      <c r="P68" s="4">
        <v>0</v>
      </c>
      <c r="Q68" s="3" t="s">
        <v>26</v>
      </c>
      <c r="R68" s="3">
        <v>0</v>
      </c>
      <c r="S68" s="3" t="s">
        <v>139</v>
      </c>
      <c r="T68" s="3" t="s">
        <v>272</v>
      </c>
      <c r="U68" s="3">
        <v>0</v>
      </c>
      <c r="V68" s="3">
        <v>3</v>
      </c>
      <c r="W68" s="3">
        <v>48</v>
      </c>
    </row>
    <row r="69" spans="1:23" ht="11.25" customHeight="1" x14ac:dyDescent="0.25">
      <c r="A69" s="3" t="s">
        <v>21</v>
      </c>
      <c r="B69" s="3" t="s">
        <v>35</v>
      </c>
      <c r="C69" s="3" t="s">
        <v>39</v>
      </c>
      <c r="D69" s="3" t="s">
        <v>40</v>
      </c>
      <c r="E69" s="3" t="s">
        <v>25</v>
      </c>
      <c r="F69" s="3" t="s">
        <v>25</v>
      </c>
      <c r="G69" s="3" t="s">
        <v>25</v>
      </c>
      <c r="H69" s="3" t="s">
        <v>38</v>
      </c>
      <c r="I69" s="6">
        <v>44713</v>
      </c>
      <c r="J69" s="4">
        <v>0</v>
      </c>
      <c r="K69" s="4">
        <v>0</v>
      </c>
      <c r="L69" s="4">
        <v>113.307</v>
      </c>
      <c r="M69" s="4">
        <v>113.307</v>
      </c>
      <c r="N69" s="4">
        <v>113.307</v>
      </c>
      <c r="O69" s="4">
        <v>113.307</v>
      </c>
      <c r="P69" s="4">
        <v>0</v>
      </c>
      <c r="Q69" s="3" t="s">
        <v>26</v>
      </c>
      <c r="R69" s="3">
        <v>0</v>
      </c>
      <c r="S69" s="3" t="s">
        <v>140</v>
      </c>
      <c r="T69" s="3" t="s">
        <v>273</v>
      </c>
      <c r="U69" s="3">
        <v>0</v>
      </c>
      <c r="V69" s="3">
        <v>3</v>
      </c>
      <c r="W69" s="3">
        <v>48</v>
      </c>
    </row>
    <row r="70" spans="1:23" ht="11.25" customHeight="1" x14ac:dyDescent="0.25">
      <c r="A70" s="3" t="s">
        <v>28</v>
      </c>
      <c r="B70" s="3" t="s">
        <v>35</v>
      </c>
      <c r="C70" s="3" t="s">
        <v>39</v>
      </c>
      <c r="D70" s="3" t="s">
        <v>40</v>
      </c>
      <c r="E70" s="3" t="s">
        <v>25</v>
      </c>
      <c r="F70" s="3" t="s">
        <v>25</v>
      </c>
      <c r="G70" s="3" t="s">
        <v>25</v>
      </c>
      <c r="H70" s="3" t="s">
        <v>38</v>
      </c>
      <c r="I70" s="6">
        <v>44713</v>
      </c>
      <c r="J70" s="4">
        <v>0</v>
      </c>
      <c r="K70" s="4">
        <v>0</v>
      </c>
      <c r="L70" s="4">
        <v>2.9060000000000001</v>
      </c>
      <c r="M70" s="4">
        <v>2.9060000000000001</v>
      </c>
      <c r="N70" s="4">
        <v>2.9060000000000001</v>
      </c>
      <c r="O70" s="4">
        <v>2.9060000000000001</v>
      </c>
      <c r="P70" s="4">
        <v>0</v>
      </c>
      <c r="Q70" s="3" t="s">
        <v>26</v>
      </c>
      <c r="R70" s="3">
        <v>0</v>
      </c>
      <c r="S70" s="3" t="s">
        <v>140</v>
      </c>
      <c r="T70" s="3" t="s">
        <v>273</v>
      </c>
      <c r="U70" s="3">
        <v>0</v>
      </c>
      <c r="V70" s="3">
        <v>3</v>
      </c>
      <c r="W70" s="3">
        <v>48</v>
      </c>
    </row>
    <row r="71" spans="1:23" ht="11.25" customHeight="1" x14ac:dyDescent="0.25">
      <c r="A71" s="3" t="s">
        <v>21</v>
      </c>
      <c r="B71" s="3" t="s">
        <v>35</v>
      </c>
      <c r="C71" s="3" t="s">
        <v>39</v>
      </c>
      <c r="D71" s="3" t="s">
        <v>40</v>
      </c>
      <c r="E71" s="3" t="s">
        <v>25</v>
      </c>
      <c r="F71" s="3" t="s">
        <v>25</v>
      </c>
      <c r="G71" s="3" t="s">
        <v>25</v>
      </c>
      <c r="H71" s="3" t="s">
        <v>25</v>
      </c>
      <c r="I71" s="6">
        <v>44378</v>
      </c>
      <c r="J71" s="4">
        <v>808</v>
      </c>
      <c r="K71" s="4">
        <v>808</v>
      </c>
      <c r="L71" s="4">
        <v>0</v>
      </c>
      <c r="M71" s="4">
        <v>0</v>
      </c>
      <c r="N71" s="4">
        <v>0</v>
      </c>
      <c r="O71" s="4">
        <v>0</v>
      </c>
      <c r="P71" s="4">
        <v>8</v>
      </c>
      <c r="Q71" s="3" t="s">
        <v>26</v>
      </c>
      <c r="R71" s="3">
        <v>0</v>
      </c>
      <c r="S71" s="3" t="s">
        <v>141</v>
      </c>
      <c r="U71" s="3">
        <v>31</v>
      </c>
      <c r="V71" s="3">
        <v>0</v>
      </c>
      <c r="W71" s="3">
        <v>0</v>
      </c>
    </row>
    <row r="72" spans="1:23" ht="11.25" customHeight="1" x14ac:dyDescent="0.25">
      <c r="A72" s="3" t="s">
        <v>28</v>
      </c>
      <c r="B72" s="3" t="s">
        <v>35</v>
      </c>
      <c r="C72" s="3" t="s">
        <v>39</v>
      </c>
      <c r="D72" s="3" t="s">
        <v>40</v>
      </c>
      <c r="E72" s="3" t="s">
        <v>25</v>
      </c>
      <c r="F72" s="3" t="s">
        <v>25</v>
      </c>
      <c r="G72" s="3" t="s">
        <v>25</v>
      </c>
      <c r="H72" s="3" t="s">
        <v>25</v>
      </c>
      <c r="I72" s="6">
        <v>44378</v>
      </c>
      <c r="J72" s="4">
        <v>140</v>
      </c>
      <c r="K72" s="4">
        <v>140</v>
      </c>
      <c r="L72" s="4">
        <v>0</v>
      </c>
      <c r="M72" s="4">
        <v>0</v>
      </c>
      <c r="N72" s="4">
        <v>0</v>
      </c>
      <c r="O72" s="4">
        <v>0</v>
      </c>
      <c r="P72" s="4">
        <v>1</v>
      </c>
      <c r="Q72" s="3" t="s">
        <v>26</v>
      </c>
      <c r="R72" s="3">
        <v>0</v>
      </c>
      <c r="S72" s="3" t="s">
        <v>141</v>
      </c>
      <c r="U72" s="3">
        <v>31</v>
      </c>
      <c r="V72" s="3">
        <v>0</v>
      </c>
      <c r="W72" s="3">
        <v>0</v>
      </c>
    </row>
    <row r="73" spans="1:23" ht="11.25" customHeight="1" x14ac:dyDescent="0.25">
      <c r="A73" s="3" t="s">
        <v>21</v>
      </c>
      <c r="B73" s="3" t="s">
        <v>35</v>
      </c>
      <c r="C73" s="3" t="s">
        <v>39</v>
      </c>
      <c r="D73" s="3" t="s">
        <v>40</v>
      </c>
      <c r="E73" s="3" t="s">
        <v>25</v>
      </c>
      <c r="F73" s="3" t="s">
        <v>25</v>
      </c>
      <c r="G73" s="3" t="s">
        <v>25</v>
      </c>
      <c r="H73" s="3" t="s">
        <v>25</v>
      </c>
      <c r="I73" s="6">
        <v>44409</v>
      </c>
      <c r="J73" s="4">
        <v>752</v>
      </c>
      <c r="K73" s="4">
        <v>752</v>
      </c>
      <c r="L73" s="4">
        <v>0</v>
      </c>
      <c r="M73" s="4">
        <v>0</v>
      </c>
      <c r="N73" s="4">
        <v>0</v>
      </c>
      <c r="O73" s="4">
        <v>0</v>
      </c>
      <c r="P73" s="4">
        <v>8</v>
      </c>
      <c r="Q73" s="3" t="s">
        <v>26</v>
      </c>
      <c r="R73" s="3">
        <v>0</v>
      </c>
      <c r="S73" s="3" t="s">
        <v>142</v>
      </c>
      <c r="U73" s="3">
        <v>31</v>
      </c>
      <c r="V73" s="3">
        <v>0</v>
      </c>
      <c r="W73" s="3">
        <v>0</v>
      </c>
    </row>
    <row r="74" spans="1:23" ht="11.25" customHeight="1" x14ac:dyDescent="0.25">
      <c r="A74" s="3" t="s">
        <v>21</v>
      </c>
      <c r="B74" s="3" t="s">
        <v>35</v>
      </c>
      <c r="C74" s="3" t="s">
        <v>39</v>
      </c>
      <c r="D74" s="3" t="s">
        <v>40</v>
      </c>
      <c r="E74" s="3" t="s">
        <v>25</v>
      </c>
      <c r="F74" s="3" t="s">
        <v>25</v>
      </c>
      <c r="G74" s="3" t="s">
        <v>25</v>
      </c>
      <c r="H74" s="3" t="s">
        <v>25</v>
      </c>
      <c r="I74" s="6">
        <v>44440</v>
      </c>
      <c r="J74" s="4">
        <v>811</v>
      </c>
      <c r="K74" s="4">
        <v>811</v>
      </c>
      <c r="L74" s="4">
        <v>0</v>
      </c>
      <c r="M74" s="4">
        <v>0</v>
      </c>
      <c r="N74" s="4">
        <v>0</v>
      </c>
      <c r="O74" s="4">
        <v>0</v>
      </c>
      <c r="P74" s="4">
        <v>8</v>
      </c>
      <c r="Q74" s="3" t="s">
        <v>26</v>
      </c>
      <c r="R74" s="3">
        <v>0</v>
      </c>
      <c r="S74" s="3" t="s">
        <v>143</v>
      </c>
      <c r="U74" s="3">
        <v>31</v>
      </c>
      <c r="V74" s="3">
        <v>0</v>
      </c>
      <c r="W74" s="3">
        <v>0</v>
      </c>
    </row>
    <row r="75" spans="1:23" ht="11.25" customHeight="1" x14ac:dyDescent="0.25">
      <c r="A75" s="3" t="s">
        <v>28</v>
      </c>
      <c r="B75" s="3" t="s">
        <v>35</v>
      </c>
      <c r="C75" s="3" t="s">
        <v>39</v>
      </c>
      <c r="D75" s="3" t="s">
        <v>40</v>
      </c>
      <c r="E75" s="3" t="s">
        <v>25</v>
      </c>
      <c r="F75" s="3" t="s">
        <v>25</v>
      </c>
      <c r="G75" s="3" t="s">
        <v>25</v>
      </c>
      <c r="H75" s="3" t="s">
        <v>25</v>
      </c>
      <c r="I75" s="6">
        <v>44440</v>
      </c>
      <c r="J75" s="4">
        <v>140</v>
      </c>
      <c r="K75" s="4">
        <v>140</v>
      </c>
      <c r="L75" s="4">
        <v>0</v>
      </c>
      <c r="M75" s="4">
        <v>0</v>
      </c>
      <c r="N75" s="4">
        <v>0</v>
      </c>
      <c r="O75" s="4">
        <v>0</v>
      </c>
      <c r="P75" s="4">
        <v>1</v>
      </c>
      <c r="Q75" s="3" t="s">
        <v>26</v>
      </c>
      <c r="R75" s="3">
        <v>0</v>
      </c>
      <c r="S75" s="3" t="s">
        <v>143</v>
      </c>
      <c r="U75" s="3">
        <v>31</v>
      </c>
      <c r="V75" s="3">
        <v>0</v>
      </c>
      <c r="W75" s="3">
        <v>0</v>
      </c>
    </row>
    <row r="76" spans="1:23" ht="11.25" customHeight="1" x14ac:dyDescent="0.25">
      <c r="A76" s="3" t="s">
        <v>21</v>
      </c>
      <c r="B76" s="3" t="s">
        <v>35</v>
      </c>
      <c r="C76" s="3" t="s">
        <v>39</v>
      </c>
      <c r="D76" s="3" t="s">
        <v>40</v>
      </c>
      <c r="E76" s="3" t="s">
        <v>25</v>
      </c>
      <c r="F76" s="3" t="s">
        <v>25</v>
      </c>
      <c r="G76" s="3" t="s">
        <v>25</v>
      </c>
      <c r="H76" s="3" t="s">
        <v>25</v>
      </c>
      <c r="I76" s="6">
        <v>44470</v>
      </c>
      <c r="J76" s="4">
        <v>923</v>
      </c>
      <c r="K76" s="4">
        <v>923</v>
      </c>
      <c r="L76" s="4">
        <v>0</v>
      </c>
      <c r="M76" s="4">
        <v>0</v>
      </c>
      <c r="N76" s="4">
        <v>0</v>
      </c>
      <c r="O76" s="4">
        <v>0</v>
      </c>
      <c r="P76" s="4">
        <v>8</v>
      </c>
      <c r="Q76" s="3" t="s">
        <v>26</v>
      </c>
      <c r="R76" s="3">
        <v>0</v>
      </c>
      <c r="S76" s="3" t="s">
        <v>144</v>
      </c>
      <c r="U76" s="3">
        <v>31</v>
      </c>
      <c r="V76" s="3">
        <v>0</v>
      </c>
      <c r="W76" s="3">
        <v>0</v>
      </c>
    </row>
    <row r="77" spans="1:23" ht="11.25" customHeight="1" x14ac:dyDescent="0.25">
      <c r="A77" s="3" t="s">
        <v>28</v>
      </c>
      <c r="B77" s="3" t="s">
        <v>35</v>
      </c>
      <c r="C77" s="3" t="s">
        <v>39</v>
      </c>
      <c r="D77" s="3" t="s">
        <v>40</v>
      </c>
      <c r="E77" s="3" t="s">
        <v>25</v>
      </c>
      <c r="F77" s="3" t="s">
        <v>25</v>
      </c>
      <c r="G77" s="3" t="s">
        <v>25</v>
      </c>
      <c r="H77" s="3" t="s">
        <v>25</v>
      </c>
      <c r="I77" s="6">
        <v>44470</v>
      </c>
      <c r="J77" s="4">
        <v>140</v>
      </c>
      <c r="K77" s="4">
        <v>140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3" t="s">
        <v>26</v>
      </c>
      <c r="R77" s="3">
        <v>0</v>
      </c>
      <c r="S77" s="3" t="s">
        <v>144</v>
      </c>
      <c r="U77" s="3">
        <v>31</v>
      </c>
      <c r="V77" s="3">
        <v>0</v>
      </c>
      <c r="W77" s="3">
        <v>0</v>
      </c>
    </row>
    <row r="78" spans="1:23" ht="11.25" customHeight="1" x14ac:dyDescent="0.25">
      <c r="A78" s="3" t="s">
        <v>21</v>
      </c>
      <c r="B78" s="3" t="s">
        <v>35</v>
      </c>
      <c r="C78" s="3" t="s">
        <v>39</v>
      </c>
      <c r="D78" s="3" t="s">
        <v>40</v>
      </c>
      <c r="E78" s="3" t="s">
        <v>25</v>
      </c>
      <c r="F78" s="3" t="s">
        <v>25</v>
      </c>
      <c r="G78" s="3" t="s">
        <v>25</v>
      </c>
      <c r="H78" s="3" t="s">
        <v>25</v>
      </c>
      <c r="I78" s="6">
        <v>44501</v>
      </c>
      <c r="J78" s="4">
        <v>1051</v>
      </c>
      <c r="K78" s="4">
        <v>1051</v>
      </c>
      <c r="L78" s="4">
        <v>0</v>
      </c>
      <c r="M78" s="4">
        <v>0</v>
      </c>
      <c r="N78" s="4">
        <v>0</v>
      </c>
      <c r="O78" s="4">
        <v>0</v>
      </c>
      <c r="P78" s="4">
        <v>8</v>
      </c>
      <c r="Q78" s="3" t="s">
        <v>26</v>
      </c>
      <c r="R78" s="3">
        <v>0</v>
      </c>
      <c r="S78" s="3" t="s">
        <v>145</v>
      </c>
      <c r="U78" s="3">
        <v>31</v>
      </c>
      <c r="V78" s="3">
        <v>0</v>
      </c>
      <c r="W78" s="3">
        <v>0</v>
      </c>
    </row>
    <row r="79" spans="1:23" ht="11.25" customHeight="1" x14ac:dyDescent="0.25">
      <c r="A79" s="3" t="s">
        <v>28</v>
      </c>
      <c r="B79" s="3" t="s">
        <v>35</v>
      </c>
      <c r="C79" s="3" t="s">
        <v>39</v>
      </c>
      <c r="D79" s="3" t="s">
        <v>40</v>
      </c>
      <c r="E79" s="3" t="s">
        <v>25</v>
      </c>
      <c r="F79" s="3" t="s">
        <v>25</v>
      </c>
      <c r="G79" s="3" t="s">
        <v>25</v>
      </c>
      <c r="H79" s="3" t="s">
        <v>25</v>
      </c>
      <c r="I79" s="6">
        <v>44501</v>
      </c>
      <c r="J79" s="4">
        <v>140</v>
      </c>
      <c r="K79" s="4">
        <v>140</v>
      </c>
      <c r="L79" s="4">
        <v>0</v>
      </c>
      <c r="M79" s="4">
        <v>0</v>
      </c>
      <c r="N79" s="4">
        <v>0</v>
      </c>
      <c r="O79" s="4">
        <v>0</v>
      </c>
      <c r="P79" s="4">
        <v>1</v>
      </c>
      <c r="Q79" s="3" t="s">
        <v>26</v>
      </c>
      <c r="R79" s="3">
        <v>0</v>
      </c>
      <c r="S79" s="3" t="s">
        <v>145</v>
      </c>
      <c r="U79" s="3">
        <v>31</v>
      </c>
      <c r="V79" s="3">
        <v>0</v>
      </c>
      <c r="W79" s="3">
        <v>0</v>
      </c>
    </row>
    <row r="80" spans="1:23" ht="11.25" customHeight="1" x14ac:dyDescent="0.25">
      <c r="A80" s="3" t="s">
        <v>21</v>
      </c>
      <c r="B80" s="3" t="s">
        <v>35</v>
      </c>
      <c r="C80" s="3" t="s">
        <v>39</v>
      </c>
      <c r="D80" s="3" t="s">
        <v>40</v>
      </c>
      <c r="E80" s="3" t="s">
        <v>25</v>
      </c>
      <c r="F80" s="3" t="s">
        <v>25</v>
      </c>
      <c r="G80" s="3" t="s">
        <v>25</v>
      </c>
      <c r="H80" s="3" t="s">
        <v>25</v>
      </c>
      <c r="I80" s="6">
        <v>44531</v>
      </c>
      <c r="J80" s="4">
        <v>895</v>
      </c>
      <c r="K80" s="4">
        <v>895</v>
      </c>
      <c r="L80" s="4">
        <v>0</v>
      </c>
      <c r="M80" s="4">
        <v>0</v>
      </c>
      <c r="N80" s="4">
        <v>0</v>
      </c>
      <c r="O80" s="4">
        <v>0</v>
      </c>
      <c r="P80" s="4">
        <v>8</v>
      </c>
      <c r="Q80" s="3" t="s">
        <v>26</v>
      </c>
      <c r="R80" s="3">
        <v>0</v>
      </c>
      <c r="S80" s="3" t="s">
        <v>146</v>
      </c>
      <c r="U80" s="3">
        <v>31</v>
      </c>
      <c r="V80" s="3">
        <v>0</v>
      </c>
      <c r="W80" s="3">
        <v>0</v>
      </c>
    </row>
    <row r="81" spans="1:23" ht="11.25" customHeight="1" x14ac:dyDescent="0.25">
      <c r="A81" s="3" t="s">
        <v>28</v>
      </c>
      <c r="B81" s="3" t="s">
        <v>35</v>
      </c>
      <c r="C81" s="3" t="s">
        <v>39</v>
      </c>
      <c r="D81" s="3" t="s">
        <v>40</v>
      </c>
      <c r="E81" s="3" t="s">
        <v>25</v>
      </c>
      <c r="F81" s="3" t="s">
        <v>25</v>
      </c>
      <c r="G81" s="3" t="s">
        <v>25</v>
      </c>
      <c r="H81" s="3" t="s">
        <v>25</v>
      </c>
      <c r="I81" s="6">
        <v>44531</v>
      </c>
      <c r="J81" s="4">
        <v>140</v>
      </c>
      <c r="K81" s="4">
        <v>140</v>
      </c>
      <c r="L81" s="4">
        <v>0</v>
      </c>
      <c r="M81" s="4">
        <v>0</v>
      </c>
      <c r="N81" s="4">
        <v>0</v>
      </c>
      <c r="O81" s="4">
        <v>0</v>
      </c>
      <c r="P81" s="4">
        <v>1</v>
      </c>
      <c r="Q81" s="3" t="s">
        <v>26</v>
      </c>
      <c r="R81" s="3">
        <v>0</v>
      </c>
      <c r="S81" s="3" t="s">
        <v>146</v>
      </c>
      <c r="U81" s="3">
        <v>31</v>
      </c>
      <c r="V81" s="3">
        <v>0</v>
      </c>
      <c r="W81" s="3">
        <v>0</v>
      </c>
    </row>
    <row r="82" spans="1:23" ht="11.25" customHeight="1" x14ac:dyDescent="0.25">
      <c r="A82" s="3" t="s">
        <v>21</v>
      </c>
      <c r="B82" s="3" t="s">
        <v>35</v>
      </c>
      <c r="C82" s="3" t="s">
        <v>39</v>
      </c>
      <c r="D82" s="3" t="s">
        <v>40</v>
      </c>
      <c r="E82" s="3" t="s">
        <v>25</v>
      </c>
      <c r="F82" s="3" t="s">
        <v>25</v>
      </c>
      <c r="G82" s="3" t="s">
        <v>25</v>
      </c>
      <c r="H82" s="3" t="s">
        <v>25</v>
      </c>
      <c r="I82" s="6">
        <v>44562</v>
      </c>
      <c r="J82" s="4">
        <v>963</v>
      </c>
      <c r="K82" s="4">
        <v>963</v>
      </c>
      <c r="L82" s="4">
        <v>0</v>
      </c>
      <c r="M82" s="4">
        <v>0</v>
      </c>
      <c r="N82" s="4">
        <v>0</v>
      </c>
      <c r="O82" s="4">
        <v>0</v>
      </c>
      <c r="P82" s="4">
        <v>8</v>
      </c>
      <c r="Q82" s="3" t="s">
        <v>26</v>
      </c>
      <c r="R82" s="3">
        <v>0</v>
      </c>
      <c r="S82" s="3" t="s">
        <v>147</v>
      </c>
      <c r="U82" s="3">
        <v>31</v>
      </c>
      <c r="V82" s="3">
        <v>0</v>
      </c>
      <c r="W82" s="3">
        <v>0</v>
      </c>
    </row>
    <row r="83" spans="1:23" ht="11.25" customHeight="1" x14ac:dyDescent="0.25">
      <c r="A83" s="3" t="s">
        <v>28</v>
      </c>
      <c r="B83" s="3" t="s">
        <v>35</v>
      </c>
      <c r="C83" s="3" t="s">
        <v>39</v>
      </c>
      <c r="D83" s="3" t="s">
        <v>40</v>
      </c>
      <c r="E83" s="3" t="s">
        <v>25</v>
      </c>
      <c r="F83" s="3" t="s">
        <v>25</v>
      </c>
      <c r="G83" s="3" t="s">
        <v>25</v>
      </c>
      <c r="H83" s="3" t="s">
        <v>25</v>
      </c>
      <c r="I83" s="6">
        <v>44562</v>
      </c>
      <c r="J83" s="4">
        <v>140</v>
      </c>
      <c r="K83" s="4">
        <v>140</v>
      </c>
      <c r="L83" s="4">
        <v>0</v>
      </c>
      <c r="M83" s="4">
        <v>0</v>
      </c>
      <c r="N83" s="4">
        <v>0</v>
      </c>
      <c r="O83" s="4">
        <v>0</v>
      </c>
      <c r="P83" s="4">
        <v>1</v>
      </c>
      <c r="Q83" s="3" t="s">
        <v>26</v>
      </c>
      <c r="R83" s="3">
        <v>0</v>
      </c>
      <c r="S83" s="3" t="s">
        <v>147</v>
      </c>
      <c r="U83" s="3">
        <v>31</v>
      </c>
      <c r="V83" s="3">
        <v>0</v>
      </c>
      <c r="W83" s="3">
        <v>0</v>
      </c>
    </row>
    <row r="84" spans="1:23" ht="11.25" customHeight="1" x14ac:dyDescent="0.25">
      <c r="A84" s="3" t="s">
        <v>21</v>
      </c>
      <c r="B84" s="3" t="s">
        <v>35</v>
      </c>
      <c r="C84" s="3" t="s">
        <v>39</v>
      </c>
      <c r="D84" s="3" t="s">
        <v>40</v>
      </c>
      <c r="E84" s="3" t="s">
        <v>25</v>
      </c>
      <c r="F84" s="3" t="s">
        <v>25</v>
      </c>
      <c r="G84" s="3" t="s">
        <v>25</v>
      </c>
      <c r="H84" s="3" t="s">
        <v>25</v>
      </c>
      <c r="I84" s="6">
        <v>44593</v>
      </c>
      <c r="J84" s="4">
        <v>992</v>
      </c>
      <c r="K84" s="4">
        <v>992</v>
      </c>
      <c r="L84" s="4">
        <v>0</v>
      </c>
      <c r="M84" s="4">
        <v>0</v>
      </c>
      <c r="N84" s="4">
        <v>0</v>
      </c>
      <c r="O84" s="4">
        <v>0</v>
      </c>
      <c r="P84" s="4">
        <v>8</v>
      </c>
      <c r="Q84" s="3" t="s">
        <v>26</v>
      </c>
      <c r="R84" s="3">
        <v>0</v>
      </c>
      <c r="S84" s="3" t="s">
        <v>148</v>
      </c>
      <c r="U84" s="3">
        <v>31</v>
      </c>
      <c r="V84" s="3">
        <v>0</v>
      </c>
      <c r="W84" s="3">
        <v>0</v>
      </c>
    </row>
    <row r="85" spans="1:23" ht="11.25" customHeight="1" x14ac:dyDescent="0.25">
      <c r="A85" s="3" t="s">
        <v>28</v>
      </c>
      <c r="B85" s="3" t="s">
        <v>35</v>
      </c>
      <c r="C85" s="3" t="s">
        <v>39</v>
      </c>
      <c r="D85" s="3" t="s">
        <v>40</v>
      </c>
      <c r="E85" s="3" t="s">
        <v>25</v>
      </c>
      <c r="F85" s="3" t="s">
        <v>25</v>
      </c>
      <c r="G85" s="3" t="s">
        <v>25</v>
      </c>
      <c r="H85" s="3" t="s">
        <v>25</v>
      </c>
      <c r="I85" s="6">
        <v>44593</v>
      </c>
      <c r="J85" s="4">
        <v>140</v>
      </c>
      <c r="K85" s="4">
        <v>140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3" t="s">
        <v>26</v>
      </c>
      <c r="R85" s="3">
        <v>0</v>
      </c>
      <c r="S85" s="3" t="s">
        <v>148</v>
      </c>
      <c r="U85" s="3">
        <v>31</v>
      </c>
      <c r="V85" s="3">
        <v>0</v>
      </c>
      <c r="W85" s="3">
        <v>0</v>
      </c>
    </row>
    <row r="86" spans="1:23" ht="11.25" customHeight="1" x14ac:dyDescent="0.25">
      <c r="A86" s="3" t="s">
        <v>21</v>
      </c>
      <c r="B86" s="3" t="s">
        <v>35</v>
      </c>
      <c r="C86" s="3" t="s">
        <v>39</v>
      </c>
      <c r="D86" s="3" t="s">
        <v>40</v>
      </c>
      <c r="E86" s="3" t="s">
        <v>25</v>
      </c>
      <c r="F86" s="3" t="s">
        <v>25</v>
      </c>
      <c r="G86" s="3" t="s">
        <v>25</v>
      </c>
      <c r="H86" s="3" t="s">
        <v>25</v>
      </c>
      <c r="I86" s="6">
        <v>44621</v>
      </c>
      <c r="J86" s="4">
        <v>1112</v>
      </c>
      <c r="K86" s="4">
        <v>1112</v>
      </c>
      <c r="L86" s="4">
        <v>0</v>
      </c>
      <c r="M86" s="4">
        <v>0</v>
      </c>
      <c r="N86" s="4">
        <v>0</v>
      </c>
      <c r="O86" s="4">
        <v>0</v>
      </c>
      <c r="P86" s="4">
        <v>8</v>
      </c>
      <c r="Q86" s="3" t="s">
        <v>26</v>
      </c>
      <c r="R86" s="3">
        <v>0</v>
      </c>
      <c r="S86" s="3" t="s">
        <v>149</v>
      </c>
      <c r="U86" s="3">
        <v>31</v>
      </c>
      <c r="V86" s="3">
        <v>0</v>
      </c>
      <c r="W86" s="3">
        <v>0</v>
      </c>
    </row>
    <row r="87" spans="1:23" ht="11.25" customHeight="1" x14ac:dyDescent="0.25">
      <c r="A87" s="3" t="s">
        <v>28</v>
      </c>
      <c r="B87" s="3" t="s">
        <v>35</v>
      </c>
      <c r="C87" s="3" t="s">
        <v>39</v>
      </c>
      <c r="D87" s="3" t="s">
        <v>40</v>
      </c>
      <c r="E87" s="3" t="s">
        <v>25</v>
      </c>
      <c r="F87" s="3" t="s">
        <v>25</v>
      </c>
      <c r="G87" s="3" t="s">
        <v>25</v>
      </c>
      <c r="H87" s="3" t="s">
        <v>25</v>
      </c>
      <c r="I87" s="6">
        <v>44621</v>
      </c>
      <c r="J87" s="4">
        <v>140</v>
      </c>
      <c r="K87" s="4">
        <v>140</v>
      </c>
      <c r="L87" s="4">
        <v>0</v>
      </c>
      <c r="M87" s="4">
        <v>0</v>
      </c>
      <c r="N87" s="4">
        <v>0</v>
      </c>
      <c r="O87" s="4">
        <v>0</v>
      </c>
      <c r="P87" s="4">
        <v>1</v>
      </c>
      <c r="Q87" s="3" t="s">
        <v>26</v>
      </c>
      <c r="R87" s="3">
        <v>0</v>
      </c>
      <c r="S87" s="3" t="s">
        <v>149</v>
      </c>
      <c r="U87" s="3">
        <v>31</v>
      </c>
      <c r="V87" s="3">
        <v>0</v>
      </c>
      <c r="W87" s="3">
        <v>0</v>
      </c>
    </row>
    <row r="88" spans="1:23" ht="11.25" customHeight="1" x14ac:dyDescent="0.25">
      <c r="A88" s="3" t="s">
        <v>21</v>
      </c>
      <c r="B88" s="3" t="s">
        <v>35</v>
      </c>
      <c r="C88" s="3" t="s">
        <v>39</v>
      </c>
      <c r="D88" s="3" t="s">
        <v>40</v>
      </c>
      <c r="E88" s="3" t="s">
        <v>25</v>
      </c>
      <c r="F88" s="3" t="s">
        <v>25</v>
      </c>
      <c r="G88" s="3" t="s">
        <v>25</v>
      </c>
      <c r="H88" s="3" t="s">
        <v>25</v>
      </c>
      <c r="I88" s="6">
        <v>44652</v>
      </c>
      <c r="J88" s="4">
        <v>994</v>
      </c>
      <c r="K88" s="4">
        <v>994</v>
      </c>
      <c r="L88" s="4">
        <v>0</v>
      </c>
      <c r="M88" s="4">
        <v>0</v>
      </c>
      <c r="N88" s="4">
        <v>0</v>
      </c>
      <c r="O88" s="4">
        <v>0</v>
      </c>
      <c r="P88" s="4">
        <v>8</v>
      </c>
      <c r="Q88" s="3" t="s">
        <v>26</v>
      </c>
      <c r="R88" s="3">
        <v>0</v>
      </c>
      <c r="S88" s="3" t="s">
        <v>150</v>
      </c>
      <c r="U88" s="3">
        <v>31</v>
      </c>
      <c r="V88" s="3">
        <v>0</v>
      </c>
      <c r="W88" s="3">
        <v>0</v>
      </c>
    </row>
    <row r="89" spans="1:23" ht="11.25" customHeight="1" x14ac:dyDescent="0.25">
      <c r="A89" s="3" t="s">
        <v>28</v>
      </c>
      <c r="B89" s="3" t="s">
        <v>35</v>
      </c>
      <c r="C89" s="3" t="s">
        <v>39</v>
      </c>
      <c r="D89" s="3" t="s">
        <v>40</v>
      </c>
      <c r="E89" s="3" t="s">
        <v>25</v>
      </c>
      <c r="F89" s="3" t="s">
        <v>25</v>
      </c>
      <c r="G89" s="3" t="s">
        <v>25</v>
      </c>
      <c r="H89" s="3" t="s">
        <v>25</v>
      </c>
      <c r="I89" s="6">
        <v>44652</v>
      </c>
      <c r="J89" s="4">
        <v>140</v>
      </c>
      <c r="K89" s="4">
        <v>140</v>
      </c>
      <c r="L89" s="4">
        <v>0</v>
      </c>
      <c r="M89" s="4">
        <v>0</v>
      </c>
      <c r="N89" s="4">
        <v>0</v>
      </c>
      <c r="O89" s="4">
        <v>0</v>
      </c>
      <c r="P89" s="4">
        <v>1</v>
      </c>
      <c r="Q89" s="3" t="s">
        <v>26</v>
      </c>
      <c r="R89" s="3">
        <v>0</v>
      </c>
      <c r="S89" s="3" t="s">
        <v>150</v>
      </c>
      <c r="U89" s="3">
        <v>31</v>
      </c>
      <c r="V89" s="3">
        <v>0</v>
      </c>
      <c r="W89" s="3">
        <v>0</v>
      </c>
    </row>
    <row r="90" spans="1:23" ht="11.25" customHeight="1" x14ac:dyDescent="0.25">
      <c r="A90" s="3" t="s">
        <v>21</v>
      </c>
      <c r="B90" s="3" t="s">
        <v>35</v>
      </c>
      <c r="C90" s="3" t="s">
        <v>39</v>
      </c>
      <c r="D90" s="3" t="s">
        <v>40</v>
      </c>
      <c r="E90" s="3" t="s">
        <v>25</v>
      </c>
      <c r="F90" s="3" t="s">
        <v>25</v>
      </c>
      <c r="G90" s="3" t="s">
        <v>25</v>
      </c>
      <c r="H90" s="3" t="s">
        <v>25</v>
      </c>
      <c r="I90" s="6">
        <v>44682</v>
      </c>
      <c r="J90" s="4">
        <v>1251</v>
      </c>
      <c r="K90" s="4">
        <v>1251</v>
      </c>
      <c r="L90" s="4">
        <v>0</v>
      </c>
      <c r="M90" s="4">
        <v>0</v>
      </c>
      <c r="N90" s="4">
        <v>0</v>
      </c>
      <c r="O90" s="4">
        <v>0</v>
      </c>
      <c r="P90" s="4">
        <v>8</v>
      </c>
      <c r="Q90" s="3" t="s">
        <v>26</v>
      </c>
      <c r="R90" s="3">
        <v>0</v>
      </c>
      <c r="S90" s="3" t="s">
        <v>151</v>
      </c>
      <c r="U90" s="3">
        <v>31</v>
      </c>
      <c r="V90" s="3">
        <v>0</v>
      </c>
      <c r="W90" s="3">
        <v>0</v>
      </c>
    </row>
    <row r="91" spans="1:23" ht="11.25" customHeight="1" x14ac:dyDescent="0.25">
      <c r="A91" s="3" t="s">
        <v>28</v>
      </c>
      <c r="B91" s="3" t="s">
        <v>35</v>
      </c>
      <c r="C91" s="3" t="s">
        <v>39</v>
      </c>
      <c r="D91" s="3" t="s">
        <v>40</v>
      </c>
      <c r="E91" s="3" t="s">
        <v>25</v>
      </c>
      <c r="F91" s="3" t="s">
        <v>25</v>
      </c>
      <c r="G91" s="3" t="s">
        <v>25</v>
      </c>
      <c r="H91" s="3" t="s">
        <v>25</v>
      </c>
      <c r="I91" s="6">
        <v>44682</v>
      </c>
      <c r="J91" s="4">
        <v>160</v>
      </c>
      <c r="K91" s="4">
        <v>160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  <c r="Q91" s="3" t="s">
        <v>26</v>
      </c>
      <c r="R91" s="3">
        <v>0</v>
      </c>
      <c r="S91" s="3" t="s">
        <v>151</v>
      </c>
      <c r="U91" s="3">
        <v>31</v>
      </c>
      <c r="V91" s="3">
        <v>0</v>
      </c>
      <c r="W91" s="3">
        <v>0</v>
      </c>
    </row>
    <row r="92" spans="1:23" ht="11.25" customHeight="1" x14ac:dyDescent="0.25">
      <c r="A92" s="3" t="s">
        <v>21</v>
      </c>
      <c r="B92" s="3" t="s">
        <v>35</v>
      </c>
      <c r="C92" s="3" t="s">
        <v>39</v>
      </c>
      <c r="D92" s="3" t="s">
        <v>40</v>
      </c>
      <c r="E92" s="3" t="s">
        <v>25</v>
      </c>
      <c r="F92" s="3" t="s">
        <v>25</v>
      </c>
      <c r="G92" s="3" t="s">
        <v>25</v>
      </c>
      <c r="H92" s="3" t="s">
        <v>25</v>
      </c>
      <c r="I92" s="6">
        <v>44713</v>
      </c>
      <c r="J92" s="4">
        <v>921</v>
      </c>
      <c r="K92" s="4">
        <v>921</v>
      </c>
      <c r="L92" s="4">
        <v>0</v>
      </c>
      <c r="M92" s="4">
        <v>0</v>
      </c>
      <c r="N92" s="4">
        <v>0</v>
      </c>
      <c r="O92" s="4">
        <v>0</v>
      </c>
      <c r="P92" s="4">
        <v>8</v>
      </c>
      <c r="Q92" s="3" t="s">
        <v>26</v>
      </c>
      <c r="R92" s="3">
        <v>0</v>
      </c>
      <c r="S92" s="3" t="s">
        <v>152</v>
      </c>
      <c r="U92" s="3">
        <v>31</v>
      </c>
      <c r="V92" s="3">
        <v>0</v>
      </c>
      <c r="W92" s="3">
        <v>0</v>
      </c>
    </row>
    <row r="93" spans="1:23" ht="11.25" customHeight="1" x14ac:dyDescent="0.25">
      <c r="A93" s="3" t="s">
        <v>28</v>
      </c>
      <c r="B93" s="3" t="s">
        <v>35</v>
      </c>
      <c r="C93" s="3" t="s">
        <v>39</v>
      </c>
      <c r="D93" s="3" t="s">
        <v>40</v>
      </c>
      <c r="E93" s="3" t="s">
        <v>25</v>
      </c>
      <c r="F93" s="3" t="s">
        <v>25</v>
      </c>
      <c r="G93" s="3" t="s">
        <v>25</v>
      </c>
      <c r="H93" s="3" t="s">
        <v>25</v>
      </c>
      <c r="I93" s="6">
        <v>44713</v>
      </c>
      <c r="J93" s="4">
        <v>140</v>
      </c>
      <c r="K93" s="4">
        <v>140</v>
      </c>
      <c r="L93" s="4">
        <v>0</v>
      </c>
      <c r="M93" s="4">
        <v>0</v>
      </c>
      <c r="N93" s="4">
        <v>0</v>
      </c>
      <c r="O93" s="4">
        <v>0</v>
      </c>
      <c r="P93" s="4">
        <v>1</v>
      </c>
      <c r="Q93" s="3" t="s">
        <v>26</v>
      </c>
      <c r="R93" s="3">
        <v>0</v>
      </c>
      <c r="S93" s="3" t="s">
        <v>152</v>
      </c>
      <c r="U93" s="3">
        <v>31</v>
      </c>
      <c r="V93" s="3">
        <v>0</v>
      </c>
      <c r="W93" s="3">
        <v>0</v>
      </c>
    </row>
    <row r="94" spans="1:23" ht="11.25" customHeight="1" x14ac:dyDescent="0.25">
      <c r="A94" s="3" t="s">
        <v>21</v>
      </c>
      <c r="B94" s="3" t="s">
        <v>35</v>
      </c>
      <c r="C94" s="3" t="s">
        <v>39</v>
      </c>
      <c r="D94" s="3" t="s">
        <v>40</v>
      </c>
      <c r="E94" s="3" t="s">
        <v>25</v>
      </c>
      <c r="F94" s="3" t="s">
        <v>25</v>
      </c>
      <c r="G94" s="3" t="s">
        <v>25</v>
      </c>
      <c r="H94" s="3" t="s">
        <v>37</v>
      </c>
      <c r="I94" s="6">
        <v>44378</v>
      </c>
      <c r="J94" s="4">
        <v>0</v>
      </c>
      <c r="K94" s="4">
        <v>0</v>
      </c>
      <c r="L94" s="4">
        <v>1.228</v>
      </c>
      <c r="M94" s="4">
        <v>1.228</v>
      </c>
      <c r="N94" s="4">
        <v>1.228</v>
      </c>
      <c r="O94" s="4">
        <v>1.228</v>
      </c>
      <c r="P94" s="4">
        <v>0</v>
      </c>
      <c r="Q94" s="3" t="s">
        <v>26</v>
      </c>
      <c r="R94" s="3">
        <v>0</v>
      </c>
      <c r="S94" s="3" t="s">
        <v>153</v>
      </c>
      <c r="T94" s="3" t="s">
        <v>274</v>
      </c>
      <c r="U94" s="3">
        <v>0</v>
      </c>
      <c r="V94" s="3">
        <v>15</v>
      </c>
      <c r="W94" s="3">
        <v>24</v>
      </c>
    </row>
    <row r="95" spans="1:23" ht="11.25" customHeight="1" x14ac:dyDescent="0.25">
      <c r="A95" s="3" t="s">
        <v>28</v>
      </c>
      <c r="B95" s="3" t="s">
        <v>35</v>
      </c>
      <c r="C95" s="3" t="s">
        <v>39</v>
      </c>
      <c r="D95" s="3" t="s">
        <v>40</v>
      </c>
      <c r="E95" s="3" t="s">
        <v>25</v>
      </c>
      <c r="F95" s="3" t="s">
        <v>25</v>
      </c>
      <c r="G95" s="3" t="s">
        <v>25</v>
      </c>
      <c r="H95" s="3" t="s">
        <v>37</v>
      </c>
      <c r="I95" s="6">
        <v>44378</v>
      </c>
      <c r="J95" s="4">
        <v>0</v>
      </c>
      <c r="K95" s="4">
        <v>0</v>
      </c>
      <c r="L95" s="4">
        <v>1.0920000000000001</v>
      </c>
      <c r="M95" s="4">
        <v>1.0920000000000001</v>
      </c>
      <c r="N95" s="4">
        <v>1.0920000000000001</v>
      </c>
      <c r="O95" s="4">
        <v>1.0920000000000001</v>
      </c>
      <c r="P95" s="4">
        <v>0</v>
      </c>
      <c r="Q95" s="3" t="s">
        <v>26</v>
      </c>
      <c r="R95" s="3">
        <v>0</v>
      </c>
      <c r="S95" s="3" t="s">
        <v>153</v>
      </c>
      <c r="T95" s="3" t="s">
        <v>274</v>
      </c>
      <c r="U95" s="3">
        <v>0</v>
      </c>
      <c r="V95" s="3">
        <v>15</v>
      </c>
      <c r="W95" s="3">
        <v>24</v>
      </c>
    </row>
    <row r="96" spans="1:23" ht="11.25" customHeight="1" x14ac:dyDescent="0.25">
      <c r="A96" s="3" t="s">
        <v>21</v>
      </c>
      <c r="B96" s="3" t="s">
        <v>35</v>
      </c>
      <c r="C96" s="3" t="s">
        <v>39</v>
      </c>
      <c r="D96" s="3" t="s">
        <v>40</v>
      </c>
      <c r="E96" s="3" t="s">
        <v>25</v>
      </c>
      <c r="F96" s="3" t="s">
        <v>25</v>
      </c>
      <c r="G96" s="3" t="s">
        <v>25</v>
      </c>
      <c r="H96" s="3" t="s">
        <v>37</v>
      </c>
      <c r="I96" s="6">
        <v>44409</v>
      </c>
      <c r="J96" s="4">
        <v>0</v>
      </c>
      <c r="K96" s="4">
        <v>0</v>
      </c>
      <c r="L96" s="4">
        <v>1.3069999999999999</v>
      </c>
      <c r="M96" s="4">
        <v>1.3069999999999999</v>
      </c>
      <c r="N96" s="4">
        <v>1.3069999999999999</v>
      </c>
      <c r="O96" s="4">
        <v>1.3069999999999999</v>
      </c>
      <c r="P96" s="4">
        <v>0</v>
      </c>
      <c r="Q96" s="3" t="s">
        <v>26</v>
      </c>
      <c r="R96" s="3">
        <v>0</v>
      </c>
      <c r="S96" s="3" t="s">
        <v>154</v>
      </c>
      <c r="T96" s="3" t="s">
        <v>275</v>
      </c>
      <c r="U96" s="3">
        <v>0</v>
      </c>
      <c r="V96" s="3">
        <v>15</v>
      </c>
      <c r="W96" s="3">
        <v>24</v>
      </c>
    </row>
    <row r="97" spans="1:23" ht="11.25" customHeight="1" x14ac:dyDescent="0.25">
      <c r="A97" s="3" t="s">
        <v>21</v>
      </c>
      <c r="B97" s="3" t="s">
        <v>35</v>
      </c>
      <c r="C97" s="3" t="s">
        <v>39</v>
      </c>
      <c r="D97" s="3" t="s">
        <v>40</v>
      </c>
      <c r="E97" s="3" t="s">
        <v>25</v>
      </c>
      <c r="F97" s="3" t="s">
        <v>25</v>
      </c>
      <c r="G97" s="3" t="s">
        <v>25</v>
      </c>
      <c r="H97" s="3" t="s">
        <v>37</v>
      </c>
      <c r="I97" s="6">
        <v>44440</v>
      </c>
      <c r="J97" s="4">
        <v>0</v>
      </c>
      <c r="K97" s="4">
        <v>0</v>
      </c>
      <c r="L97" s="4">
        <v>1.657</v>
      </c>
      <c r="M97" s="4">
        <v>1.657</v>
      </c>
      <c r="N97" s="4">
        <v>1.657</v>
      </c>
      <c r="O97" s="4">
        <v>1.657</v>
      </c>
      <c r="P97" s="4">
        <v>0</v>
      </c>
      <c r="Q97" s="3" t="s">
        <v>26</v>
      </c>
      <c r="R97" s="3">
        <v>0</v>
      </c>
      <c r="S97" s="3" t="s">
        <v>155</v>
      </c>
      <c r="T97" s="3" t="s">
        <v>276</v>
      </c>
      <c r="U97" s="3">
        <v>0</v>
      </c>
      <c r="V97" s="3">
        <v>15</v>
      </c>
      <c r="W97" s="3">
        <v>24</v>
      </c>
    </row>
    <row r="98" spans="1:23" ht="11.25" customHeight="1" x14ac:dyDescent="0.25">
      <c r="A98" s="3" t="s">
        <v>28</v>
      </c>
      <c r="B98" s="3" t="s">
        <v>35</v>
      </c>
      <c r="C98" s="3" t="s">
        <v>39</v>
      </c>
      <c r="D98" s="3" t="s">
        <v>40</v>
      </c>
      <c r="E98" s="3" t="s">
        <v>25</v>
      </c>
      <c r="F98" s="3" t="s">
        <v>25</v>
      </c>
      <c r="G98" s="3" t="s">
        <v>25</v>
      </c>
      <c r="H98" s="3" t="s">
        <v>37</v>
      </c>
      <c r="I98" s="6">
        <v>44440</v>
      </c>
      <c r="J98" s="4">
        <v>0</v>
      </c>
      <c r="K98" s="4">
        <v>0</v>
      </c>
      <c r="L98" s="4">
        <v>0.443</v>
      </c>
      <c r="M98" s="4">
        <v>0.443</v>
      </c>
      <c r="N98" s="4">
        <v>0.443</v>
      </c>
      <c r="O98" s="4">
        <v>0.443</v>
      </c>
      <c r="P98" s="4">
        <v>0</v>
      </c>
      <c r="Q98" s="3" t="s">
        <v>26</v>
      </c>
      <c r="R98" s="3">
        <v>0</v>
      </c>
      <c r="S98" s="3" t="s">
        <v>155</v>
      </c>
      <c r="T98" s="3" t="s">
        <v>276</v>
      </c>
      <c r="U98" s="3">
        <v>0</v>
      </c>
      <c r="V98" s="3">
        <v>15</v>
      </c>
      <c r="W98" s="3">
        <v>24</v>
      </c>
    </row>
    <row r="99" spans="1:23" ht="11.25" customHeight="1" x14ac:dyDescent="0.25">
      <c r="A99" s="3" t="s">
        <v>21</v>
      </c>
      <c r="B99" s="3" t="s">
        <v>35</v>
      </c>
      <c r="C99" s="3" t="s">
        <v>39</v>
      </c>
      <c r="D99" s="3" t="s">
        <v>40</v>
      </c>
      <c r="E99" s="3" t="s">
        <v>25</v>
      </c>
      <c r="F99" s="3" t="s">
        <v>25</v>
      </c>
      <c r="G99" s="3" t="s">
        <v>25</v>
      </c>
      <c r="H99" s="3" t="s">
        <v>37</v>
      </c>
      <c r="I99" s="6">
        <v>44470</v>
      </c>
      <c r="J99" s="4">
        <v>0</v>
      </c>
      <c r="K99" s="4">
        <v>0</v>
      </c>
      <c r="L99" s="4">
        <v>6.5670000000000002</v>
      </c>
      <c r="M99" s="4">
        <v>6.5670000000000002</v>
      </c>
      <c r="N99" s="4">
        <v>6.5670000000000002</v>
      </c>
      <c r="O99" s="4">
        <v>6.5670000000000002</v>
      </c>
      <c r="P99" s="4">
        <v>0</v>
      </c>
      <c r="Q99" s="3" t="s">
        <v>26</v>
      </c>
      <c r="R99" s="3">
        <v>0</v>
      </c>
      <c r="S99" s="3" t="s">
        <v>156</v>
      </c>
      <c r="T99" s="3" t="s">
        <v>277</v>
      </c>
      <c r="U99" s="3">
        <v>0</v>
      </c>
      <c r="V99" s="3">
        <v>15</v>
      </c>
      <c r="W99" s="3">
        <v>24</v>
      </c>
    </row>
    <row r="100" spans="1:23" ht="11.25" customHeight="1" x14ac:dyDescent="0.25">
      <c r="A100" s="3" t="s">
        <v>28</v>
      </c>
      <c r="B100" s="3" t="s">
        <v>35</v>
      </c>
      <c r="C100" s="3" t="s">
        <v>39</v>
      </c>
      <c r="D100" s="3" t="s">
        <v>40</v>
      </c>
      <c r="E100" s="3" t="s">
        <v>25</v>
      </c>
      <c r="F100" s="3" t="s">
        <v>25</v>
      </c>
      <c r="G100" s="3" t="s">
        <v>25</v>
      </c>
      <c r="H100" s="3" t="s">
        <v>37</v>
      </c>
      <c r="I100" s="6">
        <v>44470</v>
      </c>
      <c r="J100" s="4">
        <v>0</v>
      </c>
      <c r="K100" s="4">
        <v>0</v>
      </c>
      <c r="L100" s="4">
        <v>1.468</v>
      </c>
      <c r="M100" s="4">
        <v>1.468</v>
      </c>
      <c r="N100" s="4">
        <v>1.468</v>
      </c>
      <c r="O100" s="4">
        <v>1.468</v>
      </c>
      <c r="P100" s="4">
        <v>0</v>
      </c>
      <c r="Q100" s="3" t="s">
        <v>26</v>
      </c>
      <c r="R100" s="3">
        <v>0</v>
      </c>
      <c r="S100" s="3" t="s">
        <v>156</v>
      </c>
      <c r="T100" s="3" t="s">
        <v>277</v>
      </c>
      <c r="U100" s="3">
        <v>0</v>
      </c>
      <c r="V100" s="3">
        <v>15</v>
      </c>
      <c r="W100" s="3">
        <v>24</v>
      </c>
    </row>
    <row r="101" spans="1:23" ht="11.25" customHeight="1" x14ac:dyDescent="0.25">
      <c r="A101" s="3" t="s">
        <v>21</v>
      </c>
      <c r="B101" s="3" t="s">
        <v>35</v>
      </c>
      <c r="C101" s="3" t="s">
        <v>39</v>
      </c>
      <c r="D101" s="3" t="s">
        <v>40</v>
      </c>
      <c r="E101" s="3" t="s">
        <v>25</v>
      </c>
      <c r="F101" s="3" t="s">
        <v>25</v>
      </c>
      <c r="G101" s="3" t="s">
        <v>25</v>
      </c>
      <c r="H101" s="3" t="s">
        <v>37</v>
      </c>
      <c r="I101" s="6">
        <v>44501</v>
      </c>
      <c r="J101" s="4">
        <v>0</v>
      </c>
      <c r="K101" s="4">
        <v>0</v>
      </c>
      <c r="L101" s="4">
        <v>13.244999999999999</v>
      </c>
      <c r="M101" s="4">
        <v>13.244999999999999</v>
      </c>
      <c r="N101" s="4">
        <v>13.244999999999999</v>
      </c>
      <c r="O101" s="4">
        <v>13.244999999999999</v>
      </c>
      <c r="P101" s="4">
        <v>0</v>
      </c>
      <c r="Q101" s="3" t="s">
        <v>26</v>
      </c>
      <c r="R101" s="3">
        <v>0</v>
      </c>
      <c r="S101" s="3" t="s">
        <v>157</v>
      </c>
      <c r="T101" s="3" t="s">
        <v>278</v>
      </c>
      <c r="U101" s="3">
        <v>0</v>
      </c>
      <c r="V101" s="3">
        <v>15</v>
      </c>
      <c r="W101" s="3">
        <v>24</v>
      </c>
    </row>
    <row r="102" spans="1:23" ht="11.25" customHeight="1" x14ac:dyDescent="0.25">
      <c r="A102" s="3" t="s">
        <v>28</v>
      </c>
      <c r="B102" s="3" t="s">
        <v>35</v>
      </c>
      <c r="C102" s="3" t="s">
        <v>39</v>
      </c>
      <c r="D102" s="3" t="s">
        <v>40</v>
      </c>
      <c r="E102" s="3" t="s">
        <v>25</v>
      </c>
      <c r="F102" s="3" t="s">
        <v>25</v>
      </c>
      <c r="G102" s="3" t="s">
        <v>25</v>
      </c>
      <c r="H102" s="3" t="s">
        <v>37</v>
      </c>
      <c r="I102" s="6">
        <v>44501</v>
      </c>
      <c r="J102" s="4">
        <v>0</v>
      </c>
      <c r="K102" s="4">
        <v>0</v>
      </c>
      <c r="L102" s="4">
        <v>2.9860000000000002</v>
      </c>
      <c r="M102" s="4">
        <v>2.9860000000000002</v>
      </c>
      <c r="N102" s="4">
        <v>2.9860000000000002</v>
      </c>
      <c r="O102" s="4">
        <v>2.9860000000000002</v>
      </c>
      <c r="P102" s="4">
        <v>0</v>
      </c>
      <c r="Q102" s="3" t="s">
        <v>26</v>
      </c>
      <c r="R102" s="3">
        <v>0</v>
      </c>
      <c r="S102" s="3" t="s">
        <v>157</v>
      </c>
      <c r="T102" s="3" t="s">
        <v>278</v>
      </c>
      <c r="U102" s="3">
        <v>0</v>
      </c>
      <c r="V102" s="3">
        <v>15</v>
      </c>
      <c r="W102" s="3">
        <v>24</v>
      </c>
    </row>
    <row r="103" spans="1:23" ht="11.25" customHeight="1" x14ac:dyDescent="0.25">
      <c r="A103" s="3" t="s">
        <v>21</v>
      </c>
      <c r="B103" s="3" t="s">
        <v>35</v>
      </c>
      <c r="C103" s="3" t="s">
        <v>39</v>
      </c>
      <c r="D103" s="3" t="s">
        <v>40</v>
      </c>
      <c r="E103" s="3" t="s">
        <v>25</v>
      </c>
      <c r="F103" s="3" t="s">
        <v>25</v>
      </c>
      <c r="G103" s="3" t="s">
        <v>25</v>
      </c>
      <c r="H103" s="3" t="s">
        <v>37</v>
      </c>
      <c r="I103" s="6">
        <v>44531</v>
      </c>
      <c r="J103" s="4">
        <v>0</v>
      </c>
      <c r="K103" s="4">
        <v>0</v>
      </c>
      <c r="L103" s="4">
        <v>8.3859999999999992</v>
      </c>
      <c r="M103" s="4">
        <v>8.3859999999999992</v>
      </c>
      <c r="N103" s="4">
        <v>8.3859999999999992</v>
      </c>
      <c r="O103" s="4">
        <v>8.3859999999999992</v>
      </c>
      <c r="P103" s="4">
        <v>0</v>
      </c>
      <c r="Q103" s="3" t="s">
        <v>26</v>
      </c>
      <c r="R103" s="3">
        <v>0</v>
      </c>
      <c r="S103" s="3" t="s">
        <v>158</v>
      </c>
      <c r="T103" s="3" t="s">
        <v>279</v>
      </c>
      <c r="U103" s="3">
        <v>0</v>
      </c>
      <c r="V103" s="3">
        <v>15</v>
      </c>
      <c r="W103" s="3">
        <v>24</v>
      </c>
    </row>
    <row r="104" spans="1:23" ht="11.25" customHeight="1" x14ac:dyDescent="0.25">
      <c r="A104" s="3" t="s">
        <v>21</v>
      </c>
      <c r="B104" s="3" t="s">
        <v>35</v>
      </c>
      <c r="C104" s="3" t="s">
        <v>39</v>
      </c>
      <c r="D104" s="3" t="s">
        <v>40</v>
      </c>
      <c r="E104" s="3" t="s">
        <v>25</v>
      </c>
      <c r="F104" s="3" t="s">
        <v>25</v>
      </c>
      <c r="G104" s="3" t="s">
        <v>25</v>
      </c>
      <c r="H104" s="3" t="s">
        <v>37</v>
      </c>
      <c r="I104" s="6">
        <v>44562</v>
      </c>
      <c r="J104" s="4">
        <v>0</v>
      </c>
      <c r="K104" s="4">
        <v>0</v>
      </c>
      <c r="L104" s="4">
        <v>2.1819999999999999</v>
      </c>
      <c r="M104" s="4">
        <v>2.1819999999999999</v>
      </c>
      <c r="N104" s="4">
        <v>2.1819999999999999</v>
      </c>
      <c r="O104" s="4">
        <v>2.1819999999999999</v>
      </c>
      <c r="P104" s="4">
        <v>0</v>
      </c>
      <c r="Q104" s="3" t="s">
        <v>26</v>
      </c>
      <c r="R104" s="3">
        <v>0</v>
      </c>
      <c r="S104" s="3" t="s">
        <v>159</v>
      </c>
      <c r="T104" s="3" t="s">
        <v>280</v>
      </c>
      <c r="U104" s="3">
        <v>0</v>
      </c>
      <c r="V104" s="3">
        <v>15</v>
      </c>
      <c r="W104" s="3">
        <v>24</v>
      </c>
    </row>
    <row r="105" spans="1:23" ht="11.25" customHeight="1" x14ac:dyDescent="0.25">
      <c r="A105" s="3" t="s">
        <v>28</v>
      </c>
      <c r="B105" s="3" t="s">
        <v>35</v>
      </c>
      <c r="C105" s="3" t="s">
        <v>39</v>
      </c>
      <c r="D105" s="3" t="s">
        <v>40</v>
      </c>
      <c r="E105" s="3" t="s">
        <v>25</v>
      </c>
      <c r="F105" s="3" t="s">
        <v>25</v>
      </c>
      <c r="G105" s="3" t="s">
        <v>25</v>
      </c>
      <c r="H105" s="3" t="s">
        <v>37</v>
      </c>
      <c r="I105" s="6">
        <v>44562</v>
      </c>
      <c r="J105" s="4">
        <v>0</v>
      </c>
      <c r="K105" s="4">
        <v>0</v>
      </c>
      <c r="L105" s="4">
        <v>0.14599999999999999</v>
      </c>
      <c r="M105" s="4">
        <v>0.14599999999999999</v>
      </c>
      <c r="N105" s="4">
        <v>0.14599999999999999</v>
      </c>
      <c r="O105" s="4">
        <v>0.14599999999999999</v>
      </c>
      <c r="P105" s="4">
        <v>0</v>
      </c>
      <c r="Q105" s="3" t="s">
        <v>26</v>
      </c>
      <c r="R105" s="3">
        <v>0</v>
      </c>
      <c r="S105" s="3" t="s">
        <v>159</v>
      </c>
      <c r="T105" s="3" t="s">
        <v>280</v>
      </c>
      <c r="U105" s="3">
        <v>0</v>
      </c>
      <c r="V105" s="3">
        <v>15</v>
      </c>
      <c r="W105" s="3">
        <v>24</v>
      </c>
    </row>
    <row r="106" spans="1:23" ht="11.25" customHeight="1" x14ac:dyDescent="0.25">
      <c r="A106" s="3" t="s">
        <v>21</v>
      </c>
      <c r="B106" s="3" t="s">
        <v>35</v>
      </c>
      <c r="C106" s="3" t="s">
        <v>39</v>
      </c>
      <c r="D106" s="3" t="s">
        <v>40</v>
      </c>
      <c r="E106" s="3" t="s">
        <v>25</v>
      </c>
      <c r="F106" s="3" t="s">
        <v>25</v>
      </c>
      <c r="G106" s="3" t="s">
        <v>25</v>
      </c>
      <c r="H106" s="3" t="s">
        <v>37</v>
      </c>
      <c r="I106" s="6">
        <v>44593</v>
      </c>
      <c r="J106" s="4">
        <v>0</v>
      </c>
      <c r="K106" s="4">
        <v>0</v>
      </c>
      <c r="L106" s="4">
        <v>4.4729999999999999</v>
      </c>
      <c r="M106" s="4">
        <v>4.4729999999999999</v>
      </c>
      <c r="N106" s="4">
        <v>4.4729999999999999</v>
      </c>
      <c r="O106" s="4">
        <v>4.4729999999999999</v>
      </c>
      <c r="P106" s="4">
        <v>0</v>
      </c>
      <c r="Q106" s="3" t="s">
        <v>26</v>
      </c>
      <c r="R106" s="3">
        <v>0</v>
      </c>
      <c r="S106" s="3" t="s">
        <v>160</v>
      </c>
      <c r="T106" s="3" t="s">
        <v>281</v>
      </c>
      <c r="U106" s="3">
        <v>0</v>
      </c>
      <c r="V106" s="3">
        <v>15</v>
      </c>
      <c r="W106" s="3">
        <v>24</v>
      </c>
    </row>
    <row r="107" spans="1:23" ht="11.25" customHeight="1" x14ac:dyDescent="0.25">
      <c r="A107" s="3" t="s">
        <v>28</v>
      </c>
      <c r="B107" s="3" t="s">
        <v>35</v>
      </c>
      <c r="C107" s="3" t="s">
        <v>39</v>
      </c>
      <c r="D107" s="3" t="s">
        <v>40</v>
      </c>
      <c r="E107" s="3" t="s">
        <v>25</v>
      </c>
      <c r="F107" s="3" t="s">
        <v>25</v>
      </c>
      <c r="G107" s="3" t="s">
        <v>25</v>
      </c>
      <c r="H107" s="3" t="s">
        <v>37</v>
      </c>
      <c r="I107" s="6">
        <v>44593</v>
      </c>
      <c r="J107" s="4">
        <v>0</v>
      </c>
      <c r="K107" s="4">
        <v>0</v>
      </c>
      <c r="L107" s="4">
        <v>2.1549999999999998</v>
      </c>
      <c r="M107" s="4">
        <v>2.1549999999999998</v>
      </c>
      <c r="N107" s="4">
        <v>2.1549999999999998</v>
      </c>
      <c r="O107" s="4">
        <v>2.1549999999999998</v>
      </c>
      <c r="P107" s="4">
        <v>0</v>
      </c>
      <c r="Q107" s="3" t="s">
        <v>26</v>
      </c>
      <c r="R107" s="3">
        <v>0</v>
      </c>
      <c r="S107" s="3" t="s">
        <v>160</v>
      </c>
      <c r="T107" s="3" t="s">
        <v>281</v>
      </c>
      <c r="U107" s="3">
        <v>0</v>
      </c>
      <c r="V107" s="3">
        <v>15</v>
      </c>
      <c r="W107" s="3">
        <v>24</v>
      </c>
    </row>
    <row r="108" spans="1:23" ht="11.25" customHeight="1" x14ac:dyDescent="0.25">
      <c r="A108" s="3" t="s">
        <v>21</v>
      </c>
      <c r="B108" s="3" t="s">
        <v>35</v>
      </c>
      <c r="C108" s="3" t="s">
        <v>39</v>
      </c>
      <c r="D108" s="3" t="s">
        <v>40</v>
      </c>
      <c r="E108" s="3" t="s">
        <v>25</v>
      </c>
      <c r="F108" s="3" t="s">
        <v>25</v>
      </c>
      <c r="G108" s="3" t="s">
        <v>25</v>
      </c>
      <c r="H108" s="3" t="s">
        <v>37</v>
      </c>
      <c r="I108" s="6">
        <v>44621</v>
      </c>
      <c r="J108" s="4">
        <v>0</v>
      </c>
      <c r="K108" s="4">
        <v>0</v>
      </c>
      <c r="L108" s="4">
        <v>12.638</v>
      </c>
      <c r="M108" s="4">
        <v>12.638</v>
      </c>
      <c r="N108" s="4">
        <v>12.638</v>
      </c>
      <c r="O108" s="4">
        <v>12.638</v>
      </c>
      <c r="P108" s="4">
        <v>0</v>
      </c>
      <c r="Q108" s="3" t="s">
        <v>26</v>
      </c>
      <c r="R108" s="3">
        <v>0</v>
      </c>
      <c r="S108" s="3" t="s">
        <v>161</v>
      </c>
      <c r="T108" s="3" t="s">
        <v>282</v>
      </c>
      <c r="U108" s="3">
        <v>0</v>
      </c>
      <c r="V108" s="3">
        <v>15</v>
      </c>
      <c r="W108" s="3">
        <v>24</v>
      </c>
    </row>
    <row r="109" spans="1:23" ht="11.25" customHeight="1" x14ac:dyDescent="0.25">
      <c r="A109" s="3" t="s">
        <v>28</v>
      </c>
      <c r="B109" s="3" t="s">
        <v>35</v>
      </c>
      <c r="C109" s="3" t="s">
        <v>39</v>
      </c>
      <c r="D109" s="3" t="s">
        <v>40</v>
      </c>
      <c r="E109" s="3" t="s">
        <v>25</v>
      </c>
      <c r="F109" s="3" t="s">
        <v>25</v>
      </c>
      <c r="G109" s="3" t="s">
        <v>25</v>
      </c>
      <c r="H109" s="3" t="s">
        <v>37</v>
      </c>
      <c r="I109" s="6">
        <v>44621</v>
      </c>
      <c r="J109" s="4">
        <v>0</v>
      </c>
      <c r="K109" s="4">
        <v>0</v>
      </c>
      <c r="L109" s="4">
        <v>2.5649999999999999</v>
      </c>
      <c r="M109" s="4">
        <v>2.5649999999999999</v>
      </c>
      <c r="N109" s="4">
        <v>2.5649999999999999</v>
      </c>
      <c r="O109" s="4">
        <v>2.5649999999999999</v>
      </c>
      <c r="P109" s="4">
        <v>0</v>
      </c>
      <c r="Q109" s="3" t="s">
        <v>26</v>
      </c>
      <c r="R109" s="3">
        <v>0</v>
      </c>
      <c r="S109" s="3" t="s">
        <v>161</v>
      </c>
      <c r="T109" s="3" t="s">
        <v>282</v>
      </c>
      <c r="U109" s="3">
        <v>0</v>
      </c>
      <c r="V109" s="3">
        <v>15</v>
      </c>
      <c r="W109" s="3">
        <v>24</v>
      </c>
    </row>
    <row r="110" spans="1:23" ht="11.25" customHeight="1" x14ac:dyDescent="0.25">
      <c r="A110" s="3" t="s">
        <v>21</v>
      </c>
      <c r="B110" s="3" t="s">
        <v>35</v>
      </c>
      <c r="C110" s="3" t="s">
        <v>39</v>
      </c>
      <c r="D110" s="3" t="s">
        <v>40</v>
      </c>
      <c r="E110" s="3" t="s">
        <v>25</v>
      </c>
      <c r="F110" s="3" t="s">
        <v>25</v>
      </c>
      <c r="G110" s="3" t="s">
        <v>25</v>
      </c>
      <c r="H110" s="3" t="s">
        <v>37</v>
      </c>
      <c r="I110" s="6">
        <v>44652</v>
      </c>
      <c r="J110" s="4">
        <v>0</v>
      </c>
      <c r="K110" s="4">
        <v>0</v>
      </c>
      <c r="L110" s="4">
        <v>13.042999999999999</v>
      </c>
      <c r="M110" s="4">
        <v>13.042999999999999</v>
      </c>
      <c r="N110" s="4">
        <v>13.042999999999999</v>
      </c>
      <c r="O110" s="4">
        <v>13.042999999999999</v>
      </c>
      <c r="P110" s="4">
        <v>0</v>
      </c>
      <c r="Q110" s="3" t="s">
        <v>26</v>
      </c>
      <c r="R110" s="3">
        <v>0</v>
      </c>
      <c r="S110" s="3" t="s">
        <v>162</v>
      </c>
      <c r="T110" s="3" t="s">
        <v>283</v>
      </c>
      <c r="U110" s="3">
        <v>0</v>
      </c>
      <c r="V110" s="3">
        <v>15</v>
      </c>
      <c r="W110" s="3">
        <v>24</v>
      </c>
    </row>
    <row r="111" spans="1:23" ht="11.25" customHeight="1" x14ac:dyDescent="0.25">
      <c r="A111" s="3" t="s">
        <v>28</v>
      </c>
      <c r="B111" s="3" t="s">
        <v>35</v>
      </c>
      <c r="C111" s="3" t="s">
        <v>39</v>
      </c>
      <c r="D111" s="3" t="s">
        <v>40</v>
      </c>
      <c r="E111" s="3" t="s">
        <v>25</v>
      </c>
      <c r="F111" s="3" t="s">
        <v>25</v>
      </c>
      <c r="G111" s="3" t="s">
        <v>25</v>
      </c>
      <c r="H111" s="3" t="s">
        <v>37</v>
      </c>
      <c r="I111" s="6">
        <v>44652</v>
      </c>
      <c r="J111" s="4">
        <v>0</v>
      </c>
      <c r="K111" s="4">
        <v>0</v>
      </c>
      <c r="L111" s="4">
        <v>1.2010000000000001</v>
      </c>
      <c r="M111" s="4">
        <v>1.2010000000000001</v>
      </c>
      <c r="N111" s="4">
        <v>1.2010000000000001</v>
      </c>
      <c r="O111" s="4">
        <v>1.2010000000000001</v>
      </c>
      <c r="P111" s="4">
        <v>0</v>
      </c>
      <c r="Q111" s="3" t="s">
        <v>26</v>
      </c>
      <c r="R111" s="3">
        <v>0</v>
      </c>
      <c r="S111" s="3" t="s">
        <v>162</v>
      </c>
      <c r="T111" s="3" t="s">
        <v>283</v>
      </c>
      <c r="U111" s="3">
        <v>0</v>
      </c>
      <c r="V111" s="3">
        <v>15</v>
      </c>
      <c r="W111" s="3">
        <v>24</v>
      </c>
    </row>
    <row r="112" spans="1:23" ht="11.25" customHeight="1" x14ac:dyDescent="0.25">
      <c r="A112" s="3" t="s">
        <v>21</v>
      </c>
      <c r="B112" s="3" t="s">
        <v>35</v>
      </c>
      <c r="C112" s="3" t="s">
        <v>39</v>
      </c>
      <c r="D112" s="3" t="s">
        <v>40</v>
      </c>
      <c r="E112" s="3" t="s">
        <v>25</v>
      </c>
      <c r="F112" s="3" t="s">
        <v>25</v>
      </c>
      <c r="G112" s="3" t="s">
        <v>25</v>
      </c>
      <c r="H112" s="3" t="s">
        <v>37</v>
      </c>
      <c r="I112" s="6">
        <v>44682</v>
      </c>
      <c r="J112" s="4">
        <v>0</v>
      </c>
      <c r="K112" s="4">
        <v>0</v>
      </c>
      <c r="L112" s="4">
        <v>5.9960000000000004</v>
      </c>
      <c r="M112" s="4">
        <v>5.9960000000000004</v>
      </c>
      <c r="N112" s="4">
        <v>5.9960000000000004</v>
      </c>
      <c r="O112" s="4">
        <v>5.9960000000000004</v>
      </c>
      <c r="P112" s="4">
        <v>0</v>
      </c>
      <c r="Q112" s="3" t="s">
        <v>26</v>
      </c>
      <c r="R112" s="3">
        <v>0</v>
      </c>
      <c r="S112" s="3" t="s">
        <v>163</v>
      </c>
      <c r="T112" s="3" t="s">
        <v>284</v>
      </c>
      <c r="U112" s="3">
        <v>0</v>
      </c>
      <c r="V112" s="3">
        <v>15</v>
      </c>
      <c r="W112" s="3">
        <v>24</v>
      </c>
    </row>
    <row r="113" spans="1:23" ht="11.25" customHeight="1" x14ac:dyDescent="0.25">
      <c r="A113" s="3" t="s">
        <v>28</v>
      </c>
      <c r="B113" s="3" t="s">
        <v>35</v>
      </c>
      <c r="C113" s="3" t="s">
        <v>39</v>
      </c>
      <c r="D113" s="3" t="s">
        <v>40</v>
      </c>
      <c r="E113" s="3" t="s">
        <v>25</v>
      </c>
      <c r="F113" s="3" t="s">
        <v>25</v>
      </c>
      <c r="G113" s="3" t="s">
        <v>25</v>
      </c>
      <c r="H113" s="3" t="s">
        <v>37</v>
      </c>
      <c r="I113" s="6">
        <v>44682</v>
      </c>
      <c r="J113" s="4">
        <v>0</v>
      </c>
      <c r="K113" s="4">
        <v>0</v>
      </c>
      <c r="L113" s="4">
        <v>2.4550000000000001</v>
      </c>
      <c r="M113" s="4">
        <v>2.4550000000000001</v>
      </c>
      <c r="N113" s="4">
        <v>2.4550000000000001</v>
      </c>
      <c r="O113" s="4">
        <v>2.4550000000000001</v>
      </c>
      <c r="P113" s="4">
        <v>0</v>
      </c>
      <c r="Q113" s="3" t="s">
        <v>26</v>
      </c>
      <c r="R113" s="3">
        <v>0</v>
      </c>
      <c r="S113" s="3" t="s">
        <v>163</v>
      </c>
      <c r="T113" s="3" t="s">
        <v>284</v>
      </c>
      <c r="U113" s="3">
        <v>0</v>
      </c>
      <c r="V113" s="3">
        <v>15</v>
      </c>
      <c r="W113" s="3">
        <v>24</v>
      </c>
    </row>
    <row r="114" spans="1:23" ht="11.25" customHeight="1" x14ac:dyDescent="0.25">
      <c r="A114" s="3" t="s">
        <v>21</v>
      </c>
      <c r="B114" s="3" t="s">
        <v>35</v>
      </c>
      <c r="C114" s="3" t="s">
        <v>39</v>
      </c>
      <c r="D114" s="3" t="s">
        <v>40</v>
      </c>
      <c r="E114" s="3" t="s">
        <v>25</v>
      </c>
      <c r="F114" s="3" t="s">
        <v>25</v>
      </c>
      <c r="G114" s="3" t="s">
        <v>25</v>
      </c>
      <c r="H114" s="3" t="s">
        <v>37</v>
      </c>
      <c r="I114" s="6">
        <v>44713</v>
      </c>
      <c r="J114" s="4">
        <v>0</v>
      </c>
      <c r="K114" s="4">
        <v>0</v>
      </c>
      <c r="L114" s="4">
        <v>3.198</v>
      </c>
      <c r="M114" s="4">
        <v>3.198</v>
      </c>
      <c r="N114" s="4">
        <v>3.198</v>
      </c>
      <c r="O114" s="4">
        <v>3.198</v>
      </c>
      <c r="P114" s="4">
        <v>0</v>
      </c>
      <c r="Q114" s="3" t="s">
        <v>26</v>
      </c>
      <c r="R114" s="3">
        <v>0</v>
      </c>
      <c r="S114" s="3" t="s">
        <v>164</v>
      </c>
      <c r="T114" s="3" t="s">
        <v>285</v>
      </c>
      <c r="U114" s="3">
        <v>0</v>
      </c>
      <c r="V114" s="3">
        <v>15</v>
      </c>
      <c r="W114" s="3">
        <v>24</v>
      </c>
    </row>
    <row r="115" spans="1:23" ht="11.25" customHeight="1" x14ac:dyDescent="0.25">
      <c r="A115" s="3" t="s">
        <v>28</v>
      </c>
      <c r="B115" s="3" t="s">
        <v>35</v>
      </c>
      <c r="C115" s="3" t="s">
        <v>39</v>
      </c>
      <c r="D115" s="3" t="s">
        <v>40</v>
      </c>
      <c r="E115" s="3" t="s">
        <v>25</v>
      </c>
      <c r="F115" s="3" t="s">
        <v>25</v>
      </c>
      <c r="G115" s="3" t="s">
        <v>25</v>
      </c>
      <c r="H115" s="3" t="s">
        <v>37</v>
      </c>
      <c r="I115" s="6">
        <v>44713</v>
      </c>
      <c r="J115" s="4">
        <v>0</v>
      </c>
      <c r="K115" s="4">
        <v>0</v>
      </c>
      <c r="L115" s="4">
        <v>0.752</v>
      </c>
      <c r="M115" s="4">
        <v>0.752</v>
      </c>
      <c r="N115" s="4">
        <v>0.752</v>
      </c>
      <c r="O115" s="4">
        <v>0.752</v>
      </c>
      <c r="P115" s="4">
        <v>0</v>
      </c>
      <c r="Q115" s="3" t="s">
        <v>26</v>
      </c>
      <c r="R115" s="3">
        <v>0</v>
      </c>
      <c r="S115" s="3" t="s">
        <v>164</v>
      </c>
      <c r="T115" s="3" t="s">
        <v>285</v>
      </c>
      <c r="U115" s="3">
        <v>0</v>
      </c>
      <c r="V115" s="3">
        <v>15</v>
      </c>
      <c r="W115" s="3">
        <v>24</v>
      </c>
    </row>
    <row r="116" spans="1:23" ht="11.25" customHeight="1" x14ac:dyDescent="0.25">
      <c r="A116" s="3" t="s">
        <v>21</v>
      </c>
      <c r="B116" s="3" t="s">
        <v>35</v>
      </c>
      <c r="C116" s="3" t="s">
        <v>39</v>
      </c>
      <c r="D116" s="3" t="s">
        <v>34</v>
      </c>
      <c r="E116" s="3" t="s">
        <v>25</v>
      </c>
      <c r="F116" s="3" t="s">
        <v>25</v>
      </c>
      <c r="G116" s="3" t="s">
        <v>25</v>
      </c>
      <c r="H116" s="3" t="s">
        <v>38</v>
      </c>
      <c r="I116" s="6">
        <v>44378</v>
      </c>
      <c r="J116" s="4">
        <v>0</v>
      </c>
      <c r="K116" s="4">
        <v>0</v>
      </c>
      <c r="L116" s="4">
        <v>1086.672</v>
      </c>
      <c r="M116" s="4">
        <v>1086.672</v>
      </c>
      <c r="N116" s="4">
        <v>1086.672</v>
      </c>
      <c r="O116" s="4">
        <v>1086.672</v>
      </c>
      <c r="P116" s="4">
        <v>0</v>
      </c>
      <c r="Q116" s="3" t="s">
        <v>26</v>
      </c>
      <c r="R116" s="3">
        <v>0</v>
      </c>
      <c r="S116" s="3" t="s">
        <v>129</v>
      </c>
      <c r="T116" s="3" t="s">
        <v>262</v>
      </c>
      <c r="U116" s="3">
        <v>0</v>
      </c>
      <c r="V116" s="3">
        <v>3</v>
      </c>
      <c r="W116" s="3">
        <v>48</v>
      </c>
    </row>
    <row r="117" spans="1:23" ht="11.25" customHeight="1" x14ac:dyDescent="0.25">
      <c r="A117" s="3" t="s">
        <v>21</v>
      </c>
      <c r="B117" s="3" t="s">
        <v>35</v>
      </c>
      <c r="C117" s="3" t="s">
        <v>39</v>
      </c>
      <c r="D117" s="3" t="s">
        <v>34</v>
      </c>
      <c r="E117" s="3" t="s">
        <v>25</v>
      </c>
      <c r="F117" s="3" t="s">
        <v>25</v>
      </c>
      <c r="G117" s="3" t="s">
        <v>25</v>
      </c>
      <c r="H117" s="3" t="s">
        <v>38</v>
      </c>
      <c r="I117" s="6">
        <v>44409</v>
      </c>
      <c r="J117" s="4">
        <v>0</v>
      </c>
      <c r="K117" s="4">
        <v>0</v>
      </c>
      <c r="L117" s="4">
        <v>1091.9949999999999</v>
      </c>
      <c r="M117" s="4">
        <v>1091.9949999999999</v>
      </c>
      <c r="N117" s="4">
        <v>1091.9949999999999</v>
      </c>
      <c r="O117" s="4">
        <v>1091.9949999999999</v>
      </c>
      <c r="P117" s="4">
        <v>0</v>
      </c>
      <c r="Q117" s="3" t="s">
        <v>26</v>
      </c>
      <c r="R117" s="3">
        <v>0</v>
      </c>
      <c r="S117" s="3" t="s">
        <v>130</v>
      </c>
      <c r="T117" s="3" t="s">
        <v>263</v>
      </c>
      <c r="U117" s="3">
        <v>0</v>
      </c>
      <c r="V117" s="3">
        <v>3</v>
      </c>
      <c r="W117" s="3">
        <v>48</v>
      </c>
    </row>
    <row r="118" spans="1:23" ht="11.25" customHeight="1" x14ac:dyDescent="0.25">
      <c r="A118" s="3" t="s">
        <v>21</v>
      </c>
      <c r="B118" s="3" t="s">
        <v>35</v>
      </c>
      <c r="C118" s="3" t="s">
        <v>39</v>
      </c>
      <c r="D118" s="3" t="s">
        <v>34</v>
      </c>
      <c r="E118" s="3" t="s">
        <v>25</v>
      </c>
      <c r="F118" s="3" t="s">
        <v>25</v>
      </c>
      <c r="G118" s="3" t="s">
        <v>25</v>
      </c>
      <c r="H118" s="3" t="s">
        <v>38</v>
      </c>
      <c r="I118" s="6">
        <v>44440</v>
      </c>
      <c r="J118" s="4">
        <v>0</v>
      </c>
      <c r="K118" s="4">
        <v>0</v>
      </c>
      <c r="L118" s="4">
        <v>1082.499</v>
      </c>
      <c r="M118" s="4">
        <v>1082.499</v>
      </c>
      <c r="N118" s="4">
        <v>1082.499</v>
      </c>
      <c r="O118" s="4">
        <v>1082.499</v>
      </c>
      <c r="P118" s="4">
        <v>0</v>
      </c>
      <c r="Q118" s="3" t="s">
        <v>26</v>
      </c>
      <c r="R118" s="3">
        <v>0</v>
      </c>
      <c r="S118" s="3" t="s">
        <v>131</v>
      </c>
      <c r="T118" s="3" t="s">
        <v>264</v>
      </c>
      <c r="U118" s="3">
        <v>0</v>
      </c>
      <c r="V118" s="3">
        <v>3</v>
      </c>
      <c r="W118" s="3">
        <v>48</v>
      </c>
    </row>
    <row r="119" spans="1:23" ht="11.25" customHeight="1" x14ac:dyDescent="0.25">
      <c r="A119" s="3" t="s">
        <v>21</v>
      </c>
      <c r="B119" s="3" t="s">
        <v>35</v>
      </c>
      <c r="C119" s="3" t="s">
        <v>39</v>
      </c>
      <c r="D119" s="3" t="s">
        <v>34</v>
      </c>
      <c r="E119" s="3" t="s">
        <v>25</v>
      </c>
      <c r="F119" s="3" t="s">
        <v>25</v>
      </c>
      <c r="G119" s="3" t="s">
        <v>25</v>
      </c>
      <c r="H119" s="3" t="s">
        <v>38</v>
      </c>
      <c r="I119" s="6">
        <v>44470</v>
      </c>
      <c r="J119" s="4">
        <v>0</v>
      </c>
      <c r="K119" s="4">
        <v>0</v>
      </c>
      <c r="L119" s="4">
        <v>1057.127</v>
      </c>
      <c r="M119" s="4">
        <v>1057.127</v>
      </c>
      <c r="N119" s="4">
        <v>1057.127</v>
      </c>
      <c r="O119" s="4">
        <v>1057.127</v>
      </c>
      <c r="P119" s="4">
        <v>0</v>
      </c>
      <c r="Q119" s="3" t="s">
        <v>26</v>
      </c>
      <c r="R119" s="3">
        <v>0</v>
      </c>
      <c r="S119" s="3" t="s">
        <v>132</v>
      </c>
      <c r="T119" s="3" t="s">
        <v>265</v>
      </c>
      <c r="U119" s="3">
        <v>0</v>
      </c>
      <c r="V119" s="3">
        <v>3</v>
      </c>
      <c r="W119" s="3">
        <v>48</v>
      </c>
    </row>
    <row r="120" spans="1:23" ht="11.25" customHeight="1" x14ac:dyDescent="0.25">
      <c r="A120" s="3" t="s">
        <v>21</v>
      </c>
      <c r="B120" s="3" t="s">
        <v>35</v>
      </c>
      <c r="C120" s="3" t="s">
        <v>39</v>
      </c>
      <c r="D120" s="3" t="s">
        <v>34</v>
      </c>
      <c r="E120" s="3" t="s">
        <v>25</v>
      </c>
      <c r="F120" s="3" t="s">
        <v>25</v>
      </c>
      <c r="G120" s="3" t="s">
        <v>25</v>
      </c>
      <c r="H120" s="3" t="s">
        <v>38</v>
      </c>
      <c r="I120" s="6">
        <v>44501</v>
      </c>
      <c r="J120" s="4">
        <v>0</v>
      </c>
      <c r="K120" s="4">
        <v>0</v>
      </c>
      <c r="L120" s="4">
        <v>952.18200000000002</v>
      </c>
      <c r="M120" s="4">
        <v>952.18200000000002</v>
      </c>
      <c r="N120" s="4">
        <v>952.18200000000002</v>
      </c>
      <c r="O120" s="4">
        <v>952.18200000000002</v>
      </c>
      <c r="P120" s="4">
        <v>0</v>
      </c>
      <c r="Q120" s="3" t="s">
        <v>26</v>
      </c>
      <c r="R120" s="3">
        <v>0</v>
      </c>
      <c r="S120" s="3" t="s">
        <v>133</v>
      </c>
      <c r="T120" s="3" t="s">
        <v>266</v>
      </c>
      <c r="U120" s="3">
        <v>0</v>
      </c>
      <c r="V120" s="3">
        <v>3</v>
      </c>
      <c r="W120" s="3">
        <v>48</v>
      </c>
    </row>
    <row r="121" spans="1:23" ht="11.25" customHeight="1" x14ac:dyDescent="0.25">
      <c r="A121" s="3" t="s">
        <v>21</v>
      </c>
      <c r="B121" s="3" t="s">
        <v>35</v>
      </c>
      <c r="C121" s="3" t="s">
        <v>39</v>
      </c>
      <c r="D121" s="3" t="s">
        <v>34</v>
      </c>
      <c r="E121" s="3" t="s">
        <v>25</v>
      </c>
      <c r="F121" s="3" t="s">
        <v>25</v>
      </c>
      <c r="G121" s="3" t="s">
        <v>25</v>
      </c>
      <c r="H121" s="3" t="s">
        <v>38</v>
      </c>
      <c r="I121" s="6">
        <v>44531</v>
      </c>
      <c r="J121" s="4">
        <v>0</v>
      </c>
      <c r="K121" s="4">
        <v>0</v>
      </c>
      <c r="L121" s="4">
        <v>1038.0909999999999</v>
      </c>
      <c r="M121" s="4">
        <v>1038.0909999999999</v>
      </c>
      <c r="N121" s="4">
        <v>1038.0909999999999</v>
      </c>
      <c r="O121" s="4">
        <v>1038.0909999999999</v>
      </c>
      <c r="P121" s="4">
        <v>0</v>
      </c>
      <c r="Q121" s="3" t="s">
        <v>26</v>
      </c>
      <c r="R121" s="3">
        <v>0</v>
      </c>
      <c r="S121" s="3" t="s">
        <v>134</v>
      </c>
      <c r="T121" s="3" t="s">
        <v>267</v>
      </c>
      <c r="U121" s="3">
        <v>0</v>
      </c>
      <c r="V121" s="3">
        <v>3</v>
      </c>
      <c r="W121" s="3">
        <v>48</v>
      </c>
    </row>
    <row r="122" spans="1:23" ht="11.25" customHeight="1" x14ac:dyDescent="0.25">
      <c r="A122" s="3" t="s">
        <v>21</v>
      </c>
      <c r="B122" s="3" t="s">
        <v>35</v>
      </c>
      <c r="C122" s="3" t="s">
        <v>39</v>
      </c>
      <c r="D122" s="3" t="s">
        <v>34</v>
      </c>
      <c r="E122" s="3" t="s">
        <v>25</v>
      </c>
      <c r="F122" s="3" t="s">
        <v>25</v>
      </c>
      <c r="G122" s="3" t="s">
        <v>25</v>
      </c>
      <c r="H122" s="3" t="s">
        <v>38</v>
      </c>
      <c r="I122" s="6">
        <v>44562</v>
      </c>
      <c r="J122" s="4">
        <v>0</v>
      </c>
      <c r="K122" s="4">
        <v>0</v>
      </c>
      <c r="L122" s="4">
        <v>1046.152</v>
      </c>
      <c r="M122" s="4">
        <v>1046.152</v>
      </c>
      <c r="N122" s="4">
        <v>1046.152</v>
      </c>
      <c r="O122" s="4">
        <v>1046.152</v>
      </c>
      <c r="P122" s="4">
        <v>0</v>
      </c>
      <c r="Q122" s="3" t="s">
        <v>26</v>
      </c>
      <c r="R122" s="3">
        <v>0</v>
      </c>
      <c r="S122" s="3" t="s">
        <v>135</v>
      </c>
      <c r="T122" s="3" t="s">
        <v>268</v>
      </c>
      <c r="U122" s="3">
        <v>0</v>
      </c>
      <c r="V122" s="3">
        <v>3</v>
      </c>
      <c r="W122" s="3">
        <v>48</v>
      </c>
    </row>
    <row r="123" spans="1:23" ht="11.25" customHeight="1" x14ac:dyDescent="0.25">
      <c r="A123" s="3" t="s">
        <v>21</v>
      </c>
      <c r="B123" s="3" t="s">
        <v>35</v>
      </c>
      <c r="C123" s="3" t="s">
        <v>39</v>
      </c>
      <c r="D123" s="3" t="s">
        <v>34</v>
      </c>
      <c r="E123" s="3" t="s">
        <v>25</v>
      </c>
      <c r="F123" s="3" t="s">
        <v>25</v>
      </c>
      <c r="G123" s="3" t="s">
        <v>25</v>
      </c>
      <c r="H123" s="3" t="s">
        <v>38</v>
      </c>
      <c r="I123" s="6">
        <v>44593</v>
      </c>
      <c r="J123" s="4">
        <v>0</v>
      </c>
      <c r="K123" s="4">
        <v>0</v>
      </c>
      <c r="L123" s="4">
        <v>1024.1579999999999</v>
      </c>
      <c r="M123" s="4">
        <v>1024.1579999999999</v>
      </c>
      <c r="N123" s="4">
        <v>1024.1579999999999</v>
      </c>
      <c r="O123" s="4">
        <v>1024.1579999999999</v>
      </c>
      <c r="P123" s="4">
        <v>0</v>
      </c>
      <c r="Q123" s="3" t="s">
        <v>26</v>
      </c>
      <c r="R123" s="3">
        <v>0</v>
      </c>
      <c r="S123" s="3" t="s">
        <v>136</v>
      </c>
      <c r="T123" s="3" t="s">
        <v>269</v>
      </c>
      <c r="U123" s="3">
        <v>0</v>
      </c>
      <c r="V123" s="3">
        <v>3</v>
      </c>
      <c r="W123" s="3">
        <v>48</v>
      </c>
    </row>
    <row r="124" spans="1:23" ht="11.25" customHeight="1" x14ac:dyDescent="0.25">
      <c r="A124" s="3" t="s">
        <v>21</v>
      </c>
      <c r="B124" s="3" t="s">
        <v>35</v>
      </c>
      <c r="C124" s="3" t="s">
        <v>39</v>
      </c>
      <c r="D124" s="3" t="s">
        <v>34</v>
      </c>
      <c r="E124" s="3" t="s">
        <v>25</v>
      </c>
      <c r="F124" s="3" t="s">
        <v>25</v>
      </c>
      <c r="G124" s="3" t="s">
        <v>25</v>
      </c>
      <c r="H124" s="3" t="s">
        <v>38</v>
      </c>
      <c r="I124" s="6">
        <v>44621</v>
      </c>
      <c r="J124" s="4">
        <v>0</v>
      </c>
      <c r="K124" s="4">
        <v>0</v>
      </c>
      <c r="L124" s="4">
        <v>1130.4449999999999</v>
      </c>
      <c r="M124" s="4">
        <v>1130.4449999999999</v>
      </c>
      <c r="N124" s="4">
        <v>1130.4449999999999</v>
      </c>
      <c r="O124" s="4">
        <v>1130.4449999999999</v>
      </c>
      <c r="P124" s="4">
        <v>0</v>
      </c>
      <c r="Q124" s="3" t="s">
        <v>26</v>
      </c>
      <c r="R124" s="3">
        <v>0</v>
      </c>
      <c r="S124" s="3" t="s">
        <v>137</v>
      </c>
      <c r="T124" s="3" t="s">
        <v>270</v>
      </c>
      <c r="U124" s="3">
        <v>0</v>
      </c>
      <c r="V124" s="3">
        <v>3</v>
      </c>
      <c r="W124" s="3">
        <v>48</v>
      </c>
    </row>
    <row r="125" spans="1:23" ht="11.25" customHeight="1" x14ac:dyDescent="0.25">
      <c r="A125" s="3" t="s">
        <v>21</v>
      </c>
      <c r="B125" s="3" t="s">
        <v>35</v>
      </c>
      <c r="C125" s="3" t="s">
        <v>39</v>
      </c>
      <c r="D125" s="3" t="s">
        <v>34</v>
      </c>
      <c r="E125" s="3" t="s">
        <v>25</v>
      </c>
      <c r="F125" s="3" t="s">
        <v>25</v>
      </c>
      <c r="G125" s="3" t="s">
        <v>25</v>
      </c>
      <c r="H125" s="3" t="s">
        <v>38</v>
      </c>
      <c r="I125" s="6">
        <v>44652</v>
      </c>
      <c r="J125" s="4">
        <v>0</v>
      </c>
      <c r="K125" s="4">
        <v>0</v>
      </c>
      <c r="L125" s="4">
        <v>998.76900000000001</v>
      </c>
      <c r="M125" s="4">
        <v>998.76900000000001</v>
      </c>
      <c r="N125" s="4">
        <v>998.76900000000001</v>
      </c>
      <c r="O125" s="4">
        <v>998.76900000000001</v>
      </c>
      <c r="P125" s="4">
        <v>0</v>
      </c>
      <c r="Q125" s="3" t="s">
        <v>26</v>
      </c>
      <c r="R125" s="3">
        <v>0</v>
      </c>
      <c r="S125" s="3" t="s">
        <v>138</v>
      </c>
      <c r="T125" s="3" t="s">
        <v>271</v>
      </c>
      <c r="U125" s="3">
        <v>0</v>
      </c>
      <c r="V125" s="3">
        <v>3</v>
      </c>
      <c r="W125" s="3">
        <v>48</v>
      </c>
    </row>
    <row r="126" spans="1:23" ht="11.25" customHeight="1" x14ac:dyDescent="0.25">
      <c r="A126" s="3" t="s">
        <v>21</v>
      </c>
      <c r="B126" s="3" t="s">
        <v>35</v>
      </c>
      <c r="C126" s="3" t="s">
        <v>39</v>
      </c>
      <c r="D126" s="3" t="s">
        <v>34</v>
      </c>
      <c r="E126" s="3" t="s">
        <v>25</v>
      </c>
      <c r="F126" s="3" t="s">
        <v>25</v>
      </c>
      <c r="G126" s="3" t="s">
        <v>25</v>
      </c>
      <c r="H126" s="3" t="s">
        <v>38</v>
      </c>
      <c r="I126" s="6">
        <v>44682</v>
      </c>
      <c r="J126" s="4">
        <v>0</v>
      </c>
      <c r="K126" s="4">
        <v>0</v>
      </c>
      <c r="L126" s="4">
        <v>1016.205</v>
      </c>
      <c r="M126" s="4">
        <v>1016.205</v>
      </c>
      <c r="N126" s="4">
        <v>1016.205</v>
      </c>
      <c r="O126" s="4">
        <v>1016.205</v>
      </c>
      <c r="P126" s="4">
        <v>0</v>
      </c>
      <c r="Q126" s="3" t="s">
        <v>26</v>
      </c>
      <c r="R126" s="3">
        <v>0</v>
      </c>
      <c r="S126" s="3" t="s">
        <v>139</v>
      </c>
      <c r="T126" s="3" t="s">
        <v>272</v>
      </c>
      <c r="U126" s="3">
        <v>0</v>
      </c>
      <c r="V126" s="3">
        <v>3</v>
      </c>
      <c r="W126" s="3">
        <v>48</v>
      </c>
    </row>
    <row r="127" spans="1:23" ht="11.25" customHeight="1" x14ac:dyDescent="0.25">
      <c r="A127" s="3" t="s">
        <v>21</v>
      </c>
      <c r="B127" s="3" t="s">
        <v>35</v>
      </c>
      <c r="C127" s="3" t="s">
        <v>39</v>
      </c>
      <c r="D127" s="3" t="s">
        <v>34</v>
      </c>
      <c r="E127" s="3" t="s">
        <v>25</v>
      </c>
      <c r="F127" s="3" t="s">
        <v>25</v>
      </c>
      <c r="G127" s="3" t="s">
        <v>25</v>
      </c>
      <c r="H127" s="3" t="s">
        <v>38</v>
      </c>
      <c r="I127" s="6">
        <v>44713</v>
      </c>
      <c r="J127" s="4">
        <v>0</v>
      </c>
      <c r="K127" s="4">
        <v>0</v>
      </c>
      <c r="L127" s="4">
        <v>929.51199999999994</v>
      </c>
      <c r="M127" s="4">
        <v>929.51199999999994</v>
      </c>
      <c r="N127" s="4">
        <v>929.51199999999994</v>
      </c>
      <c r="O127" s="4">
        <v>929.51199999999994</v>
      </c>
      <c r="P127" s="4">
        <v>0</v>
      </c>
      <c r="Q127" s="3" t="s">
        <v>26</v>
      </c>
      <c r="R127" s="3">
        <v>0</v>
      </c>
      <c r="S127" s="3" t="s">
        <v>140</v>
      </c>
      <c r="T127" s="3" t="s">
        <v>273</v>
      </c>
      <c r="U127" s="3">
        <v>0</v>
      </c>
      <c r="V127" s="3">
        <v>3</v>
      </c>
      <c r="W127" s="3">
        <v>48</v>
      </c>
    </row>
    <row r="128" spans="1:23" ht="11.25" customHeight="1" x14ac:dyDescent="0.25">
      <c r="A128" s="3" t="s">
        <v>21</v>
      </c>
      <c r="B128" s="3" t="s">
        <v>35</v>
      </c>
      <c r="C128" s="3" t="s">
        <v>39</v>
      </c>
      <c r="D128" s="3" t="s">
        <v>34</v>
      </c>
      <c r="E128" s="3" t="s">
        <v>25</v>
      </c>
      <c r="F128" s="3" t="s">
        <v>25</v>
      </c>
      <c r="G128" s="3" t="s">
        <v>25</v>
      </c>
      <c r="H128" s="3" t="s">
        <v>25</v>
      </c>
      <c r="I128" s="6">
        <v>44378</v>
      </c>
      <c r="J128" s="4">
        <v>4099</v>
      </c>
      <c r="K128" s="4">
        <v>4099</v>
      </c>
      <c r="L128" s="4">
        <v>0</v>
      </c>
      <c r="M128" s="4">
        <v>0</v>
      </c>
      <c r="N128" s="4">
        <v>0</v>
      </c>
      <c r="O128" s="4">
        <v>0</v>
      </c>
      <c r="P128" s="4">
        <v>15</v>
      </c>
      <c r="Q128" s="3" t="s">
        <v>26</v>
      </c>
      <c r="R128" s="3">
        <v>0</v>
      </c>
      <c r="S128" s="3" t="s">
        <v>141</v>
      </c>
      <c r="U128" s="3">
        <v>31</v>
      </c>
      <c r="V128" s="3">
        <v>0</v>
      </c>
      <c r="W128" s="3">
        <v>0</v>
      </c>
    </row>
    <row r="129" spans="1:23" ht="11.25" customHeight="1" x14ac:dyDescent="0.25">
      <c r="A129" s="3" t="s">
        <v>21</v>
      </c>
      <c r="B129" s="3" t="s">
        <v>35</v>
      </c>
      <c r="C129" s="3" t="s">
        <v>39</v>
      </c>
      <c r="D129" s="3" t="s">
        <v>34</v>
      </c>
      <c r="E129" s="3" t="s">
        <v>25</v>
      </c>
      <c r="F129" s="3" t="s">
        <v>25</v>
      </c>
      <c r="G129" s="3" t="s">
        <v>25</v>
      </c>
      <c r="H129" s="3" t="s">
        <v>25</v>
      </c>
      <c r="I129" s="6">
        <v>44409</v>
      </c>
      <c r="J129" s="4">
        <v>3969</v>
      </c>
      <c r="K129" s="4">
        <v>3969</v>
      </c>
      <c r="L129" s="4">
        <v>0</v>
      </c>
      <c r="M129" s="4">
        <v>0</v>
      </c>
      <c r="N129" s="4">
        <v>0</v>
      </c>
      <c r="O129" s="4">
        <v>0</v>
      </c>
      <c r="P129" s="4">
        <v>15</v>
      </c>
      <c r="Q129" s="3" t="s">
        <v>26</v>
      </c>
      <c r="R129" s="3">
        <v>0</v>
      </c>
      <c r="S129" s="3" t="s">
        <v>142</v>
      </c>
      <c r="U129" s="3">
        <v>31</v>
      </c>
      <c r="V129" s="3">
        <v>0</v>
      </c>
      <c r="W129" s="3">
        <v>0</v>
      </c>
    </row>
    <row r="130" spans="1:23" ht="11.25" customHeight="1" x14ac:dyDescent="0.25">
      <c r="A130" s="3" t="s">
        <v>27</v>
      </c>
      <c r="B130" s="3" t="s">
        <v>35</v>
      </c>
      <c r="C130" s="3" t="s">
        <v>39</v>
      </c>
      <c r="D130" s="3" t="s">
        <v>34</v>
      </c>
      <c r="E130" s="3" t="s">
        <v>25</v>
      </c>
      <c r="F130" s="3" t="s">
        <v>25</v>
      </c>
      <c r="G130" s="3" t="s">
        <v>25</v>
      </c>
      <c r="H130" s="3" t="s">
        <v>25</v>
      </c>
      <c r="I130" s="6">
        <v>44409</v>
      </c>
      <c r="J130" s="4">
        <v>-107</v>
      </c>
      <c r="K130" s="4">
        <v>-107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3" t="s">
        <v>26</v>
      </c>
      <c r="R130" s="3">
        <v>0</v>
      </c>
      <c r="S130" s="3" t="s">
        <v>142</v>
      </c>
      <c r="U130" s="3">
        <v>31</v>
      </c>
      <c r="V130" s="3">
        <v>0</v>
      </c>
      <c r="W130" s="3">
        <v>0</v>
      </c>
    </row>
    <row r="131" spans="1:23" ht="11.25" customHeight="1" x14ac:dyDescent="0.25">
      <c r="A131" s="3" t="s">
        <v>21</v>
      </c>
      <c r="B131" s="3" t="s">
        <v>35</v>
      </c>
      <c r="C131" s="3" t="s">
        <v>39</v>
      </c>
      <c r="D131" s="3" t="s">
        <v>34</v>
      </c>
      <c r="E131" s="3" t="s">
        <v>25</v>
      </c>
      <c r="F131" s="3" t="s">
        <v>25</v>
      </c>
      <c r="G131" s="3" t="s">
        <v>25</v>
      </c>
      <c r="H131" s="3" t="s">
        <v>25</v>
      </c>
      <c r="I131" s="6">
        <v>44440</v>
      </c>
      <c r="J131" s="4">
        <v>3996</v>
      </c>
      <c r="K131" s="4">
        <v>3996</v>
      </c>
      <c r="L131" s="4">
        <v>0</v>
      </c>
      <c r="M131" s="4">
        <v>0</v>
      </c>
      <c r="N131" s="4">
        <v>0</v>
      </c>
      <c r="O131" s="4">
        <v>0</v>
      </c>
      <c r="P131" s="4">
        <v>15</v>
      </c>
      <c r="Q131" s="3" t="s">
        <v>26</v>
      </c>
      <c r="R131" s="3">
        <v>0</v>
      </c>
      <c r="S131" s="3" t="s">
        <v>143</v>
      </c>
      <c r="U131" s="3">
        <v>31</v>
      </c>
      <c r="V131" s="3">
        <v>0</v>
      </c>
      <c r="W131" s="3">
        <v>0</v>
      </c>
    </row>
    <row r="132" spans="1:23" ht="11.25" customHeight="1" x14ac:dyDescent="0.25">
      <c r="A132" s="3" t="s">
        <v>21</v>
      </c>
      <c r="B132" s="3" t="s">
        <v>35</v>
      </c>
      <c r="C132" s="3" t="s">
        <v>39</v>
      </c>
      <c r="D132" s="3" t="s">
        <v>34</v>
      </c>
      <c r="E132" s="3" t="s">
        <v>25</v>
      </c>
      <c r="F132" s="3" t="s">
        <v>25</v>
      </c>
      <c r="G132" s="3" t="s">
        <v>25</v>
      </c>
      <c r="H132" s="3" t="s">
        <v>25</v>
      </c>
      <c r="I132" s="6">
        <v>44470</v>
      </c>
      <c r="J132" s="4">
        <v>3949</v>
      </c>
      <c r="K132" s="4">
        <v>3949</v>
      </c>
      <c r="L132" s="4">
        <v>0</v>
      </c>
      <c r="M132" s="4">
        <v>0</v>
      </c>
      <c r="N132" s="4">
        <v>0</v>
      </c>
      <c r="O132" s="4">
        <v>0</v>
      </c>
      <c r="P132" s="4">
        <v>15</v>
      </c>
      <c r="Q132" s="3" t="s">
        <v>26</v>
      </c>
      <c r="R132" s="3">
        <v>0</v>
      </c>
      <c r="S132" s="3" t="s">
        <v>144</v>
      </c>
      <c r="U132" s="3">
        <v>31</v>
      </c>
      <c r="V132" s="3">
        <v>0</v>
      </c>
      <c r="W132" s="3">
        <v>0</v>
      </c>
    </row>
    <row r="133" spans="1:23" ht="11.25" customHeight="1" x14ac:dyDescent="0.25">
      <c r="A133" s="3" t="s">
        <v>21</v>
      </c>
      <c r="B133" s="3" t="s">
        <v>35</v>
      </c>
      <c r="C133" s="3" t="s">
        <v>39</v>
      </c>
      <c r="D133" s="3" t="s">
        <v>34</v>
      </c>
      <c r="E133" s="3" t="s">
        <v>25</v>
      </c>
      <c r="F133" s="3" t="s">
        <v>25</v>
      </c>
      <c r="G133" s="3" t="s">
        <v>25</v>
      </c>
      <c r="H133" s="3" t="s">
        <v>25</v>
      </c>
      <c r="I133" s="6">
        <v>44501</v>
      </c>
      <c r="J133" s="4">
        <v>3981</v>
      </c>
      <c r="K133" s="4">
        <v>3981</v>
      </c>
      <c r="L133" s="4">
        <v>0</v>
      </c>
      <c r="M133" s="4">
        <v>0</v>
      </c>
      <c r="N133" s="4">
        <v>0</v>
      </c>
      <c r="O133" s="4">
        <v>0</v>
      </c>
      <c r="P133" s="4">
        <v>15</v>
      </c>
      <c r="Q133" s="3" t="s">
        <v>26</v>
      </c>
      <c r="R133" s="3">
        <v>0</v>
      </c>
      <c r="S133" s="3" t="s">
        <v>145</v>
      </c>
      <c r="U133" s="3">
        <v>31</v>
      </c>
      <c r="V133" s="3">
        <v>0</v>
      </c>
      <c r="W133" s="3">
        <v>0</v>
      </c>
    </row>
    <row r="134" spans="1:23" ht="11.25" customHeight="1" x14ac:dyDescent="0.25">
      <c r="A134" s="3" t="s">
        <v>21</v>
      </c>
      <c r="B134" s="3" t="s">
        <v>35</v>
      </c>
      <c r="C134" s="3" t="s">
        <v>39</v>
      </c>
      <c r="D134" s="3" t="s">
        <v>34</v>
      </c>
      <c r="E134" s="3" t="s">
        <v>25</v>
      </c>
      <c r="F134" s="3" t="s">
        <v>25</v>
      </c>
      <c r="G134" s="3" t="s">
        <v>25</v>
      </c>
      <c r="H134" s="3" t="s">
        <v>25</v>
      </c>
      <c r="I134" s="6">
        <v>44531</v>
      </c>
      <c r="J134" s="4">
        <v>4076</v>
      </c>
      <c r="K134" s="4">
        <v>4076</v>
      </c>
      <c r="L134" s="4">
        <v>0</v>
      </c>
      <c r="M134" s="4">
        <v>0</v>
      </c>
      <c r="N134" s="4">
        <v>0</v>
      </c>
      <c r="O134" s="4">
        <v>0</v>
      </c>
      <c r="P134" s="4">
        <v>15</v>
      </c>
      <c r="Q134" s="3" t="s">
        <v>26</v>
      </c>
      <c r="R134" s="3">
        <v>0</v>
      </c>
      <c r="S134" s="3" t="s">
        <v>146</v>
      </c>
      <c r="U134" s="3">
        <v>31</v>
      </c>
      <c r="V134" s="3">
        <v>0</v>
      </c>
      <c r="W134" s="3">
        <v>0</v>
      </c>
    </row>
    <row r="135" spans="1:23" ht="11.25" customHeight="1" x14ac:dyDescent="0.25">
      <c r="A135" s="3" t="s">
        <v>21</v>
      </c>
      <c r="B135" s="3" t="s">
        <v>35</v>
      </c>
      <c r="C135" s="3" t="s">
        <v>39</v>
      </c>
      <c r="D135" s="3" t="s">
        <v>34</v>
      </c>
      <c r="E135" s="3" t="s">
        <v>25</v>
      </c>
      <c r="F135" s="3" t="s">
        <v>25</v>
      </c>
      <c r="G135" s="3" t="s">
        <v>25</v>
      </c>
      <c r="H135" s="3" t="s">
        <v>25</v>
      </c>
      <c r="I135" s="6">
        <v>44562</v>
      </c>
      <c r="J135" s="4">
        <v>3928</v>
      </c>
      <c r="K135" s="4">
        <v>3928</v>
      </c>
      <c r="L135" s="4">
        <v>0</v>
      </c>
      <c r="M135" s="4">
        <v>0</v>
      </c>
      <c r="N135" s="4">
        <v>0</v>
      </c>
      <c r="O135" s="4">
        <v>0</v>
      </c>
      <c r="P135" s="4">
        <v>14</v>
      </c>
      <c r="Q135" s="3" t="s">
        <v>26</v>
      </c>
      <c r="R135" s="3">
        <v>0</v>
      </c>
      <c r="S135" s="3" t="s">
        <v>147</v>
      </c>
      <c r="U135" s="3">
        <v>31</v>
      </c>
      <c r="V135" s="3">
        <v>0</v>
      </c>
      <c r="W135" s="3">
        <v>0</v>
      </c>
    </row>
    <row r="136" spans="1:23" ht="11.25" customHeight="1" x14ac:dyDescent="0.25">
      <c r="A136" s="3" t="s">
        <v>21</v>
      </c>
      <c r="B136" s="3" t="s">
        <v>35</v>
      </c>
      <c r="C136" s="3" t="s">
        <v>39</v>
      </c>
      <c r="D136" s="3" t="s">
        <v>34</v>
      </c>
      <c r="E136" s="3" t="s">
        <v>25</v>
      </c>
      <c r="F136" s="3" t="s">
        <v>25</v>
      </c>
      <c r="G136" s="3" t="s">
        <v>25</v>
      </c>
      <c r="H136" s="3" t="s">
        <v>25</v>
      </c>
      <c r="I136" s="6">
        <v>44593</v>
      </c>
      <c r="J136" s="4">
        <v>4044</v>
      </c>
      <c r="K136" s="4">
        <v>4044</v>
      </c>
      <c r="L136" s="4">
        <v>0</v>
      </c>
      <c r="M136" s="4">
        <v>0</v>
      </c>
      <c r="N136" s="4">
        <v>0</v>
      </c>
      <c r="O136" s="4">
        <v>0</v>
      </c>
      <c r="P136" s="4">
        <v>15</v>
      </c>
      <c r="Q136" s="3" t="s">
        <v>26</v>
      </c>
      <c r="R136" s="3">
        <v>0</v>
      </c>
      <c r="S136" s="3" t="s">
        <v>148</v>
      </c>
      <c r="U136" s="3">
        <v>31</v>
      </c>
      <c r="V136" s="3">
        <v>0</v>
      </c>
      <c r="W136" s="3">
        <v>0</v>
      </c>
    </row>
    <row r="137" spans="1:23" ht="11.25" customHeight="1" x14ac:dyDescent="0.25">
      <c r="A137" s="3" t="s">
        <v>21</v>
      </c>
      <c r="B137" s="3" t="s">
        <v>35</v>
      </c>
      <c r="C137" s="3" t="s">
        <v>39</v>
      </c>
      <c r="D137" s="3" t="s">
        <v>34</v>
      </c>
      <c r="E137" s="3" t="s">
        <v>25</v>
      </c>
      <c r="F137" s="3" t="s">
        <v>25</v>
      </c>
      <c r="G137" s="3" t="s">
        <v>25</v>
      </c>
      <c r="H137" s="3" t="s">
        <v>25</v>
      </c>
      <c r="I137" s="6">
        <v>44621</v>
      </c>
      <c r="J137" s="4">
        <v>4189</v>
      </c>
      <c r="K137" s="4">
        <v>4189</v>
      </c>
      <c r="L137" s="4">
        <v>0</v>
      </c>
      <c r="M137" s="4">
        <v>0</v>
      </c>
      <c r="N137" s="4">
        <v>0</v>
      </c>
      <c r="O137" s="4">
        <v>0</v>
      </c>
      <c r="P137" s="4">
        <v>15</v>
      </c>
      <c r="Q137" s="3" t="s">
        <v>26</v>
      </c>
      <c r="R137" s="3">
        <v>0</v>
      </c>
      <c r="S137" s="3" t="s">
        <v>149</v>
      </c>
      <c r="U137" s="3">
        <v>31</v>
      </c>
      <c r="V137" s="3">
        <v>0</v>
      </c>
      <c r="W137" s="3">
        <v>0</v>
      </c>
    </row>
    <row r="138" spans="1:23" ht="11.25" customHeight="1" x14ac:dyDescent="0.25">
      <c r="A138" s="3" t="s">
        <v>21</v>
      </c>
      <c r="B138" s="3" t="s">
        <v>35</v>
      </c>
      <c r="C138" s="3" t="s">
        <v>39</v>
      </c>
      <c r="D138" s="3" t="s">
        <v>34</v>
      </c>
      <c r="E138" s="3" t="s">
        <v>25</v>
      </c>
      <c r="F138" s="3" t="s">
        <v>25</v>
      </c>
      <c r="G138" s="3" t="s">
        <v>25</v>
      </c>
      <c r="H138" s="3" t="s">
        <v>25</v>
      </c>
      <c r="I138" s="6">
        <v>44652</v>
      </c>
      <c r="J138" s="4">
        <v>4169</v>
      </c>
      <c r="K138" s="4">
        <v>4169</v>
      </c>
      <c r="L138" s="4">
        <v>0</v>
      </c>
      <c r="M138" s="4">
        <v>0</v>
      </c>
      <c r="N138" s="4">
        <v>0</v>
      </c>
      <c r="O138" s="4">
        <v>0</v>
      </c>
      <c r="P138" s="4">
        <v>15</v>
      </c>
      <c r="Q138" s="3" t="s">
        <v>26</v>
      </c>
      <c r="R138" s="3">
        <v>0</v>
      </c>
      <c r="S138" s="3" t="s">
        <v>150</v>
      </c>
      <c r="U138" s="3">
        <v>31</v>
      </c>
      <c r="V138" s="3">
        <v>0</v>
      </c>
      <c r="W138" s="3">
        <v>0</v>
      </c>
    </row>
    <row r="139" spans="1:23" ht="11.25" customHeight="1" x14ac:dyDescent="0.25">
      <c r="A139" s="3" t="s">
        <v>21</v>
      </c>
      <c r="B139" s="3" t="s">
        <v>35</v>
      </c>
      <c r="C139" s="3" t="s">
        <v>39</v>
      </c>
      <c r="D139" s="3" t="s">
        <v>34</v>
      </c>
      <c r="E139" s="3" t="s">
        <v>25</v>
      </c>
      <c r="F139" s="3" t="s">
        <v>25</v>
      </c>
      <c r="G139" s="3" t="s">
        <v>25</v>
      </c>
      <c r="H139" s="3" t="s">
        <v>25</v>
      </c>
      <c r="I139" s="6">
        <v>44682</v>
      </c>
      <c r="J139" s="4">
        <v>4091</v>
      </c>
      <c r="K139" s="4">
        <v>4091</v>
      </c>
      <c r="L139" s="4">
        <v>0</v>
      </c>
      <c r="M139" s="4">
        <v>0</v>
      </c>
      <c r="N139" s="4">
        <v>0</v>
      </c>
      <c r="O139" s="4">
        <v>0</v>
      </c>
      <c r="P139" s="4">
        <v>15</v>
      </c>
      <c r="Q139" s="3" t="s">
        <v>26</v>
      </c>
      <c r="R139" s="3">
        <v>0</v>
      </c>
      <c r="S139" s="3" t="s">
        <v>151</v>
      </c>
      <c r="U139" s="3">
        <v>31</v>
      </c>
      <c r="V139" s="3">
        <v>0</v>
      </c>
      <c r="W139" s="3">
        <v>0</v>
      </c>
    </row>
    <row r="140" spans="1:23" ht="11.25" customHeight="1" x14ac:dyDescent="0.25">
      <c r="A140" s="3" t="s">
        <v>21</v>
      </c>
      <c r="B140" s="3" t="s">
        <v>35</v>
      </c>
      <c r="C140" s="3" t="s">
        <v>39</v>
      </c>
      <c r="D140" s="3" t="s">
        <v>34</v>
      </c>
      <c r="E140" s="3" t="s">
        <v>25</v>
      </c>
      <c r="F140" s="3" t="s">
        <v>25</v>
      </c>
      <c r="G140" s="3" t="s">
        <v>25</v>
      </c>
      <c r="H140" s="3" t="s">
        <v>25</v>
      </c>
      <c r="I140" s="6">
        <v>44713</v>
      </c>
      <c r="J140" s="4">
        <v>4046</v>
      </c>
      <c r="K140" s="4">
        <v>4046</v>
      </c>
      <c r="L140" s="4">
        <v>0</v>
      </c>
      <c r="M140" s="4">
        <v>0</v>
      </c>
      <c r="N140" s="4">
        <v>0</v>
      </c>
      <c r="O140" s="4">
        <v>0</v>
      </c>
      <c r="P140" s="4">
        <v>15</v>
      </c>
      <c r="Q140" s="3" t="s">
        <v>26</v>
      </c>
      <c r="R140" s="3">
        <v>0</v>
      </c>
      <c r="S140" s="3" t="s">
        <v>152</v>
      </c>
      <c r="U140" s="3">
        <v>31</v>
      </c>
      <c r="V140" s="3">
        <v>0</v>
      </c>
      <c r="W140" s="3">
        <v>0</v>
      </c>
    </row>
    <row r="141" spans="1:23" ht="11.25" customHeight="1" x14ac:dyDescent="0.25">
      <c r="A141" s="3" t="s">
        <v>21</v>
      </c>
      <c r="B141" s="3" t="s">
        <v>35</v>
      </c>
      <c r="C141" s="3" t="s">
        <v>39</v>
      </c>
      <c r="D141" s="3" t="s">
        <v>34</v>
      </c>
      <c r="E141" s="3" t="s">
        <v>25</v>
      </c>
      <c r="F141" s="3" t="s">
        <v>25</v>
      </c>
      <c r="G141" s="3" t="s">
        <v>25</v>
      </c>
      <c r="H141" s="3" t="s">
        <v>37</v>
      </c>
      <c r="I141" s="6">
        <v>44378</v>
      </c>
      <c r="J141" s="4">
        <v>0</v>
      </c>
      <c r="K141" s="4">
        <v>0</v>
      </c>
      <c r="L141" s="4">
        <v>19.138000000000002</v>
      </c>
      <c r="M141" s="4">
        <v>19.138000000000002</v>
      </c>
      <c r="N141" s="4">
        <v>19.138000000000002</v>
      </c>
      <c r="O141" s="4">
        <v>19.138000000000002</v>
      </c>
      <c r="P141" s="4">
        <v>0</v>
      </c>
      <c r="Q141" s="3" t="s">
        <v>26</v>
      </c>
      <c r="R141" s="3">
        <v>0</v>
      </c>
      <c r="S141" s="3" t="s">
        <v>153</v>
      </c>
      <c r="T141" s="3" t="s">
        <v>274</v>
      </c>
      <c r="U141" s="3">
        <v>0</v>
      </c>
      <c r="V141" s="3">
        <v>15</v>
      </c>
      <c r="W141" s="3">
        <v>24</v>
      </c>
    </row>
    <row r="142" spans="1:23" ht="11.25" customHeight="1" x14ac:dyDescent="0.25">
      <c r="A142" s="3" t="s">
        <v>21</v>
      </c>
      <c r="B142" s="3" t="s">
        <v>35</v>
      </c>
      <c r="C142" s="3" t="s">
        <v>39</v>
      </c>
      <c r="D142" s="3" t="s">
        <v>34</v>
      </c>
      <c r="E142" s="3" t="s">
        <v>25</v>
      </c>
      <c r="F142" s="3" t="s">
        <v>25</v>
      </c>
      <c r="G142" s="3" t="s">
        <v>25</v>
      </c>
      <c r="H142" s="3" t="s">
        <v>37</v>
      </c>
      <c r="I142" s="6">
        <v>44409</v>
      </c>
      <c r="J142" s="4">
        <v>0</v>
      </c>
      <c r="K142" s="4">
        <v>0</v>
      </c>
      <c r="L142" s="4">
        <v>14.223000000000001</v>
      </c>
      <c r="M142" s="4">
        <v>14.223000000000001</v>
      </c>
      <c r="N142" s="4">
        <v>14.223000000000001</v>
      </c>
      <c r="O142" s="4">
        <v>14.223000000000001</v>
      </c>
      <c r="P142" s="4">
        <v>0</v>
      </c>
      <c r="Q142" s="3" t="s">
        <v>26</v>
      </c>
      <c r="R142" s="3">
        <v>0</v>
      </c>
      <c r="S142" s="3" t="s">
        <v>154</v>
      </c>
      <c r="T142" s="3" t="s">
        <v>275</v>
      </c>
      <c r="U142" s="3">
        <v>0</v>
      </c>
      <c r="V142" s="3">
        <v>15</v>
      </c>
      <c r="W142" s="3">
        <v>24</v>
      </c>
    </row>
    <row r="143" spans="1:23" ht="11.25" customHeight="1" x14ac:dyDescent="0.25">
      <c r="A143" s="3" t="s">
        <v>21</v>
      </c>
      <c r="B143" s="3" t="s">
        <v>35</v>
      </c>
      <c r="C143" s="3" t="s">
        <v>39</v>
      </c>
      <c r="D143" s="3" t="s">
        <v>34</v>
      </c>
      <c r="E143" s="3" t="s">
        <v>25</v>
      </c>
      <c r="F143" s="3" t="s">
        <v>25</v>
      </c>
      <c r="G143" s="3" t="s">
        <v>25</v>
      </c>
      <c r="H143" s="3" t="s">
        <v>37</v>
      </c>
      <c r="I143" s="6">
        <v>44440</v>
      </c>
      <c r="J143" s="4">
        <v>0</v>
      </c>
      <c r="K143" s="4">
        <v>0</v>
      </c>
      <c r="L143" s="4">
        <v>14.566000000000001</v>
      </c>
      <c r="M143" s="4">
        <v>14.566000000000001</v>
      </c>
      <c r="N143" s="4">
        <v>14.566000000000001</v>
      </c>
      <c r="O143" s="4">
        <v>14.566000000000001</v>
      </c>
      <c r="P143" s="4">
        <v>0</v>
      </c>
      <c r="Q143" s="3" t="s">
        <v>26</v>
      </c>
      <c r="R143" s="3">
        <v>0</v>
      </c>
      <c r="S143" s="3" t="s">
        <v>155</v>
      </c>
      <c r="T143" s="3" t="s">
        <v>276</v>
      </c>
      <c r="U143" s="3">
        <v>0</v>
      </c>
      <c r="V143" s="3">
        <v>15</v>
      </c>
      <c r="W143" s="3">
        <v>24</v>
      </c>
    </row>
    <row r="144" spans="1:23" ht="11.25" customHeight="1" x14ac:dyDescent="0.25">
      <c r="A144" s="3" t="s">
        <v>21</v>
      </c>
      <c r="B144" s="3" t="s">
        <v>35</v>
      </c>
      <c r="C144" s="3" t="s">
        <v>39</v>
      </c>
      <c r="D144" s="3" t="s">
        <v>34</v>
      </c>
      <c r="E144" s="3" t="s">
        <v>25</v>
      </c>
      <c r="F144" s="3" t="s">
        <v>25</v>
      </c>
      <c r="G144" s="3" t="s">
        <v>25</v>
      </c>
      <c r="H144" s="3" t="s">
        <v>37</v>
      </c>
      <c r="I144" s="6">
        <v>44470</v>
      </c>
      <c r="J144" s="4">
        <v>0</v>
      </c>
      <c r="K144" s="4">
        <v>0</v>
      </c>
      <c r="L144" s="4">
        <v>14.673</v>
      </c>
      <c r="M144" s="4">
        <v>14.673</v>
      </c>
      <c r="N144" s="4">
        <v>14.673</v>
      </c>
      <c r="O144" s="4">
        <v>14.673</v>
      </c>
      <c r="P144" s="4">
        <v>0</v>
      </c>
      <c r="Q144" s="3" t="s">
        <v>26</v>
      </c>
      <c r="R144" s="3">
        <v>0</v>
      </c>
      <c r="S144" s="3" t="s">
        <v>156</v>
      </c>
      <c r="T144" s="3" t="s">
        <v>277</v>
      </c>
      <c r="U144" s="3">
        <v>0</v>
      </c>
      <c r="V144" s="3">
        <v>15</v>
      </c>
      <c r="W144" s="3">
        <v>24</v>
      </c>
    </row>
    <row r="145" spans="1:23" ht="11.25" customHeight="1" x14ac:dyDescent="0.25">
      <c r="A145" s="3" t="s">
        <v>21</v>
      </c>
      <c r="B145" s="3" t="s">
        <v>35</v>
      </c>
      <c r="C145" s="3" t="s">
        <v>39</v>
      </c>
      <c r="D145" s="3" t="s">
        <v>34</v>
      </c>
      <c r="E145" s="3" t="s">
        <v>25</v>
      </c>
      <c r="F145" s="3" t="s">
        <v>25</v>
      </c>
      <c r="G145" s="3" t="s">
        <v>25</v>
      </c>
      <c r="H145" s="3" t="s">
        <v>37</v>
      </c>
      <c r="I145" s="6">
        <v>44501</v>
      </c>
      <c r="J145" s="4">
        <v>0</v>
      </c>
      <c r="K145" s="4">
        <v>0</v>
      </c>
      <c r="L145" s="4">
        <v>15.134</v>
      </c>
      <c r="M145" s="4">
        <v>15.134</v>
      </c>
      <c r="N145" s="4">
        <v>15.134</v>
      </c>
      <c r="O145" s="4">
        <v>15.134</v>
      </c>
      <c r="P145" s="4">
        <v>0</v>
      </c>
      <c r="Q145" s="3" t="s">
        <v>26</v>
      </c>
      <c r="R145" s="3">
        <v>0</v>
      </c>
      <c r="S145" s="3" t="s">
        <v>157</v>
      </c>
      <c r="T145" s="3" t="s">
        <v>278</v>
      </c>
      <c r="U145" s="3">
        <v>0</v>
      </c>
      <c r="V145" s="3">
        <v>15</v>
      </c>
      <c r="W145" s="3">
        <v>24</v>
      </c>
    </row>
    <row r="146" spans="1:23" ht="11.25" customHeight="1" x14ac:dyDescent="0.25">
      <c r="A146" s="3" t="s">
        <v>21</v>
      </c>
      <c r="B146" s="3" t="s">
        <v>35</v>
      </c>
      <c r="C146" s="3" t="s">
        <v>39</v>
      </c>
      <c r="D146" s="3" t="s">
        <v>34</v>
      </c>
      <c r="E146" s="3" t="s">
        <v>25</v>
      </c>
      <c r="F146" s="3" t="s">
        <v>25</v>
      </c>
      <c r="G146" s="3" t="s">
        <v>25</v>
      </c>
      <c r="H146" s="3" t="s">
        <v>37</v>
      </c>
      <c r="I146" s="6">
        <v>44531</v>
      </c>
      <c r="J146" s="4">
        <v>0</v>
      </c>
      <c r="K146" s="4">
        <v>0</v>
      </c>
      <c r="L146" s="4">
        <v>18.946000000000002</v>
      </c>
      <c r="M146" s="4">
        <v>18.946000000000002</v>
      </c>
      <c r="N146" s="4">
        <v>18.946000000000002</v>
      </c>
      <c r="O146" s="4">
        <v>18.946000000000002</v>
      </c>
      <c r="P146" s="4">
        <v>0</v>
      </c>
      <c r="Q146" s="3" t="s">
        <v>26</v>
      </c>
      <c r="R146" s="3">
        <v>0</v>
      </c>
      <c r="S146" s="3" t="s">
        <v>158</v>
      </c>
      <c r="T146" s="3" t="s">
        <v>279</v>
      </c>
      <c r="U146" s="3">
        <v>0</v>
      </c>
      <c r="V146" s="3">
        <v>15</v>
      </c>
      <c r="W146" s="3">
        <v>24</v>
      </c>
    </row>
    <row r="147" spans="1:23" ht="11.25" customHeight="1" x14ac:dyDescent="0.25">
      <c r="A147" s="3" t="s">
        <v>21</v>
      </c>
      <c r="B147" s="3" t="s">
        <v>35</v>
      </c>
      <c r="C147" s="3" t="s">
        <v>39</v>
      </c>
      <c r="D147" s="3" t="s">
        <v>34</v>
      </c>
      <c r="E147" s="3" t="s">
        <v>25</v>
      </c>
      <c r="F147" s="3" t="s">
        <v>25</v>
      </c>
      <c r="G147" s="3" t="s">
        <v>25</v>
      </c>
      <c r="H147" s="3" t="s">
        <v>37</v>
      </c>
      <c r="I147" s="6">
        <v>44562</v>
      </c>
      <c r="J147" s="4">
        <v>0</v>
      </c>
      <c r="K147" s="4">
        <v>0</v>
      </c>
      <c r="L147" s="4">
        <v>18.617999999999999</v>
      </c>
      <c r="M147" s="4">
        <v>18.617999999999999</v>
      </c>
      <c r="N147" s="4">
        <v>18.617999999999999</v>
      </c>
      <c r="O147" s="4">
        <v>18.617999999999999</v>
      </c>
      <c r="P147" s="4">
        <v>0</v>
      </c>
      <c r="Q147" s="3" t="s">
        <v>26</v>
      </c>
      <c r="R147" s="3">
        <v>0</v>
      </c>
      <c r="S147" s="3" t="s">
        <v>159</v>
      </c>
      <c r="T147" s="3" t="s">
        <v>280</v>
      </c>
      <c r="U147" s="3">
        <v>0</v>
      </c>
      <c r="V147" s="3">
        <v>15</v>
      </c>
      <c r="W147" s="3">
        <v>24</v>
      </c>
    </row>
    <row r="148" spans="1:23" ht="11.25" customHeight="1" x14ac:dyDescent="0.25">
      <c r="A148" s="3" t="s">
        <v>21</v>
      </c>
      <c r="B148" s="3" t="s">
        <v>35</v>
      </c>
      <c r="C148" s="3" t="s">
        <v>39</v>
      </c>
      <c r="D148" s="3" t="s">
        <v>34</v>
      </c>
      <c r="E148" s="3" t="s">
        <v>25</v>
      </c>
      <c r="F148" s="3" t="s">
        <v>25</v>
      </c>
      <c r="G148" s="3" t="s">
        <v>25</v>
      </c>
      <c r="H148" s="3" t="s">
        <v>37</v>
      </c>
      <c r="I148" s="6">
        <v>44593</v>
      </c>
      <c r="J148" s="4">
        <v>0</v>
      </c>
      <c r="K148" s="4">
        <v>0</v>
      </c>
      <c r="L148" s="4">
        <v>20.439</v>
      </c>
      <c r="M148" s="4">
        <v>20.439</v>
      </c>
      <c r="N148" s="4">
        <v>20.439</v>
      </c>
      <c r="O148" s="4">
        <v>20.439</v>
      </c>
      <c r="P148" s="4">
        <v>0</v>
      </c>
      <c r="Q148" s="3" t="s">
        <v>26</v>
      </c>
      <c r="R148" s="3">
        <v>0</v>
      </c>
      <c r="S148" s="3" t="s">
        <v>160</v>
      </c>
      <c r="T148" s="3" t="s">
        <v>281</v>
      </c>
      <c r="U148" s="3">
        <v>0</v>
      </c>
      <c r="V148" s="3">
        <v>15</v>
      </c>
      <c r="W148" s="3">
        <v>24</v>
      </c>
    </row>
    <row r="149" spans="1:23" ht="11.25" customHeight="1" x14ac:dyDescent="0.25">
      <c r="A149" s="3" t="s">
        <v>21</v>
      </c>
      <c r="B149" s="3" t="s">
        <v>35</v>
      </c>
      <c r="C149" s="3" t="s">
        <v>39</v>
      </c>
      <c r="D149" s="3" t="s">
        <v>34</v>
      </c>
      <c r="E149" s="3" t="s">
        <v>25</v>
      </c>
      <c r="F149" s="3" t="s">
        <v>25</v>
      </c>
      <c r="G149" s="3" t="s">
        <v>25</v>
      </c>
      <c r="H149" s="3" t="s">
        <v>37</v>
      </c>
      <c r="I149" s="6">
        <v>44621</v>
      </c>
      <c r="J149" s="4">
        <v>0</v>
      </c>
      <c r="K149" s="4">
        <v>0</v>
      </c>
      <c r="L149" s="4">
        <v>26.832000000000001</v>
      </c>
      <c r="M149" s="4">
        <v>26.832000000000001</v>
      </c>
      <c r="N149" s="4">
        <v>26.832000000000001</v>
      </c>
      <c r="O149" s="4">
        <v>26.832000000000001</v>
      </c>
      <c r="P149" s="4">
        <v>0</v>
      </c>
      <c r="Q149" s="3" t="s">
        <v>26</v>
      </c>
      <c r="R149" s="3">
        <v>0</v>
      </c>
      <c r="S149" s="3" t="s">
        <v>161</v>
      </c>
      <c r="T149" s="3" t="s">
        <v>282</v>
      </c>
      <c r="U149" s="3">
        <v>0</v>
      </c>
      <c r="V149" s="3">
        <v>15</v>
      </c>
      <c r="W149" s="3">
        <v>24</v>
      </c>
    </row>
    <row r="150" spans="1:23" ht="11.25" customHeight="1" x14ac:dyDescent="0.25">
      <c r="A150" s="3" t="s">
        <v>21</v>
      </c>
      <c r="B150" s="3" t="s">
        <v>35</v>
      </c>
      <c r="C150" s="3" t="s">
        <v>39</v>
      </c>
      <c r="D150" s="3" t="s">
        <v>34</v>
      </c>
      <c r="E150" s="3" t="s">
        <v>25</v>
      </c>
      <c r="F150" s="3" t="s">
        <v>25</v>
      </c>
      <c r="G150" s="3" t="s">
        <v>25</v>
      </c>
      <c r="H150" s="3" t="s">
        <v>37</v>
      </c>
      <c r="I150" s="6">
        <v>44652</v>
      </c>
      <c r="J150" s="4">
        <v>0</v>
      </c>
      <c r="K150" s="4">
        <v>0</v>
      </c>
      <c r="L150" s="4">
        <v>22.404</v>
      </c>
      <c r="M150" s="4">
        <v>22.404</v>
      </c>
      <c r="N150" s="4">
        <v>22.404</v>
      </c>
      <c r="O150" s="4">
        <v>22.404</v>
      </c>
      <c r="P150" s="4">
        <v>0</v>
      </c>
      <c r="Q150" s="3" t="s">
        <v>26</v>
      </c>
      <c r="R150" s="3">
        <v>0</v>
      </c>
      <c r="S150" s="3" t="s">
        <v>162</v>
      </c>
      <c r="T150" s="3" t="s">
        <v>283</v>
      </c>
      <c r="U150" s="3">
        <v>0</v>
      </c>
      <c r="V150" s="3">
        <v>15</v>
      </c>
      <c r="W150" s="3">
        <v>24</v>
      </c>
    </row>
    <row r="151" spans="1:23" ht="11.25" customHeight="1" x14ac:dyDescent="0.25">
      <c r="A151" s="3" t="s">
        <v>21</v>
      </c>
      <c r="B151" s="3" t="s">
        <v>35</v>
      </c>
      <c r="C151" s="3" t="s">
        <v>39</v>
      </c>
      <c r="D151" s="3" t="s">
        <v>34</v>
      </c>
      <c r="E151" s="3" t="s">
        <v>25</v>
      </c>
      <c r="F151" s="3" t="s">
        <v>25</v>
      </c>
      <c r="G151" s="3" t="s">
        <v>25</v>
      </c>
      <c r="H151" s="3" t="s">
        <v>37</v>
      </c>
      <c r="I151" s="6">
        <v>44682</v>
      </c>
      <c r="J151" s="4">
        <v>0</v>
      </c>
      <c r="K151" s="4">
        <v>0</v>
      </c>
      <c r="L151" s="4">
        <v>31.343</v>
      </c>
      <c r="M151" s="4">
        <v>31.343</v>
      </c>
      <c r="N151" s="4">
        <v>31.343</v>
      </c>
      <c r="O151" s="4">
        <v>31.343</v>
      </c>
      <c r="P151" s="4">
        <v>0</v>
      </c>
      <c r="Q151" s="3" t="s">
        <v>26</v>
      </c>
      <c r="R151" s="3">
        <v>0</v>
      </c>
      <c r="S151" s="3" t="s">
        <v>163</v>
      </c>
      <c r="T151" s="3" t="s">
        <v>284</v>
      </c>
      <c r="U151" s="3">
        <v>0</v>
      </c>
      <c r="V151" s="3">
        <v>15</v>
      </c>
      <c r="W151" s="3">
        <v>24</v>
      </c>
    </row>
    <row r="152" spans="1:23" ht="11.25" customHeight="1" x14ac:dyDescent="0.25">
      <c r="A152" s="3" t="s">
        <v>21</v>
      </c>
      <c r="B152" s="3" t="s">
        <v>35</v>
      </c>
      <c r="C152" s="3" t="s">
        <v>39</v>
      </c>
      <c r="D152" s="3" t="s">
        <v>34</v>
      </c>
      <c r="E152" s="3" t="s">
        <v>25</v>
      </c>
      <c r="F152" s="3" t="s">
        <v>25</v>
      </c>
      <c r="G152" s="3" t="s">
        <v>25</v>
      </c>
      <c r="H152" s="3" t="s">
        <v>37</v>
      </c>
      <c r="I152" s="6">
        <v>44713</v>
      </c>
      <c r="J152" s="4">
        <v>0</v>
      </c>
      <c r="K152" s="4">
        <v>0</v>
      </c>
      <c r="L152" s="4">
        <v>20.602</v>
      </c>
      <c r="M152" s="4">
        <v>20.602</v>
      </c>
      <c r="N152" s="4">
        <v>20.602</v>
      </c>
      <c r="O152" s="4">
        <v>20.602</v>
      </c>
      <c r="P152" s="4">
        <v>0</v>
      </c>
      <c r="Q152" s="3" t="s">
        <v>26</v>
      </c>
      <c r="R152" s="3">
        <v>0</v>
      </c>
      <c r="S152" s="3" t="s">
        <v>164</v>
      </c>
      <c r="T152" s="3" t="s">
        <v>285</v>
      </c>
      <c r="U152" s="3">
        <v>0</v>
      </c>
      <c r="V152" s="3">
        <v>15</v>
      </c>
      <c r="W152" s="3">
        <v>24</v>
      </c>
    </row>
    <row r="153" spans="1:23" ht="11.25" customHeight="1" x14ac:dyDescent="0.25">
      <c r="A153" s="3" t="s">
        <v>21</v>
      </c>
      <c r="B153" s="3" t="s">
        <v>35</v>
      </c>
      <c r="C153" s="3" t="s">
        <v>39</v>
      </c>
      <c r="D153" s="3" t="s">
        <v>43</v>
      </c>
      <c r="E153" s="3" t="s">
        <v>25</v>
      </c>
      <c r="F153" s="3" t="s">
        <v>25</v>
      </c>
      <c r="G153" s="3" t="s">
        <v>25</v>
      </c>
      <c r="H153" s="3" t="s">
        <v>38</v>
      </c>
      <c r="I153" s="6">
        <v>44378</v>
      </c>
      <c r="J153" s="4">
        <v>0</v>
      </c>
      <c r="K153" s="4">
        <v>0</v>
      </c>
      <c r="L153" s="4">
        <v>0.317</v>
      </c>
      <c r="M153" s="4">
        <v>0.317</v>
      </c>
      <c r="N153" s="4">
        <v>0.317</v>
      </c>
      <c r="O153" s="4">
        <v>0.317</v>
      </c>
      <c r="P153" s="4">
        <v>0</v>
      </c>
      <c r="Q153" s="3" t="s">
        <v>26</v>
      </c>
      <c r="R153" s="3">
        <v>0</v>
      </c>
      <c r="S153" s="3" t="s">
        <v>129</v>
      </c>
      <c r="T153" s="3" t="s">
        <v>262</v>
      </c>
      <c r="U153" s="3">
        <v>0</v>
      </c>
      <c r="V153" s="3">
        <v>3</v>
      </c>
      <c r="W153" s="3">
        <v>48</v>
      </c>
    </row>
    <row r="154" spans="1:23" ht="11.25" customHeight="1" x14ac:dyDescent="0.25">
      <c r="A154" s="3" t="s">
        <v>21</v>
      </c>
      <c r="B154" s="3" t="s">
        <v>35</v>
      </c>
      <c r="C154" s="3" t="s">
        <v>39</v>
      </c>
      <c r="D154" s="3" t="s">
        <v>43</v>
      </c>
      <c r="E154" s="3" t="s">
        <v>25</v>
      </c>
      <c r="F154" s="3" t="s">
        <v>25</v>
      </c>
      <c r="G154" s="3" t="s">
        <v>25</v>
      </c>
      <c r="H154" s="3" t="s">
        <v>38</v>
      </c>
      <c r="I154" s="6">
        <v>44409</v>
      </c>
      <c r="J154" s="4">
        <v>0</v>
      </c>
      <c r="K154" s="4">
        <v>0</v>
      </c>
      <c r="L154" s="4">
        <v>3.6150000000000002</v>
      </c>
      <c r="M154" s="4">
        <v>3.6150000000000002</v>
      </c>
      <c r="N154" s="4">
        <v>3.6150000000000002</v>
      </c>
      <c r="O154" s="4">
        <v>3.6150000000000002</v>
      </c>
      <c r="P154" s="4">
        <v>0</v>
      </c>
      <c r="Q154" s="3" t="s">
        <v>26</v>
      </c>
      <c r="R154" s="3">
        <v>0</v>
      </c>
      <c r="S154" s="3" t="s">
        <v>130</v>
      </c>
      <c r="T154" s="3" t="s">
        <v>263</v>
      </c>
      <c r="U154" s="3">
        <v>0</v>
      </c>
      <c r="V154" s="3">
        <v>3</v>
      </c>
      <c r="W154" s="3">
        <v>48</v>
      </c>
    </row>
    <row r="155" spans="1:23" ht="11.25" customHeight="1" x14ac:dyDescent="0.25">
      <c r="A155" s="3" t="s">
        <v>21</v>
      </c>
      <c r="B155" s="3" t="s">
        <v>35</v>
      </c>
      <c r="C155" s="3" t="s">
        <v>39</v>
      </c>
      <c r="D155" s="3" t="s">
        <v>43</v>
      </c>
      <c r="E155" s="3" t="s">
        <v>25</v>
      </c>
      <c r="F155" s="3" t="s">
        <v>25</v>
      </c>
      <c r="G155" s="3" t="s">
        <v>25</v>
      </c>
      <c r="H155" s="3" t="s">
        <v>38</v>
      </c>
      <c r="I155" s="6">
        <v>44440</v>
      </c>
      <c r="J155" s="4">
        <v>0</v>
      </c>
      <c r="K155" s="4">
        <v>0</v>
      </c>
      <c r="L155" s="4">
        <v>3.3090000000000002</v>
      </c>
      <c r="M155" s="4">
        <v>3.3090000000000002</v>
      </c>
      <c r="N155" s="4">
        <v>3.3090000000000002</v>
      </c>
      <c r="O155" s="4">
        <v>3.3090000000000002</v>
      </c>
      <c r="P155" s="4">
        <v>0</v>
      </c>
      <c r="Q155" s="3" t="s">
        <v>26</v>
      </c>
      <c r="R155" s="3">
        <v>0</v>
      </c>
      <c r="S155" s="3" t="s">
        <v>131</v>
      </c>
      <c r="T155" s="3" t="s">
        <v>264</v>
      </c>
      <c r="U155" s="3">
        <v>0</v>
      </c>
      <c r="V155" s="3">
        <v>3</v>
      </c>
      <c r="W155" s="3">
        <v>48</v>
      </c>
    </row>
    <row r="156" spans="1:23" ht="11.25" customHeight="1" x14ac:dyDescent="0.25">
      <c r="A156" s="3" t="s">
        <v>21</v>
      </c>
      <c r="B156" s="3" t="s">
        <v>35</v>
      </c>
      <c r="C156" s="3" t="s">
        <v>39</v>
      </c>
      <c r="D156" s="3" t="s">
        <v>43</v>
      </c>
      <c r="E156" s="3" t="s">
        <v>25</v>
      </c>
      <c r="F156" s="3" t="s">
        <v>25</v>
      </c>
      <c r="G156" s="3" t="s">
        <v>25</v>
      </c>
      <c r="H156" s="3" t="s">
        <v>38</v>
      </c>
      <c r="I156" s="6">
        <v>44470</v>
      </c>
      <c r="J156" s="4">
        <v>0</v>
      </c>
      <c r="K156" s="4">
        <v>0</v>
      </c>
      <c r="L156" s="4">
        <v>4.4640000000000004</v>
      </c>
      <c r="M156" s="4">
        <v>4.4640000000000004</v>
      </c>
      <c r="N156" s="4">
        <v>4.4640000000000004</v>
      </c>
      <c r="O156" s="4">
        <v>4.4640000000000004</v>
      </c>
      <c r="P156" s="4">
        <v>0</v>
      </c>
      <c r="Q156" s="3" t="s">
        <v>26</v>
      </c>
      <c r="R156" s="3">
        <v>0</v>
      </c>
      <c r="S156" s="3" t="s">
        <v>132</v>
      </c>
      <c r="T156" s="3" t="s">
        <v>265</v>
      </c>
      <c r="U156" s="3">
        <v>0</v>
      </c>
      <c r="V156" s="3">
        <v>3</v>
      </c>
      <c r="W156" s="3">
        <v>48</v>
      </c>
    </row>
    <row r="157" spans="1:23" ht="11.25" customHeight="1" x14ac:dyDescent="0.25">
      <c r="A157" s="3" t="s">
        <v>21</v>
      </c>
      <c r="B157" s="3" t="s">
        <v>35</v>
      </c>
      <c r="C157" s="3" t="s">
        <v>39</v>
      </c>
      <c r="D157" s="3" t="s">
        <v>43</v>
      </c>
      <c r="E157" s="3" t="s">
        <v>25</v>
      </c>
      <c r="F157" s="3" t="s">
        <v>25</v>
      </c>
      <c r="G157" s="3" t="s">
        <v>25</v>
      </c>
      <c r="H157" s="3" t="s">
        <v>38</v>
      </c>
      <c r="I157" s="6">
        <v>44501</v>
      </c>
      <c r="J157" s="4">
        <v>0</v>
      </c>
      <c r="K157" s="4">
        <v>0</v>
      </c>
      <c r="L157" s="4">
        <v>2.29</v>
      </c>
      <c r="M157" s="4">
        <v>2.29</v>
      </c>
      <c r="N157" s="4">
        <v>2.29</v>
      </c>
      <c r="O157" s="4">
        <v>2.29</v>
      </c>
      <c r="P157" s="4">
        <v>0</v>
      </c>
      <c r="Q157" s="3" t="s">
        <v>26</v>
      </c>
      <c r="R157" s="3">
        <v>0</v>
      </c>
      <c r="S157" s="3" t="s">
        <v>133</v>
      </c>
      <c r="T157" s="3" t="s">
        <v>266</v>
      </c>
      <c r="U157" s="3">
        <v>0</v>
      </c>
      <c r="V157" s="3">
        <v>3</v>
      </c>
      <c r="W157" s="3">
        <v>48</v>
      </c>
    </row>
    <row r="158" spans="1:23" ht="11.25" customHeight="1" x14ac:dyDescent="0.25">
      <c r="A158" s="3" t="s">
        <v>21</v>
      </c>
      <c r="B158" s="3" t="s">
        <v>35</v>
      </c>
      <c r="C158" s="3" t="s">
        <v>39</v>
      </c>
      <c r="D158" s="3" t="s">
        <v>43</v>
      </c>
      <c r="E158" s="3" t="s">
        <v>25</v>
      </c>
      <c r="F158" s="3" t="s">
        <v>25</v>
      </c>
      <c r="G158" s="3" t="s">
        <v>25</v>
      </c>
      <c r="H158" s="3" t="s">
        <v>38</v>
      </c>
      <c r="I158" s="6">
        <v>44531</v>
      </c>
      <c r="J158" s="4">
        <v>0</v>
      </c>
      <c r="K158" s="4">
        <v>0</v>
      </c>
      <c r="L158" s="4">
        <v>5.89</v>
      </c>
      <c r="M158" s="4">
        <v>5.89</v>
      </c>
      <c r="N158" s="4">
        <v>5.89</v>
      </c>
      <c r="O158" s="4">
        <v>5.89</v>
      </c>
      <c r="P158" s="4">
        <v>0</v>
      </c>
      <c r="Q158" s="3" t="s">
        <v>26</v>
      </c>
      <c r="R158" s="3">
        <v>0</v>
      </c>
      <c r="S158" s="3" t="s">
        <v>134</v>
      </c>
      <c r="T158" s="3" t="s">
        <v>267</v>
      </c>
      <c r="U158" s="3">
        <v>0</v>
      </c>
      <c r="V158" s="3">
        <v>3</v>
      </c>
      <c r="W158" s="3">
        <v>48</v>
      </c>
    </row>
    <row r="159" spans="1:23" ht="11.25" customHeight="1" x14ac:dyDescent="0.25">
      <c r="A159" s="3" t="s">
        <v>21</v>
      </c>
      <c r="B159" s="3" t="s">
        <v>35</v>
      </c>
      <c r="C159" s="3" t="s">
        <v>39</v>
      </c>
      <c r="D159" s="3" t="s">
        <v>43</v>
      </c>
      <c r="E159" s="3" t="s">
        <v>25</v>
      </c>
      <c r="F159" s="3" t="s">
        <v>25</v>
      </c>
      <c r="G159" s="3" t="s">
        <v>25</v>
      </c>
      <c r="H159" s="3" t="s">
        <v>38</v>
      </c>
      <c r="I159" s="6">
        <v>44562</v>
      </c>
      <c r="J159" s="4">
        <v>0</v>
      </c>
      <c r="K159" s="4">
        <v>0</v>
      </c>
      <c r="L159" s="4">
        <v>5.4770000000000003</v>
      </c>
      <c r="M159" s="4">
        <v>5.4770000000000003</v>
      </c>
      <c r="N159" s="4">
        <v>5.4770000000000003</v>
      </c>
      <c r="O159" s="4">
        <v>5.4770000000000003</v>
      </c>
      <c r="P159" s="4">
        <v>0</v>
      </c>
      <c r="Q159" s="3" t="s">
        <v>26</v>
      </c>
      <c r="R159" s="3">
        <v>0</v>
      </c>
      <c r="S159" s="3" t="s">
        <v>135</v>
      </c>
      <c r="T159" s="3" t="s">
        <v>268</v>
      </c>
      <c r="U159" s="3">
        <v>0</v>
      </c>
      <c r="V159" s="3">
        <v>3</v>
      </c>
      <c r="W159" s="3">
        <v>48</v>
      </c>
    </row>
    <row r="160" spans="1:23" ht="11.25" customHeight="1" x14ac:dyDescent="0.25">
      <c r="A160" s="3" t="s">
        <v>21</v>
      </c>
      <c r="B160" s="3" t="s">
        <v>35</v>
      </c>
      <c r="C160" s="3" t="s">
        <v>39</v>
      </c>
      <c r="D160" s="3" t="s">
        <v>43</v>
      </c>
      <c r="E160" s="3" t="s">
        <v>25</v>
      </c>
      <c r="F160" s="3" t="s">
        <v>25</v>
      </c>
      <c r="G160" s="3" t="s">
        <v>25</v>
      </c>
      <c r="H160" s="3" t="s">
        <v>38</v>
      </c>
      <c r="I160" s="6">
        <v>44593</v>
      </c>
      <c r="J160" s="4">
        <v>0</v>
      </c>
      <c r="K160" s="4">
        <v>0</v>
      </c>
      <c r="L160" s="4">
        <v>4.9340000000000002</v>
      </c>
      <c r="M160" s="4">
        <v>4.9340000000000002</v>
      </c>
      <c r="N160" s="4">
        <v>4.9340000000000002</v>
      </c>
      <c r="O160" s="4">
        <v>4.9340000000000002</v>
      </c>
      <c r="P160" s="4">
        <v>0</v>
      </c>
      <c r="Q160" s="3" t="s">
        <v>26</v>
      </c>
      <c r="R160" s="3">
        <v>0</v>
      </c>
      <c r="S160" s="3" t="s">
        <v>136</v>
      </c>
      <c r="T160" s="3" t="s">
        <v>269</v>
      </c>
      <c r="U160" s="3">
        <v>0</v>
      </c>
      <c r="V160" s="3">
        <v>3</v>
      </c>
      <c r="W160" s="3">
        <v>48</v>
      </c>
    </row>
    <row r="161" spans="1:23" ht="11.25" customHeight="1" x14ac:dyDescent="0.25">
      <c r="A161" s="3" t="s">
        <v>21</v>
      </c>
      <c r="B161" s="3" t="s">
        <v>35</v>
      </c>
      <c r="C161" s="3" t="s">
        <v>39</v>
      </c>
      <c r="D161" s="3" t="s">
        <v>43</v>
      </c>
      <c r="E161" s="3" t="s">
        <v>25</v>
      </c>
      <c r="F161" s="3" t="s">
        <v>25</v>
      </c>
      <c r="G161" s="3" t="s">
        <v>25</v>
      </c>
      <c r="H161" s="3" t="s">
        <v>38</v>
      </c>
      <c r="I161" s="6">
        <v>44621</v>
      </c>
      <c r="J161" s="4">
        <v>0</v>
      </c>
      <c r="K161" s="4">
        <v>0</v>
      </c>
      <c r="L161" s="4">
        <v>2.7629999999999999</v>
      </c>
      <c r="M161" s="4">
        <v>2.7629999999999999</v>
      </c>
      <c r="N161" s="4">
        <v>2.7629999999999999</v>
      </c>
      <c r="O161" s="4">
        <v>2.7629999999999999</v>
      </c>
      <c r="P161" s="4">
        <v>0</v>
      </c>
      <c r="Q161" s="3" t="s">
        <v>26</v>
      </c>
      <c r="R161" s="3">
        <v>0</v>
      </c>
      <c r="S161" s="3" t="s">
        <v>137</v>
      </c>
      <c r="T161" s="3" t="s">
        <v>270</v>
      </c>
      <c r="U161" s="3">
        <v>0</v>
      </c>
      <c r="V161" s="3">
        <v>3</v>
      </c>
      <c r="W161" s="3">
        <v>48</v>
      </c>
    </row>
    <row r="162" spans="1:23" ht="11.25" customHeight="1" x14ac:dyDescent="0.25">
      <c r="A162" s="3" t="s">
        <v>21</v>
      </c>
      <c r="B162" s="3" t="s">
        <v>35</v>
      </c>
      <c r="C162" s="3" t="s">
        <v>39</v>
      </c>
      <c r="D162" s="3" t="s">
        <v>43</v>
      </c>
      <c r="E162" s="3" t="s">
        <v>25</v>
      </c>
      <c r="F162" s="3" t="s">
        <v>25</v>
      </c>
      <c r="G162" s="3" t="s">
        <v>25</v>
      </c>
      <c r="H162" s="3" t="s">
        <v>38</v>
      </c>
      <c r="I162" s="6">
        <v>44652</v>
      </c>
      <c r="J162" s="4">
        <v>0</v>
      </c>
      <c r="K162" s="4">
        <v>0</v>
      </c>
      <c r="L162" s="4">
        <v>2.9390000000000001</v>
      </c>
      <c r="M162" s="4">
        <v>2.9390000000000001</v>
      </c>
      <c r="N162" s="4">
        <v>2.9390000000000001</v>
      </c>
      <c r="O162" s="4">
        <v>2.9390000000000001</v>
      </c>
      <c r="P162" s="4">
        <v>0</v>
      </c>
      <c r="Q162" s="3" t="s">
        <v>26</v>
      </c>
      <c r="R162" s="3">
        <v>0</v>
      </c>
      <c r="S162" s="3" t="s">
        <v>138</v>
      </c>
      <c r="T162" s="3" t="s">
        <v>271</v>
      </c>
      <c r="U162" s="3">
        <v>0</v>
      </c>
      <c r="V162" s="3">
        <v>3</v>
      </c>
      <c r="W162" s="3">
        <v>48</v>
      </c>
    </row>
    <row r="163" spans="1:23" ht="11.25" customHeight="1" x14ac:dyDescent="0.25">
      <c r="A163" s="3" t="s">
        <v>21</v>
      </c>
      <c r="B163" s="3" t="s">
        <v>35</v>
      </c>
      <c r="C163" s="3" t="s">
        <v>39</v>
      </c>
      <c r="D163" s="3" t="s">
        <v>43</v>
      </c>
      <c r="E163" s="3" t="s">
        <v>25</v>
      </c>
      <c r="F163" s="3" t="s">
        <v>25</v>
      </c>
      <c r="G163" s="3" t="s">
        <v>25</v>
      </c>
      <c r="H163" s="3" t="s">
        <v>38</v>
      </c>
      <c r="I163" s="6">
        <v>44682</v>
      </c>
      <c r="J163" s="4">
        <v>0</v>
      </c>
      <c r="K163" s="4">
        <v>0</v>
      </c>
      <c r="L163" s="4">
        <v>2.9630000000000001</v>
      </c>
      <c r="M163" s="4">
        <v>2.9630000000000001</v>
      </c>
      <c r="N163" s="4">
        <v>2.9630000000000001</v>
      </c>
      <c r="O163" s="4">
        <v>2.9630000000000001</v>
      </c>
      <c r="P163" s="4">
        <v>0</v>
      </c>
      <c r="Q163" s="3" t="s">
        <v>26</v>
      </c>
      <c r="R163" s="3">
        <v>0</v>
      </c>
      <c r="S163" s="3" t="s">
        <v>139</v>
      </c>
      <c r="T163" s="3" t="s">
        <v>272</v>
      </c>
      <c r="U163" s="3">
        <v>0</v>
      </c>
      <c r="V163" s="3">
        <v>3</v>
      </c>
      <c r="W163" s="3">
        <v>48</v>
      </c>
    </row>
    <row r="164" spans="1:23" ht="11.25" customHeight="1" x14ac:dyDescent="0.25">
      <c r="A164" s="3" t="s">
        <v>21</v>
      </c>
      <c r="B164" s="3" t="s">
        <v>35</v>
      </c>
      <c r="C164" s="3" t="s">
        <v>39</v>
      </c>
      <c r="D164" s="3" t="s">
        <v>43</v>
      </c>
      <c r="E164" s="3" t="s">
        <v>25</v>
      </c>
      <c r="F164" s="3" t="s">
        <v>25</v>
      </c>
      <c r="G164" s="3" t="s">
        <v>25</v>
      </c>
      <c r="H164" s="3" t="s">
        <v>38</v>
      </c>
      <c r="I164" s="6">
        <v>44713</v>
      </c>
      <c r="J164" s="4">
        <v>0</v>
      </c>
      <c r="K164" s="4">
        <v>0</v>
      </c>
      <c r="L164" s="4">
        <v>3.383</v>
      </c>
      <c r="M164" s="4">
        <v>3.383</v>
      </c>
      <c r="N164" s="4">
        <v>3.383</v>
      </c>
      <c r="O164" s="4">
        <v>3.383</v>
      </c>
      <c r="P164" s="4">
        <v>0</v>
      </c>
      <c r="Q164" s="3" t="s">
        <v>26</v>
      </c>
      <c r="R164" s="3">
        <v>0</v>
      </c>
      <c r="S164" s="3" t="s">
        <v>140</v>
      </c>
      <c r="T164" s="3" t="s">
        <v>273</v>
      </c>
      <c r="U164" s="3">
        <v>0</v>
      </c>
      <c r="V164" s="3">
        <v>3</v>
      </c>
      <c r="W164" s="3">
        <v>48</v>
      </c>
    </row>
    <row r="165" spans="1:23" ht="11.25" customHeight="1" x14ac:dyDescent="0.25">
      <c r="A165" s="3" t="s">
        <v>21</v>
      </c>
      <c r="B165" s="3" t="s">
        <v>35</v>
      </c>
      <c r="C165" s="3" t="s">
        <v>39</v>
      </c>
      <c r="D165" s="3" t="s">
        <v>43</v>
      </c>
      <c r="E165" s="3" t="s">
        <v>25</v>
      </c>
      <c r="F165" s="3" t="s">
        <v>25</v>
      </c>
      <c r="G165" s="3" t="s">
        <v>25</v>
      </c>
      <c r="H165" s="3" t="s">
        <v>25</v>
      </c>
      <c r="I165" s="6">
        <v>44378</v>
      </c>
      <c r="J165" s="4">
        <v>96</v>
      </c>
      <c r="K165" s="4">
        <v>96</v>
      </c>
      <c r="L165" s="4">
        <v>0</v>
      </c>
      <c r="M165" s="4">
        <v>0</v>
      </c>
      <c r="N165" s="4">
        <v>0</v>
      </c>
      <c r="O165" s="4">
        <v>0</v>
      </c>
      <c r="P165" s="4">
        <v>1</v>
      </c>
      <c r="Q165" s="3" t="s">
        <v>26</v>
      </c>
      <c r="R165" s="3">
        <v>0</v>
      </c>
      <c r="S165" s="3" t="s">
        <v>141</v>
      </c>
      <c r="U165" s="3">
        <v>31</v>
      </c>
      <c r="V165" s="3">
        <v>0</v>
      </c>
      <c r="W165" s="3">
        <v>0</v>
      </c>
    </row>
    <row r="166" spans="1:23" ht="11.25" customHeight="1" x14ac:dyDescent="0.25">
      <c r="A166" s="3" t="s">
        <v>21</v>
      </c>
      <c r="B166" s="3" t="s">
        <v>35</v>
      </c>
      <c r="C166" s="3" t="s">
        <v>39</v>
      </c>
      <c r="D166" s="3" t="s">
        <v>43</v>
      </c>
      <c r="E166" s="3" t="s">
        <v>25</v>
      </c>
      <c r="F166" s="3" t="s">
        <v>25</v>
      </c>
      <c r="G166" s="3" t="s">
        <v>25</v>
      </c>
      <c r="H166" s="3" t="s">
        <v>25</v>
      </c>
      <c r="I166" s="6">
        <v>44409</v>
      </c>
      <c r="J166" s="4">
        <v>96</v>
      </c>
      <c r="K166" s="4">
        <v>96</v>
      </c>
      <c r="L166" s="4">
        <v>0</v>
      </c>
      <c r="M166" s="4">
        <v>0</v>
      </c>
      <c r="N166" s="4">
        <v>0</v>
      </c>
      <c r="O166" s="4">
        <v>0</v>
      </c>
      <c r="P166" s="4">
        <v>1</v>
      </c>
      <c r="Q166" s="3" t="s">
        <v>26</v>
      </c>
      <c r="R166" s="3">
        <v>0</v>
      </c>
      <c r="S166" s="3" t="s">
        <v>142</v>
      </c>
      <c r="U166" s="3">
        <v>31</v>
      </c>
      <c r="V166" s="3">
        <v>0</v>
      </c>
      <c r="W166" s="3">
        <v>0</v>
      </c>
    </row>
    <row r="167" spans="1:23" ht="11.25" customHeight="1" x14ac:dyDescent="0.25">
      <c r="A167" s="3" t="s">
        <v>21</v>
      </c>
      <c r="B167" s="3" t="s">
        <v>35</v>
      </c>
      <c r="C167" s="3" t="s">
        <v>39</v>
      </c>
      <c r="D167" s="3" t="s">
        <v>43</v>
      </c>
      <c r="E167" s="3" t="s">
        <v>25</v>
      </c>
      <c r="F167" s="3" t="s">
        <v>25</v>
      </c>
      <c r="G167" s="3" t="s">
        <v>25</v>
      </c>
      <c r="H167" s="3" t="s">
        <v>25</v>
      </c>
      <c r="I167" s="6">
        <v>44440</v>
      </c>
      <c r="J167" s="4">
        <v>96</v>
      </c>
      <c r="K167" s="4">
        <v>96</v>
      </c>
      <c r="L167" s="4">
        <v>0</v>
      </c>
      <c r="M167" s="4">
        <v>0</v>
      </c>
      <c r="N167" s="4">
        <v>0</v>
      </c>
      <c r="O167" s="4">
        <v>0</v>
      </c>
      <c r="P167" s="4">
        <v>1</v>
      </c>
      <c r="Q167" s="3" t="s">
        <v>26</v>
      </c>
      <c r="R167" s="3">
        <v>0</v>
      </c>
      <c r="S167" s="3" t="s">
        <v>143</v>
      </c>
      <c r="U167" s="3">
        <v>31</v>
      </c>
      <c r="V167" s="3">
        <v>0</v>
      </c>
      <c r="W167" s="3">
        <v>0</v>
      </c>
    </row>
    <row r="168" spans="1:23" ht="11.25" customHeight="1" x14ac:dyDescent="0.25">
      <c r="A168" s="3" t="s">
        <v>21</v>
      </c>
      <c r="B168" s="3" t="s">
        <v>35</v>
      </c>
      <c r="C168" s="3" t="s">
        <v>39</v>
      </c>
      <c r="D168" s="3" t="s">
        <v>43</v>
      </c>
      <c r="E168" s="3" t="s">
        <v>25</v>
      </c>
      <c r="F168" s="3" t="s">
        <v>25</v>
      </c>
      <c r="G168" s="3" t="s">
        <v>25</v>
      </c>
      <c r="H168" s="3" t="s">
        <v>25</v>
      </c>
      <c r="I168" s="6">
        <v>44470</v>
      </c>
      <c r="J168" s="4">
        <v>96</v>
      </c>
      <c r="K168" s="4">
        <v>96</v>
      </c>
      <c r="L168" s="4">
        <v>0</v>
      </c>
      <c r="M168" s="4">
        <v>0</v>
      </c>
      <c r="N168" s="4">
        <v>0</v>
      </c>
      <c r="O168" s="4">
        <v>0</v>
      </c>
      <c r="P168" s="4">
        <v>1</v>
      </c>
      <c r="Q168" s="3" t="s">
        <v>26</v>
      </c>
      <c r="R168" s="3">
        <v>0</v>
      </c>
      <c r="S168" s="3" t="s">
        <v>144</v>
      </c>
      <c r="U168" s="3">
        <v>31</v>
      </c>
      <c r="V168" s="3">
        <v>0</v>
      </c>
      <c r="W168" s="3">
        <v>0</v>
      </c>
    </row>
    <row r="169" spans="1:23" ht="11.25" customHeight="1" x14ac:dyDescent="0.25">
      <c r="A169" s="3" t="s">
        <v>21</v>
      </c>
      <c r="B169" s="3" t="s">
        <v>35</v>
      </c>
      <c r="C169" s="3" t="s">
        <v>39</v>
      </c>
      <c r="D169" s="3" t="s">
        <v>43</v>
      </c>
      <c r="E169" s="3" t="s">
        <v>25</v>
      </c>
      <c r="F169" s="3" t="s">
        <v>25</v>
      </c>
      <c r="G169" s="3" t="s">
        <v>25</v>
      </c>
      <c r="H169" s="3" t="s">
        <v>25</v>
      </c>
      <c r="I169" s="6">
        <v>44501</v>
      </c>
      <c r="J169" s="4">
        <v>96</v>
      </c>
      <c r="K169" s="4">
        <v>96</v>
      </c>
      <c r="L169" s="4">
        <v>0</v>
      </c>
      <c r="M169" s="4">
        <v>0</v>
      </c>
      <c r="N169" s="4">
        <v>0</v>
      </c>
      <c r="O169" s="4">
        <v>0</v>
      </c>
      <c r="P169" s="4">
        <v>1</v>
      </c>
      <c r="Q169" s="3" t="s">
        <v>26</v>
      </c>
      <c r="R169" s="3">
        <v>0</v>
      </c>
      <c r="S169" s="3" t="s">
        <v>145</v>
      </c>
      <c r="U169" s="3">
        <v>31</v>
      </c>
      <c r="V169" s="3">
        <v>0</v>
      </c>
      <c r="W169" s="3">
        <v>0</v>
      </c>
    </row>
    <row r="170" spans="1:23" ht="11.25" customHeight="1" x14ac:dyDescent="0.25">
      <c r="A170" s="3" t="s">
        <v>21</v>
      </c>
      <c r="B170" s="3" t="s">
        <v>35</v>
      </c>
      <c r="C170" s="3" t="s">
        <v>39</v>
      </c>
      <c r="D170" s="3" t="s">
        <v>43</v>
      </c>
      <c r="E170" s="3" t="s">
        <v>25</v>
      </c>
      <c r="F170" s="3" t="s">
        <v>25</v>
      </c>
      <c r="G170" s="3" t="s">
        <v>25</v>
      </c>
      <c r="H170" s="3" t="s">
        <v>25</v>
      </c>
      <c r="I170" s="6">
        <v>44531</v>
      </c>
      <c r="J170" s="4">
        <v>96</v>
      </c>
      <c r="K170" s="4">
        <v>96</v>
      </c>
      <c r="L170" s="4">
        <v>0</v>
      </c>
      <c r="M170" s="4">
        <v>0</v>
      </c>
      <c r="N170" s="4">
        <v>0</v>
      </c>
      <c r="O170" s="4">
        <v>0</v>
      </c>
      <c r="P170" s="4">
        <v>1</v>
      </c>
      <c r="Q170" s="3" t="s">
        <v>26</v>
      </c>
      <c r="R170" s="3">
        <v>0</v>
      </c>
      <c r="S170" s="3" t="s">
        <v>146</v>
      </c>
      <c r="U170" s="3">
        <v>31</v>
      </c>
      <c r="V170" s="3">
        <v>0</v>
      </c>
      <c r="W170" s="3">
        <v>0</v>
      </c>
    </row>
    <row r="171" spans="1:23" ht="11.25" customHeight="1" x14ac:dyDescent="0.25">
      <c r="A171" s="3" t="s">
        <v>21</v>
      </c>
      <c r="B171" s="3" t="s">
        <v>35</v>
      </c>
      <c r="C171" s="3" t="s">
        <v>39</v>
      </c>
      <c r="D171" s="3" t="s">
        <v>43</v>
      </c>
      <c r="E171" s="3" t="s">
        <v>25</v>
      </c>
      <c r="F171" s="3" t="s">
        <v>25</v>
      </c>
      <c r="G171" s="3" t="s">
        <v>25</v>
      </c>
      <c r="H171" s="3" t="s">
        <v>25</v>
      </c>
      <c r="I171" s="6">
        <v>44562</v>
      </c>
      <c r="J171" s="4">
        <v>126</v>
      </c>
      <c r="K171" s="4">
        <v>126</v>
      </c>
      <c r="L171" s="4">
        <v>0</v>
      </c>
      <c r="M171" s="4">
        <v>0</v>
      </c>
      <c r="N171" s="4">
        <v>0</v>
      </c>
      <c r="O171" s="4">
        <v>0</v>
      </c>
      <c r="P171" s="4">
        <v>2</v>
      </c>
      <c r="Q171" s="3" t="s">
        <v>26</v>
      </c>
      <c r="R171" s="3">
        <v>0</v>
      </c>
      <c r="S171" s="3" t="s">
        <v>147</v>
      </c>
      <c r="U171" s="3">
        <v>31</v>
      </c>
      <c r="V171" s="3">
        <v>0</v>
      </c>
      <c r="W171" s="3">
        <v>0</v>
      </c>
    </row>
    <row r="172" spans="1:23" ht="11.25" customHeight="1" x14ac:dyDescent="0.25">
      <c r="A172" s="3" t="s">
        <v>21</v>
      </c>
      <c r="B172" s="3" t="s">
        <v>35</v>
      </c>
      <c r="C172" s="3" t="s">
        <v>39</v>
      </c>
      <c r="D172" s="3" t="s">
        <v>43</v>
      </c>
      <c r="E172" s="3" t="s">
        <v>25</v>
      </c>
      <c r="F172" s="3" t="s">
        <v>25</v>
      </c>
      <c r="G172" s="3" t="s">
        <v>25</v>
      </c>
      <c r="H172" s="3" t="s">
        <v>25</v>
      </c>
      <c r="I172" s="6">
        <v>44593</v>
      </c>
      <c r="J172" s="4">
        <v>126</v>
      </c>
      <c r="K172" s="4">
        <v>126</v>
      </c>
      <c r="L172" s="4">
        <v>0</v>
      </c>
      <c r="M172" s="4">
        <v>0</v>
      </c>
      <c r="N172" s="4">
        <v>0</v>
      </c>
      <c r="O172" s="4">
        <v>0</v>
      </c>
      <c r="P172" s="4">
        <v>2</v>
      </c>
      <c r="Q172" s="3" t="s">
        <v>26</v>
      </c>
      <c r="R172" s="3">
        <v>0</v>
      </c>
      <c r="S172" s="3" t="s">
        <v>148</v>
      </c>
      <c r="U172" s="3">
        <v>31</v>
      </c>
      <c r="V172" s="3">
        <v>0</v>
      </c>
      <c r="W172" s="3">
        <v>0</v>
      </c>
    </row>
    <row r="173" spans="1:23" ht="11.25" customHeight="1" x14ac:dyDescent="0.25">
      <c r="A173" s="3" t="s">
        <v>21</v>
      </c>
      <c r="B173" s="3" t="s">
        <v>35</v>
      </c>
      <c r="C173" s="3" t="s">
        <v>39</v>
      </c>
      <c r="D173" s="3" t="s">
        <v>43</v>
      </c>
      <c r="E173" s="3" t="s">
        <v>25</v>
      </c>
      <c r="F173" s="3" t="s">
        <v>25</v>
      </c>
      <c r="G173" s="3" t="s">
        <v>25</v>
      </c>
      <c r="H173" s="3" t="s">
        <v>25</v>
      </c>
      <c r="I173" s="6">
        <v>44621</v>
      </c>
      <c r="J173" s="4">
        <v>96</v>
      </c>
      <c r="K173" s="4">
        <v>96</v>
      </c>
      <c r="L173" s="4">
        <v>0</v>
      </c>
      <c r="M173" s="4">
        <v>0</v>
      </c>
      <c r="N173" s="4">
        <v>0</v>
      </c>
      <c r="O173" s="4">
        <v>0</v>
      </c>
      <c r="P173" s="4">
        <v>1</v>
      </c>
      <c r="Q173" s="3" t="s">
        <v>26</v>
      </c>
      <c r="R173" s="3">
        <v>0</v>
      </c>
      <c r="S173" s="3" t="s">
        <v>149</v>
      </c>
      <c r="U173" s="3">
        <v>31</v>
      </c>
      <c r="V173" s="3">
        <v>0</v>
      </c>
      <c r="W173" s="3">
        <v>0</v>
      </c>
    </row>
    <row r="174" spans="1:23" ht="11.25" customHeight="1" x14ac:dyDescent="0.25">
      <c r="A174" s="3" t="s">
        <v>21</v>
      </c>
      <c r="B174" s="3" t="s">
        <v>35</v>
      </c>
      <c r="C174" s="3" t="s">
        <v>39</v>
      </c>
      <c r="D174" s="3" t="s">
        <v>43</v>
      </c>
      <c r="E174" s="3" t="s">
        <v>25</v>
      </c>
      <c r="F174" s="3" t="s">
        <v>25</v>
      </c>
      <c r="G174" s="3" t="s">
        <v>25</v>
      </c>
      <c r="H174" s="3" t="s">
        <v>25</v>
      </c>
      <c r="I174" s="6">
        <v>44652</v>
      </c>
      <c r="J174" s="4">
        <v>96</v>
      </c>
      <c r="K174" s="4">
        <v>96</v>
      </c>
      <c r="L174" s="4">
        <v>0</v>
      </c>
      <c r="M174" s="4">
        <v>0</v>
      </c>
      <c r="N174" s="4">
        <v>0</v>
      </c>
      <c r="O174" s="4">
        <v>0</v>
      </c>
      <c r="P174" s="4">
        <v>1</v>
      </c>
      <c r="Q174" s="3" t="s">
        <v>26</v>
      </c>
      <c r="R174" s="3">
        <v>0</v>
      </c>
      <c r="S174" s="3" t="s">
        <v>150</v>
      </c>
      <c r="U174" s="3">
        <v>31</v>
      </c>
      <c r="V174" s="3">
        <v>0</v>
      </c>
      <c r="W174" s="3">
        <v>0</v>
      </c>
    </row>
    <row r="175" spans="1:23" ht="11.25" customHeight="1" x14ac:dyDescent="0.25">
      <c r="A175" s="3" t="s">
        <v>21</v>
      </c>
      <c r="B175" s="3" t="s">
        <v>35</v>
      </c>
      <c r="C175" s="3" t="s">
        <v>39</v>
      </c>
      <c r="D175" s="3" t="s">
        <v>43</v>
      </c>
      <c r="E175" s="3" t="s">
        <v>25</v>
      </c>
      <c r="F175" s="3" t="s">
        <v>25</v>
      </c>
      <c r="G175" s="3" t="s">
        <v>25</v>
      </c>
      <c r="H175" s="3" t="s">
        <v>25</v>
      </c>
      <c r="I175" s="6">
        <v>44682</v>
      </c>
      <c r="J175" s="4">
        <v>99</v>
      </c>
      <c r="K175" s="4">
        <v>99</v>
      </c>
      <c r="L175" s="4">
        <v>0</v>
      </c>
      <c r="M175" s="4">
        <v>0</v>
      </c>
      <c r="N175" s="4">
        <v>0</v>
      </c>
      <c r="O175" s="4">
        <v>0</v>
      </c>
      <c r="P175" s="4">
        <v>1</v>
      </c>
      <c r="Q175" s="3" t="s">
        <v>26</v>
      </c>
      <c r="R175" s="3">
        <v>0</v>
      </c>
      <c r="S175" s="3" t="s">
        <v>151</v>
      </c>
      <c r="U175" s="3">
        <v>31</v>
      </c>
      <c r="V175" s="3">
        <v>0</v>
      </c>
      <c r="W175" s="3">
        <v>0</v>
      </c>
    </row>
    <row r="176" spans="1:23" ht="11.25" customHeight="1" x14ac:dyDescent="0.25">
      <c r="A176" s="3" t="s">
        <v>21</v>
      </c>
      <c r="B176" s="3" t="s">
        <v>35</v>
      </c>
      <c r="C176" s="3" t="s">
        <v>39</v>
      </c>
      <c r="D176" s="3" t="s">
        <v>43</v>
      </c>
      <c r="E176" s="3" t="s">
        <v>25</v>
      </c>
      <c r="F176" s="3" t="s">
        <v>25</v>
      </c>
      <c r="G176" s="3" t="s">
        <v>25</v>
      </c>
      <c r="H176" s="3" t="s">
        <v>25</v>
      </c>
      <c r="I176" s="6">
        <v>44713</v>
      </c>
      <c r="J176" s="4">
        <v>96</v>
      </c>
      <c r="K176" s="4">
        <v>96</v>
      </c>
      <c r="L176" s="4">
        <v>0</v>
      </c>
      <c r="M176" s="4">
        <v>0</v>
      </c>
      <c r="N176" s="4">
        <v>0</v>
      </c>
      <c r="O176" s="4">
        <v>0</v>
      </c>
      <c r="P176" s="4">
        <v>1</v>
      </c>
      <c r="Q176" s="3" t="s">
        <v>26</v>
      </c>
      <c r="R176" s="3">
        <v>0</v>
      </c>
      <c r="S176" s="3" t="s">
        <v>152</v>
      </c>
      <c r="U176" s="3">
        <v>31</v>
      </c>
      <c r="V176" s="3">
        <v>0</v>
      </c>
      <c r="W176" s="3">
        <v>0</v>
      </c>
    </row>
    <row r="177" spans="1:23" ht="11.25" customHeight="1" x14ac:dyDescent="0.25">
      <c r="A177" s="3" t="s">
        <v>21</v>
      </c>
      <c r="B177" s="3" t="s">
        <v>35</v>
      </c>
      <c r="C177" s="3" t="s">
        <v>39</v>
      </c>
      <c r="D177" s="3" t="s">
        <v>43</v>
      </c>
      <c r="E177" s="3" t="s">
        <v>25</v>
      </c>
      <c r="F177" s="3" t="s">
        <v>25</v>
      </c>
      <c r="G177" s="3" t="s">
        <v>25</v>
      </c>
      <c r="H177" s="3" t="s">
        <v>37</v>
      </c>
      <c r="I177" s="6">
        <v>44378</v>
      </c>
      <c r="J177" s="4">
        <v>0</v>
      </c>
      <c r="K177" s="4">
        <v>0</v>
      </c>
      <c r="L177" s="4">
        <v>3.7999999999999999E-2</v>
      </c>
      <c r="M177" s="4">
        <v>3.7999999999999999E-2</v>
      </c>
      <c r="N177" s="4">
        <v>3.7999999999999999E-2</v>
      </c>
      <c r="O177" s="4">
        <v>3.7999999999999999E-2</v>
      </c>
      <c r="P177" s="4">
        <v>0</v>
      </c>
      <c r="Q177" s="3" t="s">
        <v>26</v>
      </c>
      <c r="R177" s="3">
        <v>0</v>
      </c>
      <c r="S177" s="3" t="s">
        <v>153</v>
      </c>
      <c r="T177" s="3" t="s">
        <v>274</v>
      </c>
      <c r="U177" s="3">
        <v>0</v>
      </c>
      <c r="V177" s="3">
        <v>15</v>
      </c>
      <c r="W177" s="3">
        <v>24</v>
      </c>
    </row>
    <row r="178" spans="1:23" ht="11.25" customHeight="1" x14ac:dyDescent="0.25">
      <c r="A178" s="3" t="s">
        <v>21</v>
      </c>
      <c r="B178" s="3" t="s">
        <v>35</v>
      </c>
      <c r="C178" s="3" t="s">
        <v>39</v>
      </c>
      <c r="D178" s="3" t="s">
        <v>43</v>
      </c>
      <c r="E178" s="3" t="s">
        <v>25</v>
      </c>
      <c r="F178" s="3" t="s">
        <v>25</v>
      </c>
      <c r="G178" s="3" t="s">
        <v>25</v>
      </c>
      <c r="H178" s="3" t="s">
        <v>37</v>
      </c>
      <c r="I178" s="6">
        <v>44409</v>
      </c>
      <c r="J178" s="4">
        <v>0</v>
      </c>
      <c r="K178" s="4">
        <v>0</v>
      </c>
      <c r="L178" s="4">
        <v>0.03</v>
      </c>
      <c r="M178" s="4">
        <v>0.03</v>
      </c>
      <c r="N178" s="4">
        <v>0.03</v>
      </c>
      <c r="O178" s="4">
        <v>0.03</v>
      </c>
      <c r="P178" s="4">
        <v>0</v>
      </c>
      <c r="Q178" s="3" t="s">
        <v>26</v>
      </c>
      <c r="R178" s="3">
        <v>0</v>
      </c>
      <c r="S178" s="3" t="s">
        <v>154</v>
      </c>
      <c r="T178" s="3" t="s">
        <v>275</v>
      </c>
      <c r="U178" s="3">
        <v>0</v>
      </c>
      <c r="V178" s="3">
        <v>15</v>
      </c>
      <c r="W178" s="3">
        <v>24</v>
      </c>
    </row>
    <row r="179" spans="1:23" ht="11.25" customHeight="1" x14ac:dyDescent="0.25">
      <c r="A179" s="3" t="s">
        <v>21</v>
      </c>
      <c r="B179" s="3" t="s">
        <v>35</v>
      </c>
      <c r="C179" s="3" t="s">
        <v>39</v>
      </c>
      <c r="D179" s="3" t="s">
        <v>43</v>
      </c>
      <c r="E179" s="3" t="s">
        <v>25</v>
      </c>
      <c r="F179" s="3" t="s">
        <v>25</v>
      </c>
      <c r="G179" s="3" t="s">
        <v>25</v>
      </c>
      <c r="H179" s="3" t="s">
        <v>37</v>
      </c>
      <c r="I179" s="6">
        <v>44440</v>
      </c>
      <c r="J179" s="4">
        <v>0</v>
      </c>
      <c r="K179" s="4">
        <v>0</v>
      </c>
      <c r="L179" s="4">
        <v>3.7999999999999999E-2</v>
      </c>
      <c r="M179" s="4">
        <v>3.7999999999999999E-2</v>
      </c>
      <c r="N179" s="4">
        <v>3.7999999999999999E-2</v>
      </c>
      <c r="O179" s="4">
        <v>3.7999999999999999E-2</v>
      </c>
      <c r="P179" s="4">
        <v>0</v>
      </c>
      <c r="Q179" s="3" t="s">
        <v>26</v>
      </c>
      <c r="R179" s="3">
        <v>0</v>
      </c>
      <c r="S179" s="3" t="s">
        <v>155</v>
      </c>
      <c r="T179" s="3" t="s">
        <v>276</v>
      </c>
      <c r="U179" s="3">
        <v>0</v>
      </c>
      <c r="V179" s="3">
        <v>15</v>
      </c>
      <c r="W179" s="3">
        <v>24</v>
      </c>
    </row>
    <row r="180" spans="1:23" ht="11.25" customHeight="1" x14ac:dyDescent="0.25">
      <c r="A180" s="3" t="s">
        <v>21</v>
      </c>
      <c r="B180" s="3" t="s">
        <v>35</v>
      </c>
      <c r="C180" s="3" t="s">
        <v>39</v>
      </c>
      <c r="D180" s="3" t="s">
        <v>43</v>
      </c>
      <c r="E180" s="3" t="s">
        <v>25</v>
      </c>
      <c r="F180" s="3" t="s">
        <v>25</v>
      </c>
      <c r="G180" s="3" t="s">
        <v>25</v>
      </c>
      <c r="H180" s="3" t="s">
        <v>37</v>
      </c>
      <c r="I180" s="6">
        <v>44470</v>
      </c>
      <c r="J180" s="4">
        <v>0</v>
      </c>
      <c r="K180" s="4">
        <v>0</v>
      </c>
      <c r="L180" s="4">
        <v>2.7E-2</v>
      </c>
      <c r="M180" s="4">
        <v>2.7E-2</v>
      </c>
      <c r="N180" s="4">
        <v>2.7E-2</v>
      </c>
      <c r="O180" s="4">
        <v>2.7E-2</v>
      </c>
      <c r="P180" s="4">
        <v>0</v>
      </c>
      <c r="Q180" s="3" t="s">
        <v>26</v>
      </c>
      <c r="R180" s="3">
        <v>0</v>
      </c>
      <c r="S180" s="3" t="s">
        <v>156</v>
      </c>
      <c r="T180" s="3" t="s">
        <v>277</v>
      </c>
      <c r="U180" s="3">
        <v>0</v>
      </c>
      <c r="V180" s="3">
        <v>15</v>
      </c>
      <c r="W180" s="3">
        <v>24</v>
      </c>
    </row>
    <row r="181" spans="1:23" ht="11.25" customHeight="1" x14ac:dyDescent="0.25">
      <c r="A181" s="3" t="s">
        <v>21</v>
      </c>
      <c r="B181" s="3" t="s">
        <v>35</v>
      </c>
      <c r="C181" s="3" t="s">
        <v>39</v>
      </c>
      <c r="D181" s="3" t="s">
        <v>43</v>
      </c>
      <c r="E181" s="3" t="s">
        <v>25</v>
      </c>
      <c r="F181" s="3" t="s">
        <v>25</v>
      </c>
      <c r="G181" s="3" t="s">
        <v>25</v>
      </c>
      <c r="H181" s="3" t="s">
        <v>37</v>
      </c>
      <c r="I181" s="6">
        <v>44501</v>
      </c>
      <c r="J181" s="4">
        <v>0</v>
      </c>
      <c r="K181" s="4">
        <v>0</v>
      </c>
      <c r="L181" s="4">
        <v>1.7999999999999999E-2</v>
      </c>
      <c r="M181" s="4">
        <v>1.7999999999999999E-2</v>
      </c>
      <c r="N181" s="4">
        <v>1.7999999999999999E-2</v>
      </c>
      <c r="O181" s="4">
        <v>1.7999999999999999E-2</v>
      </c>
      <c r="P181" s="4">
        <v>0</v>
      </c>
      <c r="Q181" s="3" t="s">
        <v>26</v>
      </c>
      <c r="R181" s="3">
        <v>0</v>
      </c>
      <c r="S181" s="3" t="s">
        <v>157</v>
      </c>
      <c r="T181" s="3" t="s">
        <v>278</v>
      </c>
      <c r="U181" s="3">
        <v>0</v>
      </c>
      <c r="V181" s="3">
        <v>15</v>
      </c>
      <c r="W181" s="3">
        <v>24</v>
      </c>
    </row>
    <row r="182" spans="1:23" ht="11.25" customHeight="1" x14ac:dyDescent="0.25">
      <c r="A182" s="3" t="s">
        <v>21</v>
      </c>
      <c r="B182" s="3" t="s">
        <v>35</v>
      </c>
      <c r="C182" s="3" t="s">
        <v>39</v>
      </c>
      <c r="D182" s="3" t="s">
        <v>43</v>
      </c>
      <c r="E182" s="3" t="s">
        <v>25</v>
      </c>
      <c r="F182" s="3" t="s">
        <v>25</v>
      </c>
      <c r="G182" s="3" t="s">
        <v>25</v>
      </c>
      <c r="H182" s="3" t="s">
        <v>37</v>
      </c>
      <c r="I182" s="6">
        <v>44531</v>
      </c>
      <c r="J182" s="4">
        <v>0</v>
      </c>
      <c r="K182" s="4">
        <v>0</v>
      </c>
      <c r="L182" s="4">
        <v>1.7000000000000001E-2</v>
      </c>
      <c r="M182" s="4">
        <v>1.7000000000000001E-2</v>
      </c>
      <c r="N182" s="4">
        <v>1.7000000000000001E-2</v>
      </c>
      <c r="O182" s="4">
        <v>1.7000000000000001E-2</v>
      </c>
      <c r="P182" s="4">
        <v>0</v>
      </c>
      <c r="Q182" s="3" t="s">
        <v>26</v>
      </c>
      <c r="R182" s="3">
        <v>0</v>
      </c>
      <c r="S182" s="3" t="s">
        <v>158</v>
      </c>
      <c r="T182" s="3" t="s">
        <v>279</v>
      </c>
      <c r="U182" s="3">
        <v>0</v>
      </c>
      <c r="V182" s="3">
        <v>15</v>
      </c>
      <c r="W182" s="3">
        <v>24</v>
      </c>
    </row>
    <row r="183" spans="1:23" ht="11.25" customHeight="1" x14ac:dyDescent="0.25">
      <c r="A183" s="3" t="s">
        <v>21</v>
      </c>
      <c r="B183" s="3" t="s">
        <v>35</v>
      </c>
      <c r="C183" s="3" t="s">
        <v>39</v>
      </c>
      <c r="D183" s="3" t="s">
        <v>43</v>
      </c>
      <c r="E183" s="3" t="s">
        <v>25</v>
      </c>
      <c r="F183" s="3" t="s">
        <v>25</v>
      </c>
      <c r="G183" s="3" t="s">
        <v>25</v>
      </c>
      <c r="H183" s="3" t="s">
        <v>37</v>
      </c>
      <c r="I183" s="6">
        <v>44562</v>
      </c>
      <c r="J183" s="4">
        <v>0</v>
      </c>
      <c r="K183" s="4">
        <v>0</v>
      </c>
      <c r="L183" s="4">
        <v>0.114</v>
      </c>
      <c r="M183" s="4">
        <v>0.114</v>
      </c>
      <c r="N183" s="4">
        <v>0.114</v>
      </c>
      <c r="O183" s="4">
        <v>0.114</v>
      </c>
      <c r="P183" s="4">
        <v>0</v>
      </c>
      <c r="Q183" s="3" t="s">
        <v>26</v>
      </c>
      <c r="R183" s="3">
        <v>0</v>
      </c>
      <c r="S183" s="3" t="s">
        <v>159</v>
      </c>
      <c r="T183" s="3" t="s">
        <v>280</v>
      </c>
      <c r="U183" s="3">
        <v>0</v>
      </c>
      <c r="V183" s="3">
        <v>15</v>
      </c>
      <c r="W183" s="3">
        <v>24</v>
      </c>
    </row>
    <row r="184" spans="1:23" ht="11.25" customHeight="1" x14ac:dyDescent="0.25">
      <c r="A184" s="3" t="s">
        <v>21</v>
      </c>
      <c r="B184" s="3" t="s">
        <v>35</v>
      </c>
      <c r="C184" s="3" t="s">
        <v>39</v>
      </c>
      <c r="D184" s="3" t="s">
        <v>43</v>
      </c>
      <c r="E184" s="3" t="s">
        <v>25</v>
      </c>
      <c r="F184" s="3" t="s">
        <v>25</v>
      </c>
      <c r="G184" s="3" t="s">
        <v>25</v>
      </c>
      <c r="H184" s="3" t="s">
        <v>37</v>
      </c>
      <c r="I184" s="6">
        <v>44593</v>
      </c>
      <c r="J184" s="4">
        <v>0</v>
      </c>
      <c r="K184" s="4">
        <v>0</v>
      </c>
      <c r="L184" s="4">
        <v>0.03</v>
      </c>
      <c r="M184" s="4">
        <v>0.03</v>
      </c>
      <c r="N184" s="4">
        <v>0.03</v>
      </c>
      <c r="O184" s="4">
        <v>0.03</v>
      </c>
      <c r="P184" s="4">
        <v>0</v>
      </c>
      <c r="Q184" s="3" t="s">
        <v>26</v>
      </c>
      <c r="R184" s="3">
        <v>0</v>
      </c>
      <c r="S184" s="3" t="s">
        <v>160</v>
      </c>
      <c r="T184" s="3" t="s">
        <v>281</v>
      </c>
      <c r="U184" s="3">
        <v>0</v>
      </c>
      <c r="V184" s="3">
        <v>15</v>
      </c>
      <c r="W184" s="3">
        <v>24</v>
      </c>
    </row>
    <row r="185" spans="1:23" ht="11.25" customHeight="1" x14ac:dyDescent="0.25">
      <c r="A185" s="3" t="s">
        <v>21</v>
      </c>
      <c r="B185" s="3" t="s">
        <v>35</v>
      </c>
      <c r="C185" s="3" t="s">
        <v>39</v>
      </c>
      <c r="D185" s="3" t="s">
        <v>43</v>
      </c>
      <c r="E185" s="3" t="s">
        <v>25</v>
      </c>
      <c r="F185" s="3" t="s">
        <v>25</v>
      </c>
      <c r="G185" s="3" t="s">
        <v>25</v>
      </c>
      <c r="H185" s="3" t="s">
        <v>37</v>
      </c>
      <c r="I185" s="6">
        <v>44621</v>
      </c>
      <c r="J185" s="4">
        <v>0</v>
      </c>
      <c r="K185" s="4">
        <v>0</v>
      </c>
      <c r="L185" s="4">
        <v>2.3E-2</v>
      </c>
      <c r="M185" s="4">
        <v>2.3E-2</v>
      </c>
      <c r="N185" s="4">
        <v>2.3E-2</v>
      </c>
      <c r="O185" s="4">
        <v>2.3E-2</v>
      </c>
      <c r="P185" s="4">
        <v>0</v>
      </c>
      <c r="Q185" s="3" t="s">
        <v>26</v>
      </c>
      <c r="R185" s="3">
        <v>0</v>
      </c>
      <c r="S185" s="3" t="s">
        <v>161</v>
      </c>
      <c r="T185" s="3" t="s">
        <v>282</v>
      </c>
      <c r="U185" s="3">
        <v>0</v>
      </c>
      <c r="V185" s="3">
        <v>15</v>
      </c>
      <c r="W185" s="3">
        <v>24</v>
      </c>
    </row>
    <row r="186" spans="1:23" ht="11.25" customHeight="1" x14ac:dyDescent="0.25">
      <c r="A186" s="3" t="s">
        <v>21</v>
      </c>
      <c r="B186" s="3" t="s">
        <v>35</v>
      </c>
      <c r="C186" s="3" t="s">
        <v>39</v>
      </c>
      <c r="D186" s="3" t="s">
        <v>43</v>
      </c>
      <c r="E186" s="3" t="s">
        <v>25</v>
      </c>
      <c r="F186" s="3" t="s">
        <v>25</v>
      </c>
      <c r="G186" s="3" t="s">
        <v>25</v>
      </c>
      <c r="H186" s="3" t="s">
        <v>37</v>
      </c>
      <c r="I186" s="6">
        <v>44652</v>
      </c>
      <c r="J186" s="4">
        <v>0</v>
      </c>
      <c r="K186" s="4">
        <v>0</v>
      </c>
      <c r="L186" s="4">
        <v>2.1000000000000001E-2</v>
      </c>
      <c r="M186" s="4">
        <v>2.1000000000000001E-2</v>
      </c>
      <c r="N186" s="4">
        <v>2.1000000000000001E-2</v>
      </c>
      <c r="O186" s="4">
        <v>2.1000000000000001E-2</v>
      </c>
      <c r="P186" s="4">
        <v>0</v>
      </c>
      <c r="Q186" s="3" t="s">
        <v>26</v>
      </c>
      <c r="R186" s="3">
        <v>0</v>
      </c>
      <c r="S186" s="3" t="s">
        <v>162</v>
      </c>
      <c r="T186" s="3" t="s">
        <v>283</v>
      </c>
      <c r="U186" s="3">
        <v>0</v>
      </c>
      <c r="V186" s="3">
        <v>15</v>
      </c>
      <c r="W186" s="3">
        <v>24</v>
      </c>
    </row>
    <row r="187" spans="1:23" ht="11.25" customHeight="1" x14ac:dyDescent="0.25">
      <c r="A187" s="3" t="s">
        <v>21</v>
      </c>
      <c r="B187" s="3" t="s">
        <v>35</v>
      </c>
      <c r="C187" s="3" t="s">
        <v>39</v>
      </c>
      <c r="D187" s="3" t="s">
        <v>43</v>
      </c>
      <c r="E187" s="3" t="s">
        <v>25</v>
      </c>
      <c r="F187" s="3" t="s">
        <v>25</v>
      </c>
      <c r="G187" s="3" t="s">
        <v>25</v>
      </c>
      <c r="H187" s="3" t="s">
        <v>37</v>
      </c>
      <c r="I187" s="6">
        <v>44713</v>
      </c>
      <c r="J187" s="4">
        <v>0</v>
      </c>
      <c r="K187" s="4">
        <v>0</v>
      </c>
      <c r="L187" s="4">
        <v>2.8000000000000001E-2</v>
      </c>
      <c r="M187" s="4">
        <v>2.8000000000000001E-2</v>
      </c>
      <c r="N187" s="4">
        <v>2.8000000000000001E-2</v>
      </c>
      <c r="O187" s="4">
        <v>2.8000000000000001E-2</v>
      </c>
      <c r="P187" s="4">
        <v>0</v>
      </c>
      <c r="Q187" s="3" t="s">
        <v>26</v>
      </c>
      <c r="R187" s="3">
        <v>0</v>
      </c>
      <c r="S187" s="3" t="s">
        <v>164</v>
      </c>
      <c r="T187" s="3" t="s">
        <v>285</v>
      </c>
      <c r="U187" s="3">
        <v>0</v>
      </c>
      <c r="V187" s="3">
        <v>15</v>
      </c>
      <c r="W187" s="3">
        <v>24</v>
      </c>
    </row>
    <row r="188" spans="1:23" ht="11.25" customHeight="1" x14ac:dyDescent="0.25">
      <c r="A188" s="3" t="s">
        <v>21</v>
      </c>
      <c r="B188" s="3" t="s">
        <v>35</v>
      </c>
      <c r="C188" s="3" t="s">
        <v>39</v>
      </c>
      <c r="D188" s="3" t="s">
        <v>42</v>
      </c>
      <c r="E188" s="3" t="s">
        <v>49</v>
      </c>
      <c r="F188" s="3" t="s">
        <v>51</v>
      </c>
      <c r="G188" s="3" t="s">
        <v>25</v>
      </c>
      <c r="H188" s="3" t="s">
        <v>38</v>
      </c>
      <c r="I188" s="6">
        <v>44378</v>
      </c>
      <c r="J188" s="4">
        <v>0</v>
      </c>
      <c r="K188" s="4">
        <v>0</v>
      </c>
      <c r="L188" s="4">
        <v>6.8289999999999997</v>
      </c>
      <c r="M188" s="4">
        <v>2.0487000000000002</v>
      </c>
      <c r="N188" s="4">
        <v>6.8289999999999997</v>
      </c>
      <c r="O188" s="4">
        <v>2.0487000000000002</v>
      </c>
      <c r="P188" s="4">
        <v>0</v>
      </c>
      <c r="Q188" s="3" t="s">
        <v>26</v>
      </c>
      <c r="R188" s="3">
        <v>0</v>
      </c>
      <c r="S188" s="3" t="s">
        <v>129</v>
      </c>
      <c r="T188" s="3" t="s">
        <v>262</v>
      </c>
      <c r="U188" s="3">
        <v>0</v>
      </c>
      <c r="V188" s="3">
        <v>3</v>
      </c>
      <c r="W188" s="3">
        <v>48</v>
      </c>
    </row>
    <row r="189" spans="1:23" ht="11.25" customHeight="1" x14ac:dyDescent="0.25">
      <c r="A189" s="3" t="s">
        <v>21</v>
      </c>
      <c r="B189" s="3" t="s">
        <v>35</v>
      </c>
      <c r="C189" s="3" t="s">
        <v>39</v>
      </c>
      <c r="D189" s="3" t="s">
        <v>42</v>
      </c>
      <c r="E189" s="3" t="s">
        <v>49</v>
      </c>
      <c r="F189" s="3" t="s">
        <v>51</v>
      </c>
      <c r="G189" s="3" t="s">
        <v>25</v>
      </c>
      <c r="H189" s="3" t="s">
        <v>38</v>
      </c>
      <c r="I189" s="6">
        <v>44409</v>
      </c>
      <c r="J189" s="4">
        <v>0</v>
      </c>
      <c r="K189" s="4">
        <v>0</v>
      </c>
      <c r="L189" s="4">
        <v>10.128</v>
      </c>
      <c r="M189" s="4">
        <v>3.0384000000000002</v>
      </c>
      <c r="N189" s="4">
        <v>10.128</v>
      </c>
      <c r="O189" s="4">
        <v>3.0384000000000002</v>
      </c>
      <c r="P189" s="4">
        <v>0</v>
      </c>
      <c r="Q189" s="3" t="s">
        <v>26</v>
      </c>
      <c r="R189" s="3">
        <v>0</v>
      </c>
      <c r="S189" s="3" t="s">
        <v>130</v>
      </c>
      <c r="T189" s="3" t="s">
        <v>263</v>
      </c>
      <c r="U189" s="3">
        <v>0</v>
      </c>
      <c r="V189" s="3">
        <v>3</v>
      </c>
      <c r="W189" s="3">
        <v>48</v>
      </c>
    </row>
    <row r="190" spans="1:23" ht="11.25" customHeight="1" x14ac:dyDescent="0.25">
      <c r="A190" s="3" t="s">
        <v>21</v>
      </c>
      <c r="B190" s="3" t="s">
        <v>35</v>
      </c>
      <c r="C190" s="3" t="s">
        <v>39</v>
      </c>
      <c r="D190" s="3" t="s">
        <v>42</v>
      </c>
      <c r="E190" s="3" t="s">
        <v>49</v>
      </c>
      <c r="F190" s="3" t="s">
        <v>51</v>
      </c>
      <c r="G190" s="3" t="s">
        <v>25</v>
      </c>
      <c r="H190" s="3" t="s">
        <v>38</v>
      </c>
      <c r="I190" s="6">
        <v>44440</v>
      </c>
      <c r="J190" s="4">
        <v>0</v>
      </c>
      <c r="K190" s="4">
        <v>0</v>
      </c>
      <c r="L190" s="4">
        <v>14.759</v>
      </c>
      <c r="M190" s="4">
        <v>4.4276999999999997</v>
      </c>
      <c r="N190" s="4">
        <v>14.759</v>
      </c>
      <c r="O190" s="4">
        <v>4.4276999999999997</v>
      </c>
      <c r="P190" s="4">
        <v>0</v>
      </c>
      <c r="Q190" s="3" t="s">
        <v>26</v>
      </c>
      <c r="R190" s="3">
        <v>0</v>
      </c>
      <c r="S190" s="3" t="s">
        <v>131</v>
      </c>
      <c r="T190" s="3" t="s">
        <v>264</v>
      </c>
      <c r="U190" s="3">
        <v>0</v>
      </c>
      <c r="V190" s="3">
        <v>3</v>
      </c>
      <c r="W190" s="3">
        <v>48</v>
      </c>
    </row>
    <row r="191" spans="1:23" ht="11.25" customHeight="1" x14ac:dyDescent="0.25">
      <c r="A191" s="3" t="s">
        <v>21</v>
      </c>
      <c r="B191" s="3" t="s">
        <v>35</v>
      </c>
      <c r="C191" s="3" t="s">
        <v>39</v>
      </c>
      <c r="D191" s="3" t="s">
        <v>42</v>
      </c>
      <c r="E191" s="3" t="s">
        <v>49</v>
      </c>
      <c r="F191" s="3" t="s">
        <v>51</v>
      </c>
      <c r="G191" s="3" t="s">
        <v>25</v>
      </c>
      <c r="H191" s="3" t="s">
        <v>38</v>
      </c>
      <c r="I191" s="6">
        <v>44470</v>
      </c>
      <c r="J191" s="4">
        <v>0</v>
      </c>
      <c r="K191" s="4">
        <v>0</v>
      </c>
      <c r="L191" s="4">
        <v>29.698</v>
      </c>
      <c r="M191" s="4">
        <v>8.9093999999999998</v>
      </c>
      <c r="N191" s="4">
        <v>29.698</v>
      </c>
      <c r="O191" s="4">
        <v>8.9093999999999998</v>
      </c>
      <c r="P191" s="4">
        <v>0</v>
      </c>
      <c r="Q191" s="3" t="s">
        <v>26</v>
      </c>
      <c r="R191" s="3">
        <v>0</v>
      </c>
      <c r="S191" s="3" t="s">
        <v>132</v>
      </c>
      <c r="T191" s="3" t="s">
        <v>265</v>
      </c>
      <c r="U191" s="3">
        <v>0</v>
      </c>
      <c r="V191" s="3">
        <v>3</v>
      </c>
      <c r="W191" s="3">
        <v>48</v>
      </c>
    </row>
    <row r="192" spans="1:23" ht="11.25" customHeight="1" x14ac:dyDescent="0.25">
      <c r="A192" s="3" t="s">
        <v>21</v>
      </c>
      <c r="B192" s="3" t="s">
        <v>35</v>
      </c>
      <c r="C192" s="3" t="s">
        <v>39</v>
      </c>
      <c r="D192" s="3" t="s">
        <v>42</v>
      </c>
      <c r="E192" s="3" t="s">
        <v>49</v>
      </c>
      <c r="F192" s="3" t="s">
        <v>51</v>
      </c>
      <c r="G192" s="3" t="s">
        <v>25</v>
      </c>
      <c r="H192" s="3" t="s">
        <v>38</v>
      </c>
      <c r="I192" s="6">
        <v>44501</v>
      </c>
      <c r="J192" s="4">
        <v>0</v>
      </c>
      <c r="K192" s="4">
        <v>0</v>
      </c>
      <c r="L192" s="4">
        <v>118.98</v>
      </c>
      <c r="M192" s="4">
        <v>35.694000000000003</v>
      </c>
      <c r="N192" s="4">
        <v>118.98</v>
      </c>
      <c r="O192" s="4">
        <v>35.694000000000003</v>
      </c>
      <c r="P192" s="4">
        <v>0</v>
      </c>
      <c r="Q192" s="3" t="s">
        <v>26</v>
      </c>
      <c r="R192" s="3">
        <v>0</v>
      </c>
      <c r="S192" s="3" t="s">
        <v>133</v>
      </c>
      <c r="T192" s="3" t="s">
        <v>266</v>
      </c>
      <c r="U192" s="3">
        <v>0</v>
      </c>
      <c r="V192" s="3">
        <v>3</v>
      </c>
      <c r="W192" s="3">
        <v>48</v>
      </c>
    </row>
    <row r="193" spans="1:23" ht="11.25" customHeight="1" x14ac:dyDescent="0.25">
      <c r="A193" s="3" t="s">
        <v>21</v>
      </c>
      <c r="B193" s="3" t="s">
        <v>35</v>
      </c>
      <c r="C193" s="3" t="s">
        <v>39</v>
      </c>
      <c r="D193" s="3" t="s">
        <v>42</v>
      </c>
      <c r="E193" s="3" t="s">
        <v>49</v>
      </c>
      <c r="F193" s="3" t="s">
        <v>51</v>
      </c>
      <c r="G193" s="3" t="s">
        <v>25</v>
      </c>
      <c r="H193" s="3" t="s">
        <v>38</v>
      </c>
      <c r="I193" s="6">
        <v>44531</v>
      </c>
      <c r="J193" s="4">
        <v>0</v>
      </c>
      <c r="K193" s="4">
        <v>0</v>
      </c>
      <c r="L193" s="4">
        <v>132.64500000000001</v>
      </c>
      <c r="M193" s="4">
        <v>39.793500000000002</v>
      </c>
      <c r="N193" s="4">
        <v>132.64500000000001</v>
      </c>
      <c r="O193" s="4">
        <v>39.793500000000002</v>
      </c>
      <c r="P193" s="4">
        <v>0</v>
      </c>
      <c r="Q193" s="3" t="s">
        <v>26</v>
      </c>
      <c r="R193" s="3">
        <v>0</v>
      </c>
      <c r="S193" s="3" t="s">
        <v>134</v>
      </c>
      <c r="T193" s="3" t="s">
        <v>267</v>
      </c>
      <c r="U193" s="3">
        <v>0</v>
      </c>
      <c r="V193" s="3">
        <v>3</v>
      </c>
      <c r="W193" s="3">
        <v>48</v>
      </c>
    </row>
    <row r="194" spans="1:23" ht="11.25" customHeight="1" x14ac:dyDescent="0.25">
      <c r="A194" s="3" t="s">
        <v>21</v>
      </c>
      <c r="B194" s="3" t="s">
        <v>35</v>
      </c>
      <c r="C194" s="3" t="s">
        <v>39</v>
      </c>
      <c r="D194" s="3" t="s">
        <v>42</v>
      </c>
      <c r="E194" s="3" t="s">
        <v>49</v>
      </c>
      <c r="F194" s="3" t="s">
        <v>51</v>
      </c>
      <c r="G194" s="3" t="s">
        <v>25</v>
      </c>
      <c r="H194" s="3" t="s">
        <v>38</v>
      </c>
      <c r="I194" s="6">
        <v>44562</v>
      </c>
      <c r="J194" s="4">
        <v>0</v>
      </c>
      <c r="K194" s="4">
        <v>0</v>
      </c>
      <c r="L194" s="4">
        <v>39.817</v>
      </c>
      <c r="M194" s="4">
        <v>11.9451</v>
      </c>
      <c r="N194" s="4">
        <v>39.817</v>
      </c>
      <c r="O194" s="4">
        <v>11.9451</v>
      </c>
      <c r="P194" s="4">
        <v>0</v>
      </c>
      <c r="Q194" s="3" t="s">
        <v>26</v>
      </c>
      <c r="R194" s="3">
        <v>0</v>
      </c>
      <c r="S194" s="3" t="s">
        <v>135</v>
      </c>
      <c r="T194" s="3" t="s">
        <v>268</v>
      </c>
      <c r="U194" s="3">
        <v>0</v>
      </c>
      <c r="V194" s="3">
        <v>3</v>
      </c>
      <c r="W194" s="3">
        <v>48</v>
      </c>
    </row>
    <row r="195" spans="1:23" ht="11.25" customHeight="1" x14ac:dyDescent="0.25">
      <c r="A195" s="3" t="s">
        <v>21</v>
      </c>
      <c r="B195" s="3" t="s">
        <v>35</v>
      </c>
      <c r="C195" s="3" t="s">
        <v>39</v>
      </c>
      <c r="D195" s="3" t="s">
        <v>42</v>
      </c>
      <c r="E195" s="3" t="s">
        <v>49</v>
      </c>
      <c r="F195" s="3" t="s">
        <v>51</v>
      </c>
      <c r="G195" s="3" t="s">
        <v>25</v>
      </c>
      <c r="H195" s="3" t="s">
        <v>38</v>
      </c>
      <c r="I195" s="6">
        <v>44593</v>
      </c>
      <c r="J195" s="4">
        <v>0</v>
      </c>
      <c r="K195" s="4">
        <v>0</v>
      </c>
      <c r="L195" s="4">
        <v>56.661999999999999</v>
      </c>
      <c r="M195" s="4">
        <v>16.9986</v>
      </c>
      <c r="N195" s="4">
        <v>56.661999999999999</v>
      </c>
      <c r="O195" s="4">
        <v>16.9986</v>
      </c>
      <c r="P195" s="4">
        <v>0</v>
      </c>
      <c r="Q195" s="3" t="s">
        <v>26</v>
      </c>
      <c r="R195" s="3">
        <v>0</v>
      </c>
      <c r="S195" s="3" t="s">
        <v>136</v>
      </c>
      <c r="T195" s="3" t="s">
        <v>269</v>
      </c>
      <c r="U195" s="3">
        <v>0</v>
      </c>
      <c r="V195" s="3">
        <v>3</v>
      </c>
      <c r="W195" s="3">
        <v>48</v>
      </c>
    </row>
    <row r="196" spans="1:23" ht="11.25" customHeight="1" x14ac:dyDescent="0.25">
      <c r="A196" s="3" t="s">
        <v>21</v>
      </c>
      <c r="B196" s="3" t="s">
        <v>35</v>
      </c>
      <c r="C196" s="3" t="s">
        <v>39</v>
      </c>
      <c r="D196" s="3" t="s">
        <v>42</v>
      </c>
      <c r="E196" s="3" t="s">
        <v>49</v>
      </c>
      <c r="F196" s="3" t="s">
        <v>51</v>
      </c>
      <c r="G196" s="3" t="s">
        <v>25</v>
      </c>
      <c r="H196" s="3" t="s">
        <v>38</v>
      </c>
      <c r="I196" s="6">
        <v>44621</v>
      </c>
      <c r="J196" s="4">
        <v>0</v>
      </c>
      <c r="K196" s="4">
        <v>0</v>
      </c>
      <c r="L196" s="4">
        <v>29.236000000000001</v>
      </c>
      <c r="M196" s="4">
        <v>8.7707999999999995</v>
      </c>
      <c r="N196" s="4">
        <v>29.236000000000001</v>
      </c>
      <c r="O196" s="4">
        <v>8.7707999999999995</v>
      </c>
      <c r="P196" s="4">
        <v>0</v>
      </c>
      <c r="Q196" s="3" t="s">
        <v>26</v>
      </c>
      <c r="R196" s="3">
        <v>0</v>
      </c>
      <c r="S196" s="3" t="s">
        <v>137</v>
      </c>
      <c r="T196" s="3" t="s">
        <v>270</v>
      </c>
      <c r="U196" s="3">
        <v>0</v>
      </c>
      <c r="V196" s="3">
        <v>3</v>
      </c>
      <c r="W196" s="3">
        <v>48</v>
      </c>
    </row>
    <row r="197" spans="1:23" ht="11.25" customHeight="1" x14ac:dyDescent="0.25">
      <c r="A197" s="3" t="s">
        <v>21</v>
      </c>
      <c r="B197" s="3" t="s">
        <v>35</v>
      </c>
      <c r="C197" s="3" t="s">
        <v>39</v>
      </c>
      <c r="D197" s="3" t="s">
        <v>42</v>
      </c>
      <c r="E197" s="3" t="s">
        <v>49</v>
      </c>
      <c r="F197" s="3" t="s">
        <v>51</v>
      </c>
      <c r="G197" s="3" t="s">
        <v>25</v>
      </c>
      <c r="H197" s="3" t="s">
        <v>38</v>
      </c>
      <c r="I197" s="6">
        <v>44652</v>
      </c>
      <c r="J197" s="4">
        <v>0</v>
      </c>
      <c r="K197" s="4">
        <v>0</v>
      </c>
      <c r="L197" s="4">
        <v>17.074000000000002</v>
      </c>
      <c r="M197" s="4">
        <v>5.1222000000000003</v>
      </c>
      <c r="N197" s="4">
        <v>17.074000000000002</v>
      </c>
      <c r="O197" s="4">
        <v>5.1222000000000003</v>
      </c>
      <c r="P197" s="4">
        <v>0</v>
      </c>
      <c r="Q197" s="3" t="s">
        <v>26</v>
      </c>
      <c r="R197" s="3">
        <v>0</v>
      </c>
      <c r="S197" s="3" t="s">
        <v>138</v>
      </c>
      <c r="T197" s="3" t="s">
        <v>271</v>
      </c>
      <c r="U197" s="3">
        <v>0</v>
      </c>
      <c r="V197" s="3">
        <v>3</v>
      </c>
      <c r="W197" s="3">
        <v>48</v>
      </c>
    </row>
    <row r="198" spans="1:23" ht="11.25" customHeight="1" x14ac:dyDescent="0.25">
      <c r="A198" s="3" t="s">
        <v>21</v>
      </c>
      <c r="B198" s="3" t="s">
        <v>35</v>
      </c>
      <c r="C198" s="3" t="s">
        <v>39</v>
      </c>
      <c r="D198" s="3" t="s">
        <v>42</v>
      </c>
      <c r="E198" s="3" t="s">
        <v>49</v>
      </c>
      <c r="F198" s="3" t="s">
        <v>51</v>
      </c>
      <c r="G198" s="3" t="s">
        <v>25</v>
      </c>
      <c r="H198" s="3" t="s">
        <v>38</v>
      </c>
      <c r="I198" s="6">
        <v>44682</v>
      </c>
      <c r="J198" s="4">
        <v>0</v>
      </c>
      <c r="K198" s="4">
        <v>0</v>
      </c>
      <c r="L198" s="4">
        <v>1.331</v>
      </c>
      <c r="M198" s="4">
        <v>0.39929999999999999</v>
      </c>
      <c r="N198" s="4">
        <v>1.331</v>
      </c>
      <c r="O198" s="4">
        <v>0.39929999999999999</v>
      </c>
      <c r="P198" s="4">
        <v>0</v>
      </c>
      <c r="Q198" s="3" t="s">
        <v>26</v>
      </c>
      <c r="R198" s="3">
        <v>0</v>
      </c>
      <c r="S198" s="3" t="s">
        <v>139</v>
      </c>
      <c r="T198" s="3" t="s">
        <v>272</v>
      </c>
      <c r="U198" s="3">
        <v>0</v>
      </c>
      <c r="V198" s="3">
        <v>3</v>
      </c>
      <c r="W198" s="3">
        <v>48</v>
      </c>
    </row>
    <row r="199" spans="1:23" ht="11.25" customHeight="1" x14ac:dyDescent="0.25">
      <c r="A199" s="3" t="s">
        <v>21</v>
      </c>
      <c r="B199" s="3" t="s">
        <v>35</v>
      </c>
      <c r="C199" s="3" t="s">
        <v>39</v>
      </c>
      <c r="D199" s="3" t="s">
        <v>42</v>
      </c>
      <c r="E199" s="3" t="s">
        <v>49</v>
      </c>
      <c r="F199" s="3" t="s">
        <v>51</v>
      </c>
      <c r="G199" s="3" t="s">
        <v>25</v>
      </c>
      <c r="H199" s="3" t="s">
        <v>38</v>
      </c>
      <c r="I199" s="6">
        <v>44713</v>
      </c>
      <c r="J199" s="4">
        <v>0</v>
      </c>
      <c r="K199" s="4">
        <v>0</v>
      </c>
      <c r="L199" s="4">
        <v>1.8080000000000001</v>
      </c>
      <c r="M199" s="4">
        <v>0.54239999999999999</v>
      </c>
      <c r="N199" s="4">
        <v>1.8080000000000001</v>
      </c>
      <c r="O199" s="4">
        <v>0.54239999999999999</v>
      </c>
      <c r="P199" s="4">
        <v>0</v>
      </c>
      <c r="Q199" s="3" t="s">
        <v>26</v>
      </c>
      <c r="R199" s="3">
        <v>0</v>
      </c>
      <c r="S199" s="3" t="s">
        <v>140</v>
      </c>
      <c r="T199" s="3" t="s">
        <v>273</v>
      </c>
      <c r="U199" s="3">
        <v>0</v>
      </c>
      <c r="V199" s="3">
        <v>3</v>
      </c>
      <c r="W199" s="3">
        <v>48</v>
      </c>
    </row>
    <row r="200" spans="1:23" ht="11.25" customHeight="1" x14ac:dyDescent="0.25">
      <c r="A200" s="3" t="s">
        <v>21</v>
      </c>
      <c r="B200" s="3" t="s">
        <v>35</v>
      </c>
      <c r="C200" s="3" t="s">
        <v>39</v>
      </c>
      <c r="D200" s="3" t="s">
        <v>42</v>
      </c>
      <c r="E200" s="3" t="s">
        <v>49</v>
      </c>
      <c r="F200" s="3" t="s">
        <v>25</v>
      </c>
      <c r="G200" s="3" t="s">
        <v>25</v>
      </c>
      <c r="H200" s="3" t="s">
        <v>38</v>
      </c>
      <c r="I200" s="6">
        <v>44378</v>
      </c>
      <c r="J200" s="4">
        <v>0</v>
      </c>
      <c r="K200" s="4">
        <v>0</v>
      </c>
      <c r="L200" s="4">
        <v>0.82499999999999996</v>
      </c>
      <c r="M200" s="4">
        <v>0.79200000000000004</v>
      </c>
      <c r="N200" s="4">
        <v>0.82499999999999996</v>
      </c>
      <c r="O200" s="4">
        <v>0.79200000000000004</v>
      </c>
      <c r="P200" s="4">
        <v>0</v>
      </c>
      <c r="Q200" s="3" t="s">
        <v>26</v>
      </c>
      <c r="R200" s="3">
        <v>0</v>
      </c>
      <c r="S200" s="3" t="s">
        <v>129</v>
      </c>
      <c r="T200" s="3" t="s">
        <v>262</v>
      </c>
      <c r="U200" s="3">
        <v>0</v>
      </c>
      <c r="V200" s="3">
        <v>3</v>
      </c>
      <c r="W200" s="3">
        <v>48</v>
      </c>
    </row>
    <row r="201" spans="1:23" ht="11.25" customHeight="1" x14ac:dyDescent="0.25">
      <c r="A201" s="3" t="s">
        <v>21</v>
      </c>
      <c r="B201" s="3" t="s">
        <v>35</v>
      </c>
      <c r="C201" s="3" t="s">
        <v>39</v>
      </c>
      <c r="D201" s="3" t="s">
        <v>42</v>
      </c>
      <c r="E201" s="3" t="s">
        <v>49</v>
      </c>
      <c r="F201" s="3" t="s">
        <v>25</v>
      </c>
      <c r="G201" s="3" t="s">
        <v>25</v>
      </c>
      <c r="H201" s="3" t="s">
        <v>38</v>
      </c>
      <c r="I201" s="6">
        <v>44409</v>
      </c>
      <c r="J201" s="4">
        <v>0</v>
      </c>
      <c r="K201" s="4">
        <v>0</v>
      </c>
      <c r="L201" s="4">
        <v>1.7729999999999999</v>
      </c>
      <c r="M201" s="4">
        <v>1.70208</v>
      </c>
      <c r="N201" s="4">
        <v>1.7729999999999999</v>
      </c>
      <c r="O201" s="4">
        <v>1.70208</v>
      </c>
      <c r="P201" s="4">
        <v>0</v>
      </c>
      <c r="Q201" s="3" t="s">
        <v>26</v>
      </c>
      <c r="R201" s="3">
        <v>0</v>
      </c>
      <c r="S201" s="3" t="s">
        <v>130</v>
      </c>
      <c r="T201" s="3" t="s">
        <v>263</v>
      </c>
      <c r="U201" s="3">
        <v>0</v>
      </c>
      <c r="V201" s="3">
        <v>3</v>
      </c>
      <c r="W201" s="3">
        <v>48</v>
      </c>
    </row>
    <row r="202" spans="1:23" ht="11.25" customHeight="1" x14ac:dyDescent="0.25">
      <c r="A202" s="3" t="s">
        <v>21</v>
      </c>
      <c r="B202" s="3" t="s">
        <v>35</v>
      </c>
      <c r="C202" s="3" t="s">
        <v>39</v>
      </c>
      <c r="D202" s="3" t="s">
        <v>42</v>
      </c>
      <c r="E202" s="3" t="s">
        <v>49</v>
      </c>
      <c r="F202" s="3" t="s">
        <v>25</v>
      </c>
      <c r="G202" s="3" t="s">
        <v>25</v>
      </c>
      <c r="H202" s="3" t="s">
        <v>38</v>
      </c>
      <c r="I202" s="6">
        <v>44440</v>
      </c>
      <c r="J202" s="4">
        <v>0</v>
      </c>
      <c r="K202" s="4">
        <v>0</v>
      </c>
      <c r="L202" s="4">
        <v>1.4330000000000001</v>
      </c>
      <c r="M202" s="4">
        <v>1.37568</v>
      </c>
      <c r="N202" s="4">
        <v>1.4330000000000001</v>
      </c>
      <c r="O202" s="4">
        <v>1.37568</v>
      </c>
      <c r="P202" s="4">
        <v>0</v>
      </c>
      <c r="Q202" s="3" t="s">
        <v>26</v>
      </c>
      <c r="R202" s="3">
        <v>0</v>
      </c>
      <c r="S202" s="3" t="s">
        <v>131</v>
      </c>
      <c r="T202" s="3" t="s">
        <v>264</v>
      </c>
      <c r="U202" s="3">
        <v>0</v>
      </c>
      <c r="V202" s="3">
        <v>3</v>
      </c>
      <c r="W202" s="3">
        <v>48</v>
      </c>
    </row>
    <row r="203" spans="1:23" ht="11.25" customHeight="1" x14ac:dyDescent="0.25">
      <c r="A203" s="3" t="s">
        <v>21</v>
      </c>
      <c r="B203" s="3" t="s">
        <v>35</v>
      </c>
      <c r="C203" s="3" t="s">
        <v>39</v>
      </c>
      <c r="D203" s="3" t="s">
        <v>42</v>
      </c>
      <c r="E203" s="3" t="s">
        <v>49</v>
      </c>
      <c r="F203" s="3" t="s">
        <v>25</v>
      </c>
      <c r="G203" s="3" t="s">
        <v>25</v>
      </c>
      <c r="H203" s="3" t="s">
        <v>38</v>
      </c>
      <c r="I203" s="6">
        <v>44470</v>
      </c>
      <c r="J203" s="4">
        <v>0</v>
      </c>
      <c r="K203" s="4">
        <v>0</v>
      </c>
      <c r="L203" s="4">
        <v>4.4059999999999997</v>
      </c>
      <c r="M203" s="4">
        <v>4.2297599999999997</v>
      </c>
      <c r="N203" s="4">
        <v>4.4059999999999997</v>
      </c>
      <c r="O203" s="4">
        <v>4.2297599999999997</v>
      </c>
      <c r="P203" s="4">
        <v>0</v>
      </c>
      <c r="Q203" s="3" t="s">
        <v>26</v>
      </c>
      <c r="R203" s="3">
        <v>0</v>
      </c>
      <c r="S203" s="3" t="s">
        <v>132</v>
      </c>
      <c r="T203" s="3" t="s">
        <v>265</v>
      </c>
      <c r="U203" s="3">
        <v>0</v>
      </c>
      <c r="V203" s="3">
        <v>3</v>
      </c>
      <c r="W203" s="3">
        <v>48</v>
      </c>
    </row>
    <row r="204" spans="1:23" ht="11.25" customHeight="1" x14ac:dyDescent="0.25">
      <c r="A204" s="3" t="s">
        <v>21</v>
      </c>
      <c r="B204" s="3" t="s">
        <v>35</v>
      </c>
      <c r="C204" s="3" t="s">
        <v>39</v>
      </c>
      <c r="D204" s="3" t="s">
        <v>42</v>
      </c>
      <c r="E204" s="3" t="s">
        <v>49</v>
      </c>
      <c r="F204" s="3" t="s">
        <v>25</v>
      </c>
      <c r="G204" s="3" t="s">
        <v>25</v>
      </c>
      <c r="H204" s="3" t="s">
        <v>38</v>
      </c>
      <c r="I204" s="6">
        <v>44501</v>
      </c>
      <c r="J204" s="4">
        <v>0</v>
      </c>
      <c r="K204" s="4">
        <v>0</v>
      </c>
      <c r="L204" s="4">
        <v>122.294</v>
      </c>
      <c r="M204" s="4">
        <v>117.40224000000001</v>
      </c>
      <c r="N204" s="4">
        <v>122.294</v>
      </c>
      <c r="O204" s="4">
        <v>117.40224000000001</v>
      </c>
      <c r="P204" s="4">
        <v>0</v>
      </c>
      <c r="Q204" s="3" t="s">
        <v>26</v>
      </c>
      <c r="R204" s="3">
        <v>0</v>
      </c>
      <c r="S204" s="3" t="s">
        <v>133</v>
      </c>
      <c r="T204" s="3" t="s">
        <v>266</v>
      </c>
      <c r="U204" s="3">
        <v>0</v>
      </c>
      <c r="V204" s="3">
        <v>3</v>
      </c>
      <c r="W204" s="3">
        <v>48</v>
      </c>
    </row>
    <row r="205" spans="1:23" ht="11.25" customHeight="1" x14ac:dyDescent="0.25">
      <c r="A205" s="3" t="s">
        <v>21</v>
      </c>
      <c r="B205" s="3" t="s">
        <v>35</v>
      </c>
      <c r="C205" s="3" t="s">
        <v>39</v>
      </c>
      <c r="D205" s="3" t="s">
        <v>42</v>
      </c>
      <c r="E205" s="3" t="s">
        <v>49</v>
      </c>
      <c r="F205" s="3" t="s">
        <v>25</v>
      </c>
      <c r="G205" s="3" t="s">
        <v>25</v>
      </c>
      <c r="H205" s="3" t="s">
        <v>38</v>
      </c>
      <c r="I205" s="6">
        <v>44531</v>
      </c>
      <c r="J205" s="4">
        <v>0</v>
      </c>
      <c r="K205" s="4">
        <v>0</v>
      </c>
      <c r="L205" s="4">
        <v>125.315</v>
      </c>
      <c r="M205" s="4">
        <v>120.30240000000001</v>
      </c>
      <c r="N205" s="4">
        <v>125.315</v>
      </c>
      <c r="O205" s="4">
        <v>120.30240000000001</v>
      </c>
      <c r="P205" s="4">
        <v>0</v>
      </c>
      <c r="Q205" s="3" t="s">
        <v>26</v>
      </c>
      <c r="R205" s="3">
        <v>0</v>
      </c>
      <c r="S205" s="3" t="s">
        <v>134</v>
      </c>
      <c r="T205" s="3" t="s">
        <v>267</v>
      </c>
      <c r="U205" s="3">
        <v>0</v>
      </c>
      <c r="V205" s="3">
        <v>3</v>
      </c>
      <c r="W205" s="3">
        <v>48</v>
      </c>
    </row>
    <row r="206" spans="1:23" ht="11.25" customHeight="1" x14ac:dyDescent="0.25">
      <c r="A206" s="3" t="s">
        <v>21</v>
      </c>
      <c r="B206" s="3" t="s">
        <v>35</v>
      </c>
      <c r="C206" s="3" t="s">
        <v>39</v>
      </c>
      <c r="D206" s="3" t="s">
        <v>42</v>
      </c>
      <c r="E206" s="3" t="s">
        <v>49</v>
      </c>
      <c r="F206" s="3" t="s">
        <v>25</v>
      </c>
      <c r="G206" s="3" t="s">
        <v>25</v>
      </c>
      <c r="H206" s="3" t="s">
        <v>38</v>
      </c>
      <c r="I206" s="6">
        <v>44562</v>
      </c>
      <c r="J206" s="4">
        <v>0</v>
      </c>
      <c r="K206" s="4">
        <v>0</v>
      </c>
      <c r="L206" s="4">
        <v>24.373999999999999</v>
      </c>
      <c r="M206" s="4">
        <v>23.399039999999999</v>
      </c>
      <c r="N206" s="4">
        <v>24.373999999999999</v>
      </c>
      <c r="O206" s="4">
        <v>23.399039999999999</v>
      </c>
      <c r="P206" s="4">
        <v>0</v>
      </c>
      <c r="Q206" s="3" t="s">
        <v>26</v>
      </c>
      <c r="R206" s="3">
        <v>0</v>
      </c>
      <c r="S206" s="3" t="s">
        <v>135</v>
      </c>
      <c r="T206" s="3" t="s">
        <v>268</v>
      </c>
      <c r="U206" s="3">
        <v>0</v>
      </c>
      <c r="V206" s="3">
        <v>3</v>
      </c>
      <c r="W206" s="3">
        <v>48</v>
      </c>
    </row>
    <row r="207" spans="1:23" ht="11.25" customHeight="1" x14ac:dyDescent="0.25">
      <c r="A207" s="3" t="s">
        <v>21</v>
      </c>
      <c r="B207" s="3" t="s">
        <v>35</v>
      </c>
      <c r="C207" s="3" t="s">
        <v>39</v>
      </c>
      <c r="D207" s="3" t="s">
        <v>42</v>
      </c>
      <c r="E207" s="3" t="s">
        <v>49</v>
      </c>
      <c r="F207" s="3" t="s">
        <v>25</v>
      </c>
      <c r="G207" s="3" t="s">
        <v>25</v>
      </c>
      <c r="H207" s="3" t="s">
        <v>38</v>
      </c>
      <c r="I207" s="6">
        <v>44593</v>
      </c>
      <c r="J207" s="4">
        <v>0</v>
      </c>
      <c r="K207" s="4">
        <v>0</v>
      </c>
      <c r="L207" s="4">
        <v>24.561</v>
      </c>
      <c r="M207" s="4">
        <v>23.57856</v>
      </c>
      <c r="N207" s="4">
        <v>24.561</v>
      </c>
      <c r="O207" s="4">
        <v>23.57856</v>
      </c>
      <c r="P207" s="4">
        <v>0</v>
      </c>
      <c r="Q207" s="3" t="s">
        <v>26</v>
      </c>
      <c r="R207" s="3">
        <v>0</v>
      </c>
      <c r="S207" s="3" t="s">
        <v>136</v>
      </c>
      <c r="T207" s="3" t="s">
        <v>269</v>
      </c>
      <c r="U207" s="3">
        <v>0</v>
      </c>
      <c r="V207" s="3">
        <v>3</v>
      </c>
      <c r="W207" s="3">
        <v>48</v>
      </c>
    </row>
    <row r="208" spans="1:23" ht="11.25" customHeight="1" x14ac:dyDescent="0.25">
      <c r="A208" s="3" t="s">
        <v>21</v>
      </c>
      <c r="B208" s="3" t="s">
        <v>35</v>
      </c>
      <c r="C208" s="3" t="s">
        <v>39</v>
      </c>
      <c r="D208" s="3" t="s">
        <v>42</v>
      </c>
      <c r="E208" s="3" t="s">
        <v>49</v>
      </c>
      <c r="F208" s="3" t="s">
        <v>25</v>
      </c>
      <c r="G208" s="3" t="s">
        <v>25</v>
      </c>
      <c r="H208" s="3" t="s">
        <v>38</v>
      </c>
      <c r="I208" s="6">
        <v>44621</v>
      </c>
      <c r="J208" s="4">
        <v>0</v>
      </c>
      <c r="K208" s="4">
        <v>0</v>
      </c>
      <c r="L208" s="4">
        <v>10.833</v>
      </c>
      <c r="M208" s="4">
        <v>10.39968</v>
      </c>
      <c r="N208" s="4">
        <v>10.833</v>
      </c>
      <c r="O208" s="4">
        <v>10.39968</v>
      </c>
      <c r="P208" s="4">
        <v>0</v>
      </c>
      <c r="Q208" s="3" t="s">
        <v>26</v>
      </c>
      <c r="R208" s="3">
        <v>0</v>
      </c>
      <c r="S208" s="3" t="s">
        <v>137</v>
      </c>
      <c r="T208" s="3" t="s">
        <v>270</v>
      </c>
      <c r="U208" s="3">
        <v>0</v>
      </c>
      <c r="V208" s="3">
        <v>3</v>
      </c>
      <c r="W208" s="3">
        <v>48</v>
      </c>
    </row>
    <row r="209" spans="1:23" ht="11.25" customHeight="1" x14ac:dyDescent="0.25">
      <c r="A209" s="3" t="s">
        <v>21</v>
      </c>
      <c r="B209" s="3" t="s">
        <v>35</v>
      </c>
      <c r="C209" s="3" t="s">
        <v>39</v>
      </c>
      <c r="D209" s="3" t="s">
        <v>42</v>
      </c>
      <c r="E209" s="3" t="s">
        <v>49</v>
      </c>
      <c r="F209" s="3" t="s">
        <v>25</v>
      </c>
      <c r="G209" s="3" t="s">
        <v>25</v>
      </c>
      <c r="H209" s="3" t="s">
        <v>38</v>
      </c>
      <c r="I209" s="6">
        <v>44652</v>
      </c>
      <c r="J209" s="4">
        <v>0</v>
      </c>
      <c r="K209" s="4">
        <v>0</v>
      </c>
      <c r="L209" s="4">
        <v>9.4120000000000008</v>
      </c>
      <c r="M209" s="4">
        <v>9.03552</v>
      </c>
      <c r="N209" s="4">
        <v>9.4120000000000008</v>
      </c>
      <c r="O209" s="4">
        <v>9.03552</v>
      </c>
      <c r="P209" s="4">
        <v>0</v>
      </c>
      <c r="Q209" s="3" t="s">
        <v>26</v>
      </c>
      <c r="R209" s="3">
        <v>0</v>
      </c>
      <c r="S209" s="3" t="s">
        <v>138</v>
      </c>
      <c r="T209" s="3" t="s">
        <v>271</v>
      </c>
      <c r="U209" s="3">
        <v>0</v>
      </c>
      <c r="V209" s="3">
        <v>3</v>
      </c>
      <c r="W209" s="3">
        <v>48</v>
      </c>
    </row>
    <row r="210" spans="1:23" ht="11.25" customHeight="1" x14ac:dyDescent="0.25">
      <c r="A210" s="3" t="s">
        <v>21</v>
      </c>
      <c r="B210" s="3" t="s">
        <v>35</v>
      </c>
      <c r="C210" s="3" t="s">
        <v>39</v>
      </c>
      <c r="D210" s="3" t="s">
        <v>42</v>
      </c>
      <c r="E210" s="3" t="s">
        <v>49</v>
      </c>
      <c r="F210" s="3" t="s">
        <v>25</v>
      </c>
      <c r="G210" s="3" t="s">
        <v>25</v>
      </c>
      <c r="H210" s="3" t="s">
        <v>38</v>
      </c>
      <c r="I210" s="6">
        <v>44682</v>
      </c>
      <c r="J210" s="4">
        <v>0</v>
      </c>
      <c r="K210" s="4">
        <v>0</v>
      </c>
      <c r="L210" s="4">
        <v>3.2890000000000001</v>
      </c>
      <c r="M210" s="4">
        <v>3.1574399999999998</v>
      </c>
      <c r="N210" s="4">
        <v>3.2890000000000001</v>
      </c>
      <c r="O210" s="4">
        <v>3.1574399999999998</v>
      </c>
      <c r="P210" s="4">
        <v>0</v>
      </c>
      <c r="Q210" s="3" t="s">
        <v>26</v>
      </c>
      <c r="R210" s="3">
        <v>0</v>
      </c>
      <c r="S210" s="3" t="s">
        <v>139</v>
      </c>
      <c r="T210" s="3" t="s">
        <v>272</v>
      </c>
      <c r="U210" s="3">
        <v>0</v>
      </c>
      <c r="V210" s="3">
        <v>3</v>
      </c>
      <c r="W210" s="3">
        <v>48</v>
      </c>
    </row>
    <row r="211" spans="1:23" ht="11.25" customHeight="1" x14ac:dyDescent="0.25">
      <c r="A211" s="3" t="s">
        <v>21</v>
      </c>
      <c r="B211" s="3" t="s">
        <v>35</v>
      </c>
      <c r="C211" s="3" t="s">
        <v>39</v>
      </c>
      <c r="D211" s="3" t="s">
        <v>42</v>
      </c>
      <c r="E211" s="3" t="s">
        <v>49</v>
      </c>
      <c r="F211" s="3" t="s">
        <v>25</v>
      </c>
      <c r="G211" s="3" t="s">
        <v>25</v>
      </c>
      <c r="H211" s="3" t="s">
        <v>38</v>
      </c>
      <c r="I211" s="6">
        <v>44713</v>
      </c>
      <c r="J211" s="4">
        <v>0</v>
      </c>
      <c r="K211" s="4">
        <v>0</v>
      </c>
      <c r="L211" s="4">
        <v>4.3490000000000002</v>
      </c>
      <c r="M211" s="4">
        <v>4.1750400000000001</v>
      </c>
      <c r="N211" s="4">
        <v>4.3490000000000002</v>
      </c>
      <c r="O211" s="4">
        <v>4.1750400000000001</v>
      </c>
      <c r="P211" s="4">
        <v>0</v>
      </c>
      <c r="Q211" s="3" t="s">
        <v>26</v>
      </c>
      <c r="R211" s="3">
        <v>0</v>
      </c>
      <c r="S211" s="3" t="s">
        <v>140</v>
      </c>
      <c r="T211" s="3" t="s">
        <v>273</v>
      </c>
      <c r="U211" s="3">
        <v>0</v>
      </c>
      <c r="V211" s="3">
        <v>3</v>
      </c>
      <c r="W211" s="3">
        <v>48</v>
      </c>
    </row>
    <row r="212" spans="1:23" ht="11.25" customHeight="1" x14ac:dyDescent="0.25">
      <c r="A212" s="3" t="s">
        <v>21</v>
      </c>
      <c r="B212" s="3" t="s">
        <v>35</v>
      </c>
      <c r="C212" s="3" t="s">
        <v>39</v>
      </c>
      <c r="D212" s="3" t="s">
        <v>42</v>
      </c>
      <c r="E212" s="3" t="s">
        <v>49</v>
      </c>
      <c r="F212" s="3" t="s">
        <v>25</v>
      </c>
      <c r="G212" s="3" t="s">
        <v>25</v>
      </c>
      <c r="H212" s="3" t="s">
        <v>25</v>
      </c>
      <c r="I212" s="6">
        <v>44378</v>
      </c>
      <c r="J212" s="4">
        <v>234</v>
      </c>
      <c r="K212" s="4">
        <v>224.64</v>
      </c>
      <c r="L212" s="4">
        <v>0</v>
      </c>
      <c r="M212" s="4">
        <v>0</v>
      </c>
      <c r="N212" s="4">
        <v>0</v>
      </c>
      <c r="O212" s="4">
        <v>0</v>
      </c>
      <c r="P212" s="4">
        <v>3</v>
      </c>
      <c r="Q212" s="3" t="s">
        <v>26</v>
      </c>
      <c r="R212" s="3">
        <v>0</v>
      </c>
      <c r="S212" s="3" t="s">
        <v>141</v>
      </c>
      <c r="U212" s="3">
        <v>31</v>
      </c>
      <c r="V212" s="3">
        <v>0</v>
      </c>
      <c r="W212" s="3">
        <v>0</v>
      </c>
    </row>
    <row r="213" spans="1:23" ht="11.25" customHeight="1" x14ac:dyDescent="0.25">
      <c r="A213" s="3" t="s">
        <v>21</v>
      </c>
      <c r="B213" s="3" t="s">
        <v>35</v>
      </c>
      <c r="C213" s="3" t="s">
        <v>39</v>
      </c>
      <c r="D213" s="3" t="s">
        <v>42</v>
      </c>
      <c r="E213" s="3" t="s">
        <v>49</v>
      </c>
      <c r="F213" s="3" t="s">
        <v>25</v>
      </c>
      <c r="G213" s="3" t="s">
        <v>25</v>
      </c>
      <c r="H213" s="3" t="s">
        <v>25</v>
      </c>
      <c r="I213" s="6">
        <v>44409</v>
      </c>
      <c r="J213" s="4">
        <v>363</v>
      </c>
      <c r="K213" s="4">
        <v>348.48</v>
      </c>
      <c r="L213" s="4">
        <v>0</v>
      </c>
      <c r="M213" s="4">
        <v>0</v>
      </c>
      <c r="N213" s="4">
        <v>0</v>
      </c>
      <c r="O213" s="4">
        <v>0</v>
      </c>
      <c r="P213" s="4">
        <v>3</v>
      </c>
      <c r="Q213" s="3" t="s">
        <v>26</v>
      </c>
      <c r="R213" s="3">
        <v>0</v>
      </c>
      <c r="S213" s="3" t="s">
        <v>142</v>
      </c>
      <c r="U213" s="3">
        <v>31</v>
      </c>
      <c r="V213" s="3">
        <v>0</v>
      </c>
      <c r="W213" s="3">
        <v>0</v>
      </c>
    </row>
    <row r="214" spans="1:23" ht="11.25" customHeight="1" x14ac:dyDescent="0.25">
      <c r="A214" s="3" t="s">
        <v>21</v>
      </c>
      <c r="B214" s="3" t="s">
        <v>35</v>
      </c>
      <c r="C214" s="3" t="s">
        <v>39</v>
      </c>
      <c r="D214" s="3" t="s">
        <v>42</v>
      </c>
      <c r="E214" s="3" t="s">
        <v>49</v>
      </c>
      <c r="F214" s="3" t="s">
        <v>25</v>
      </c>
      <c r="G214" s="3" t="s">
        <v>25</v>
      </c>
      <c r="H214" s="3" t="s">
        <v>25</v>
      </c>
      <c r="I214" s="6">
        <v>44440</v>
      </c>
      <c r="J214" s="4">
        <v>705</v>
      </c>
      <c r="K214" s="4">
        <v>676.8</v>
      </c>
      <c r="L214" s="4">
        <v>0</v>
      </c>
      <c r="M214" s="4">
        <v>0</v>
      </c>
      <c r="N214" s="4">
        <v>0</v>
      </c>
      <c r="O214" s="4">
        <v>0</v>
      </c>
      <c r="P214" s="4">
        <v>3</v>
      </c>
      <c r="Q214" s="3" t="s">
        <v>26</v>
      </c>
      <c r="R214" s="3">
        <v>0</v>
      </c>
      <c r="S214" s="3" t="s">
        <v>143</v>
      </c>
      <c r="U214" s="3">
        <v>31</v>
      </c>
      <c r="V214" s="3">
        <v>0</v>
      </c>
      <c r="W214" s="3">
        <v>0</v>
      </c>
    </row>
    <row r="215" spans="1:23" ht="11.25" customHeight="1" x14ac:dyDescent="0.25">
      <c r="A215" s="3" t="s">
        <v>21</v>
      </c>
      <c r="B215" s="3" t="s">
        <v>35</v>
      </c>
      <c r="C215" s="3" t="s">
        <v>39</v>
      </c>
      <c r="D215" s="3" t="s">
        <v>42</v>
      </c>
      <c r="E215" s="3" t="s">
        <v>49</v>
      </c>
      <c r="F215" s="3" t="s">
        <v>25</v>
      </c>
      <c r="G215" s="3" t="s">
        <v>25</v>
      </c>
      <c r="H215" s="3" t="s">
        <v>25</v>
      </c>
      <c r="I215" s="6">
        <v>44470</v>
      </c>
      <c r="J215" s="4">
        <v>637</v>
      </c>
      <c r="K215" s="4">
        <v>611.52</v>
      </c>
      <c r="L215" s="4">
        <v>0</v>
      </c>
      <c r="M215" s="4">
        <v>0</v>
      </c>
      <c r="N215" s="4">
        <v>0</v>
      </c>
      <c r="O215" s="4">
        <v>0</v>
      </c>
      <c r="P215" s="4">
        <v>3</v>
      </c>
      <c r="Q215" s="3" t="s">
        <v>26</v>
      </c>
      <c r="R215" s="3">
        <v>0</v>
      </c>
      <c r="S215" s="3" t="s">
        <v>144</v>
      </c>
      <c r="U215" s="3">
        <v>31</v>
      </c>
      <c r="V215" s="3">
        <v>0</v>
      </c>
      <c r="W215" s="3">
        <v>0</v>
      </c>
    </row>
    <row r="216" spans="1:23" ht="11.25" customHeight="1" x14ac:dyDescent="0.25">
      <c r="A216" s="3" t="s">
        <v>21</v>
      </c>
      <c r="B216" s="3" t="s">
        <v>35</v>
      </c>
      <c r="C216" s="3" t="s">
        <v>39</v>
      </c>
      <c r="D216" s="3" t="s">
        <v>42</v>
      </c>
      <c r="E216" s="3" t="s">
        <v>49</v>
      </c>
      <c r="F216" s="3" t="s">
        <v>25</v>
      </c>
      <c r="G216" s="3" t="s">
        <v>25</v>
      </c>
      <c r="H216" s="3" t="s">
        <v>25</v>
      </c>
      <c r="I216" s="6">
        <v>44501</v>
      </c>
      <c r="J216" s="4">
        <v>818</v>
      </c>
      <c r="K216" s="4">
        <v>785.28</v>
      </c>
      <c r="L216" s="4">
        <v>0</v>
      </c>
      <c r="M216" s="4">
        <v>0</v>
      </c>
      <c r="N216" s="4">
        <v>0</v>
      </c>
      <c r="O216" s="4">
        <v>0</v>
      </c>
      <c r="P216" s="4">
        <v>3</v>
      </c>
      <c r="Q216" s="3" t="s">
        <v>26</v>
      </c>
      <c r="R216" s="3">
        <v>0</v>
      </c>
      <c r="S216" s="3" t="s">
        <v>145</v>
      </c>
      <c r="U216" s="3">
        <v>31</v>
      </c>
      <c r="V216" s="3">
        <v>0</v>
      </c>
      <c r="W216" s="3">
        <v>0</v>
      </c>
    </row>
    <row r="217" spans="1:23" ht="11.25" customHeight="1" x14ac:dyDescent="0.25">
      <c r="A217" s="3" t="s">
        <v>21</v>
      </c>
      <c r="B217" s="3" t="s">
        <v>35</v>
      </c>
      <c r="C217" s="3" t="s">
        <v>39</v>
      </c>
      <c r="D217" s="3" t="s">
        <v>42</v>
      </c>
      <c r="E217" s="3" t="s">
        <v>49</v>
      </c>
      <c r="F217" s="3" t="s">
        <v>25</v>
      </c>
      <c r="G217" s="3" t="s">
        <v>25</v>
      </c>
      <c r="H217" s="3" t="s">
        <v>25</v>
      </c>
      <c r="I217" s="6">
        <v>44531</v>
      </c>
      <c r="J217" s="4">
        <v>802</v>
      </c>
      <c r="K217" s="4">
        <v>769.92</v>
      </c>
      <c r="L217" s="4">
        <v>0</v>
      </c>
      <c r="M217" s="4">
        <v>0</v>
      </c>
      <c r="N217" s="4">
        <v>0</v>
      </c>
      <c r="O217" s="4">
        <v>0</v>
      </c>
      <c r="P217" s="4">
        <v>3</v>
      </c>
      <c r="Q217" s="3" t="s">
        <v>26</v>
      </c>
      <c r="R217" s="3">
        <v>0</v>
      </c>
      <c r="S217" s="3" t="s">
        <v>146</v>
      </c>
      <c r="U217" s="3">
        <v>31</v>
      </c>
      <c r="V217" s="3">
        <v>0</v>
      </c>
      <c r="W217" s="3">
        <v>0</v>
      </c>
    </row>
    <row r="218" spans="1:23" ht="11.25" customHeight="1" x14ac:dyDescent="0.25">
      <c r="A218" s="3" t="s">
        <v>21</v>
      </c>
      <c r="B218" s="3" t="s">
        <v>35</v>
      </c>
      <c r="C218" s="3" t="s">
        <v>39</v>
      </c>
      <c r="D218" s="3" t="s">
        <v>42</v>
      </c>
      <c r="E218" s="3" t="s">
        <v>49</v>
      </c>
      <c r="F218" s="3" t="s">
        <v>25</v>
      </c>
      <c r="G218" s="3" t="s">
        <v>25</v>
      </c>
      <c r="H218" s="3" t="s">
        <v>25</v>
      </c>
      <c r="I218" s="6">
        <v>44562</v>
      </c>
      <c r="J218" s="4">
        <v>674</v>
      </c>
      <c r="K218" s="4">
        <v>647.04</v>
      </c>
      <c r="L218" s="4">
        <v>0</v>
      </c>
      <c r="M218" s="4">
        <v>0</v>
      </c>
      <c r="N218" s="4">
        <v>0</v>
      </c>
      <c r="O218" s="4">
        <v>0</v>
      </c>
      <c r="P218" s="4">
        <v>3</v>
      </c>
      <c r="Q218" s="3" t="s">
        <v>26</v>
      </c>
      <c r="R218" s="3">
        <v>0</v>
      </c>
      <c r="S218" s="3" t="s">
        <v>147</v>
      </c>
      <c r="U218" s="3">
        <v>31</v>
      </c>
      <c r="V218" s="3">
        <v>0</v>
      </c>
      <c r="W218" s="3">
        <v>0</v>
      </c>
    </row>
    <row r="219" spans="1:23" ht="11.25" customHeight="1" x14ac:dyDescent="0.25">
      <c r="A219" s="3" t="s">
        <v>21</v>
      </c>
      <c r="B219" s="3" t="s">
        <v>35</v>
      </c>
      <c r="C219" s="3" t="s">
        <v>39</v>
      </c>
      <c r="D219" s="3" t="s">
        <v>42</v>
      </c>
      <c r="E219" s="3" t="s">
        <v>49</v>
      </c>
      <c r="F219" s="3" t="s">
        <v>25</v>
      </c>
      <c r="G219" s="3" t="s">
        <v>25</v>
      </c>
      <c r="H219" s="3" t="s">
        <v>25</v>
      </c>
      <c r="I219" s="6">
        <v>44593</v>
      </c>
      <c r="J219" s="4">
        <v>697</v>
      </c>
      <c r="K219" s="4">
        <v>669.12</v>
      </c>
      <c r="L219" s="4">
        <v>0</v>
      </c>
      <c r="M219" s="4">
        <v>0</v>
      </c>
      <c r="N219" s="4">
        <v>0</v>
      </c>
      <c r="O219" s="4">
        <v>0</v>
      </c>
      <c r="P219" s="4">
        <v>3</v>
      </c>
      <c r="Q219" s="3" t="s">
        <v>26</v>
      </c>
      <c r="R219" s="3">
        <v>0</v>
      </c>
      <c r="S219" s="3" t="s">
        <v>148</v>
      </c>
      <c r="U219" s="3">
        <v>31</v>
      </c>
      <c r="V219" s="3">
        <v>0</v>
      </c>
      <c r="W219" s="3">
        <v>0</v>
      </c>
    </row>
    <row r="220" spans="1:23" ht="11.25" customHeight="1" x14ac:dyDescent="0.25">
      <c r="A220" s="3" t="s">
        <v>21</v>
      </c>
      <c r="B220" s="3" t="s">
        <v>35</v>
      </c>
      <c r="C220" s="3" t="s">
        <v>39</v>
      </c>
      <c r="D220" s="3" t="s">
        <v>42</v>
      </c>
      <c r="E220" s="3" t="s">
        <v>49</v>
      </c>
      <c r="F220" s="3" t="s">
        <v>25</v>
      </c>
      <c r="G220" s="3" t="s">
        <v>25</v>
      </c>
      <c r="H220" s="3" t="s">
        <v>25</v>
      </c>
      <c r="I220" s="6">
        <v>44621</v>
      </c>
      <c r="J220" s="4">
        <v>695</v>
      </c>
      <c r="K220" s="4">
        <v>667.2</v>
      </c>
      <c r="L220" s="4">
        <v>0</v>
      </c>
      <c r="M220" s="4">
        <v>0</v>
      </c>
      <c r="N220" s="4">
        <v>0</v>
      </c>
      <c r="O220" s="4">
        <v>0</v>
      </c>
      <c r="P220" s="4">
        <v>3</v>
      </c>
      <c r="Q220" s="3" t="s">
        <v>26</v>
      </c>
      <c r="R220" s="3">
        <v>0</v>
      </c>
      <c r="S220" s="3" t="s">
        <v>149</v>
      </c>
      <c r="U220" s="3">
        <v>31</v>
      </c>
      <c r="V220" s="3">
        <v>0</v>
      </c>
      <c r="W220" s="3">
        <v>0</v>
      </c>
    </row>
    <row r="221" spans="1:23" ht="11.25" customHeight="1" x14ac:dyDescent="0.25">
      <c r="A221" s="3" t="s">
        <v>21</v>
      </c>
      <c r="B221" s="3" t="s">
        <v>35</v>
      </c>
      <c r="C221" s="3" t="s">
        <v>39</v>
      </c>
      <c r="D221" s="3" t="s">
        <v>42</v>
      </c>
      <c r="E221" s="3" t="s">
        <v>49</v>
      </c>
      <c r="F221" s="3" t="s">
        <v>25</v>
      </c>
      <c r="G221" s="3" t="s">
        <v>25</v>
      </c>
      <c r="H221" s="3" t="s">
        <v>25</v>
      </c>
      <c r="I221" s="6">
        <v>44652</v>
      </c>
      <c r="J221" s="4">
        <v>692</v>
      </c>
      <c r="K221" s="4">
        <v>664.32</v>
      </c>
      <c r="L221" s="4">
        <v>0</v>
      </c>
      <c r="M221" s="4">
        <v>0</v>
      </c>
      <c r="N221" s="4">
        <v>0</v>
      </c>
      <c r="O221" s="4">
        <v>0</v>
      </c>
      <c r="P221" s="4">
        <v>3</v>
      </c>
      <c r="Q221" s="3" t="s">
        <v>26</v>
      </c>
      <c r="R221" s="3">
        <v>0</v>
      </c>
      <c r="S221" s="3" t="s">
        <v>150</v>
      </c>
      <c r="U221" s="3">
        <v>31</v>
      </c>
      <c r="V221" s="3">
        <v>0</v>
      </c>
      <c r="W221" s="3">
        <v>0</v>
      </c>
    </row>
    <row r="222" spans="1:23" ht="11.25" customHeight="1" x14ac:dyDescent="0.25">
      <c r="A222" s="3" t="s">
        <v>21</v>
      </c>
      <c r="B222" s="3" t="s">
        <v>35</v>
      </c>
      <c r="C222" s="3" t="s">
        <v>39</v>
      </c>
      <c r="D222" s="3" t="s">
        <v>42</v>
      </c>
      <c r="E222" s="3" t="s">
        <v>49</v>
      </c>
      <c r="F222" s="3" t="s">
        <v>25</v>
      </c>
      <c r="G222" s="3" t="s">
        <v>25</v>
      </c>
      <c r="H222" s="3" t="s">
        <v>25</v>
      </c>
      <c r="I222" s="6">
        <v>44682</v>
      </c>
      <c r="J222" s="4">
        <v>208</v>
      </c>
      <c r="K222" s="4">
        <v>199.68</v>
      </c>
      <c r="L222" s="4">
        <v>0</v>
      </c>
      <c r="M222" s="4">
        <v>0</v>
      </c>
      <c r="N222" s="4">
        <v>0</v>
      </c>
      <c r="O222" s="4">
        <v>0</v>
      </c>
      <c r="P222" s="4">
        <v>3</v>
      </c>
      <c r="Q222" s="3" t="s">
        <v>26</v>
      </c>
      <c r="R222" s="3">
        <v>0</v>
      </c>
      <c r="S222" s="3" t="s">
        <v>151</v>
      </c>
      <c r="U222" s="3">
        <v>31</v>
      </c>
      <c r="V222" s="3">
        <v>0</v>
      </c>
      <c r="W222" s="3">
        <v>0</v>
      </c>
    </row>
    <row r="223" spans="1:23" ht="11.25" customHeight="1" x14ac:dyDescent="0.25">
      <c r="A223" s="3" t="s">
        <v>21</v>
      </c>
      <c r="B223" s="3" t="s">
        <v>35</v>
      </c>
      <c r="C223" s="3" t="s">
        <v>39</v>
      </c>
      <c r="D223" s="3" t="s">
        <v>42</v>
      </c>
      <c r="E223" s="3" t="s">
        <v>49</v>
      </c>
      <c r="F223" s="3" t="s">
        <v>25</v>
      </c>
      <c r="G223" s="3" t="s">
        <v>25</v>
      </c>
      <c r="H223" s="3" t="s">
        <v>25</v>
      </c>
      <c r="I223" s="6">
        <v>44713</v>
      </c>
      <c r="J223" s="4">
        <v>948</v>
      </c>
      <c r="K223" s="4">
        <v>910.08</v>
      </c>
      <c r="L223" s="4">
        <v>0</v>
      </c>
      <c r="M223" s="4">
        <v>0</v>
      </c>
      <c r="N223" s="4">
        <v>0</v>
      </c>
      <c r="O223" s="4">
        <v>0</v>
      </c>
      <c r="P223" s="4">
        <v>3</v>
      </c>
      <c r="Q223" s="3" t="s">
        <v>26</v>
      </c>
      <c r="R223" s="3">
        <v>0</v>
      </c>
      <c r="S223" s="3" t="s">
        <v>152</v>
      </c>
      <c r="U223" s="3">
        <v>31</v>
      </c>
      <c r="V223" s="3">
        <v>0</v>
      </c>
      <c r="W223" s="3">
        <v>0</v>
      </c>
    </row>
    <row r="224" spans="1:23" ht="11.25" customHeight="1" x14ac:dyDescent="0.25">
      <c r="A224" s="3" t="s">
        <v>21</v>
      </c>
      <c r="B224" s="3" t="s">
        <v>35</v>
      </c>
      <c r="C224" s="3" t="s">
        <v>39</v>
      </c>
      <c r="D224" s="3" t="s">
        <v>42</v>
      </c>
      <c r="E224" s="3" t="s">
        <v>49</v>
      </c>
      <c r="F224" s="3" t="s">
        <v>25</v>
      </c>
      <c r="G224" s="3" t="s">
        <v>25</v>
      </c>
      <c r="H224" s="3" t="s">
        <v>37</v>
      </c>
      <c r="I224" s="6">
        <v>44378</v>
      </c>
      <c r="J224" s="4">
        <v>0</v>
      </c>
      <c r="K224" s="4">
        <v>0</v>
      </c>
      <c r="L224" s="4">
        <v>0.124</v>
      </c>
      <c r="M224" s="4">
        <v>0.11904000000000001</v>
      </c>
      <c r="N224" s="4">
        <v>0.124</v>
      </c>
      <c r="O224" s="4">
        <v>0.11904000000000001</v>
      </c>
      <c r="P224" s="4">
        <v>0</v>
      </c>
      <c r="Q224" s="3" t="s">
        <v>26</v>
      </c>
      <c r="R224" s="3">
        <v>0</v>
      </c>
      <c r="S224" s="3" t="s">
        <v>153</v>
      </c>
      <c r="T224" s="3" t="s">
        <v>274</v>
      </c>
      <c r="U224" s="3">
        <v>0</v>
      </c>
      <c r="V224" s="3">
        <v>15</v>
      </c>
      <c r="W224" s="3">
        <v>24</v>
      </c>
    </row>
    <row r="225" spans="1:23" ht="11.25" customHeight="1" x14ac:dyDescent="0.25">
      <c r="A225" s="3" t="s">
        <v>21</v>
      </c>
      <c r="B225" s="3" t="s">
        <v>35</v>
      </c>
      <c r="C225" s="3" t="s">
        <v>39</v>
      </c>
      <c r="D225" s="3" t="s">
        <v>42</v>
      </c>
      <c r="E225" s="3" t="s">
        <v>49</v>
      </c>
      <c r="F225" s="3" t="s">
        <v>25</v>
      </c>
      <c r="G225" s="3" t="s">
        <v>25</v>
      </c>
      <c r="H225" s="3" t="s">
        <v>37</v>
      </c>
      <c r="I225" s="6">
        <v>44409</v>
      </c>
      <c r="J225" s="4">
        <v>0</v>
      </c>
      <c r="K225" s="4">
        <v>0</v>
      </c>
      <c r="L225" s="4">
        <v>2.7E-2</v>
      </c>
      <c r="M225" s="4">
        <v>2.5919999999999999E-2</v>
      </c>
      <c r="N225" s="4">
        <v>2.7E-2</v>
      </c>
      <c r="O225" s="4">
        <v>2.5919999999999999E-2</v>
      </c>
      <c r="P225" s="4">
        <v>0</v>
      </c>
      <c r="Q225" s="3" t="s">
        <v>26</v>
      </c>
      <c r="R225" s="3">
        <v>0</v>
      </c>
      <c r="S225" s="3" t="s">
        <v>154</v>
      </c>
      <c r="T225" s="3" t="s">
        <v>275</v>
      </c>
      <c r="U225" s="3">
        <v>0</v>
      </c>
      <c r="V225" s="3">
        <v>15</v>
      </c>
      <c r="W225" s="3">
        <v>24</v>
      </c>
    </row>
    <row r="226" spans="1:23" ht="11.25" customHeight="1" x14ac:dyDescent="0.25">
      <c r="A226" s="3" t="s">
        <v>21</v>
      </c>
      <c r="B226" s="3" t="s">
        <v>35</v>
      </c>
      <c r="C226" s="3" t="s">
        <v>39</v>
      </c>
      <c r="D226" s="3" t="s">
        <v>42</v>
      </c>
      <c r="E226" s="3" t="s">
        <v>49</v>
      </c>
      <c r="F226" s="3" t="s">
        <v>25</v>
      </c>
      <c r="G226" s="3" t="s">
        <v>25</v>
      </c>
      <c r="H226" s="3" t="s">
        <v>37</v>
      </c>
      <c r="I226" s="6">
        <v>44440</v>
      </c>
      <c r="J226" s="4">
        <v>0</v>
      </c>
      <c r="K226" s="4">
        <v>0</v>
      </c>
      <c r="L226" s="4">
        <v>0.14599999999999999</v>
      </c>
      <c r="M226" s="4">
        <v>0.14016000000000001</v>
      </c>
      <c r="N226" s="4">
        <v>0.14599999999999999</v>
      </c>
      <c r="O226" s="4">
        <v>0.14016000000000001</v>
      </c>
      <c r="P226" s="4">
        <v>0</v>
      </c>
      <c r="Q226" s="3" t="s">
        <v>26</v>
      </c>
      <c r="R226" s="3">
        <v>0</v>
      </c>
      <c r="S226" s="3" t="s">
        <v>155</v>
      </c>
      <c r="T226" s="3" t="s">
        <v>276</v>
      </c>
      <c r="U226" s="3">
        <v>0</v>
      </c>
      <c r="V226" s="3">
        <v>15</v>
      </c>
      <c r="W226" s="3">
        <v>24</v>
      </c>
    </row>
    <row r="227" spans="1:23" ht="11.25" customHeight="1" x14ac:dyDescent="0.25">
      <c r="A227" s="3" t="s">
        <v>21</v>
      </c>
      <c r="B227" s="3" t="s">
        <v>35</v>
      </c>
      <c r="C227" s="3" t="s">
        <v>39</v>
      </c>
      <c r="D227" s="3" t="s">
        <v>42</v>
      </c>
      <c r="E227" s="3" t="s">
        <v>49</v>
      </c>
      <c r="F227" s="3" t="s">
        <v>25</v>
      </c>
      <c r="G227" s="3" t="s">
        <v>25</v>
      </c>
      <c r="H227" s="3" t="s">
        <v>37</v>
      </c>
      <c r="I227" s="6">
        <v>44470</v>
      </c>
      <c r="J227" s="4">
        <v>0</v>
      </c>
      <c r="K227" s="4">
        <v>0</v>
      </c>
      <c r="L227" s="4">
        <v>0.158</v>
      </c>
      <c r="M227" s="4">
        <v>0.15168000000000001</v>
      </c>
      <c r="N227" s="4">
        <v>0.158</v>
      </c>
      <c r="O227" s="4">
        <v>0.15168000000000001</v>
      </c>
      <c r="P227" s="4">
        <v>0</v>
      </c>
      <c r="Q227" s="3" t="s">
        <v>26</v>
      </c>
      <c r="R227" s="3">
        <v>0</v>
      </c>
      <c r="S227" s="3" t="s">
        <v>156</v>
      </c>
      <c r="T227" s="3" t="s">
        <v>277</v>
      </c>
      <c r="U227" s="3">
        <v>0</v>
      </c>
      <c r="V227" s="3">
        <v>15</v>
      </c>
      <c r="W227" s="3">
        <v>24</v>
      </c>
    </row>
    <row r="228" spans="1:23" ht="11.25" customHeight="1" x14ac:dyDescent="0.25">
      <c r="A228" s="3" t="s">
        <v>21</v>
      </c>
      <c r="B228" s="3" t="s">
        <v>35</v>
      </c>
      <c r="C228" s="3" t="s">
        <v>39</v>
      </c>
      <c r="D228" s="3" t="s">
        <v>42</v>
      </c>
      <c r="E228" s="3" t="s">
        <v>49</v>
      </c>
      <c r="F228" s="3" t="s">
        <v>25</v>
      </c>
      <c r="G228" s="3" t="s">
        <v>25</v>
      </c>
      <c r="H228" s="3" t="s">
        <v>37</v>
      </c>
      <c r="I228" s="6">
        <v>44501</v>
      </c>
      <c r="J228" s="4">
        <v>0</v>
      </c>
      <c r="K228" s="4">
        <v>0</v>
      </c>
      <c r="L228" s="4">
        <v>0.41399999999999998</v>
      </c>
      <c r="M228" s="4">
        <v>0.39744000000000002</v>
      </c>
      <c r="N228" s="4">
        <v>0.41399999999999998</v>
      </c>
      <c r="O228" s="4">
        <v>0.39744000000000002</v>
      </c>
      <c r="P228" s="4">
        <v>0</v>
      </c>
      <c r="Q228" s="3" t="s">
        <v>26</v>
      </c>
      <c r="R228" s="3">
        <v>0</v>
      </c>
      <c r="S228" s="3" t="s">
        <v>157</v>
      </c>
      <c r="T228" s="3" t="s">
        <v>278</v>
      </c>
      <c r="U228" s="3">
        <v>0</v>
      </c>
      <c r="V228" s="3">
        <v>15</v>
      </c>
      <c r="W228" s="3">
        <v>24</v>
      </c>
    </row>
    <row r="229" spans="1:23" ht="11.25" customHeight="1" x14ac:dyDescent="0.25">
      <c r="A229" s="3" t="s">
        <v>21</v>
      </c>
      <c r="B229" s="3" t="s">
        <v>35</v>
      </c>
      <c r="C229" s="3" t="s">
        <v>39</v>
      </c>
      <c r="D229" s="3" t="s">
        <v>42</v>
      </c>
      <c r="E229" s="3" t="s">
        <v>49</v>
      </c>
      <c r="F229" s="3" t="s">
        <v>25</v>
      </c>
      <c r="G229" s="3" t="s">
        <v>25</v>
      </c>
      <c r="H229" s="3" t="s">
        <v>37</v>
      </c>
      <c r="I229" s="6">
        <v>44531</v>
      </c>
      <c r="J229" s="4">
        <v>0</v>
      </c>
      <c r="K229" s="4">
        <v>0</v>
      </c>
      <c r="L229" s="4">
        <v>0.77700000000000002</v>
      </c>
      <c r="M229" s="4">
        <v>0.74592000000000003</v>
      </c>
      <c r="N229" s="4">
        <v>0.77700000000000002</v>
      </c>
      <c r="O229" s="4">
        <v>0.74592000000000003</v>
      </c>
      <c r="P229" s="4">
        <v>0</v>
      </c>
      <c r="Q229" s="3" t="s">
        <v>26</v>
      </c>
      <c r="R229" s="3">
        <v>0</v>
      </c>
      <c r="S229" s="3" t="s">
        <v>158</v>
      </c>
      <c r="T229" s="3" t="s">
        <v>279</v>
      </c>
      <c r="U229" s="3">
        <v>0</v>
      </c>
      <c r="V229" s="3">
        <v>15</v>
      </c>
      <c r="W229" s="3">
        <v>24</v>
      </c>
    </row>
    <row r="230" spans="1:23" ht="11.25" customHeight="1" x14ac:dyDescent="0.25">
      <c r="A230" s="3" t="s">
        <v>21</v>
      </c>
      <c r="B230" s="3" t="s">
        <v>35</v>
      </c>
      <c r="C230" s="3" t="s">
        <v>39</v>
      </c>
      <c r="D230" s="3" t="s">
        <v>42</v>
      </c>
      <c r="E230" s="3" t="s">
        <v>49</v>
      </c>
      <c r="F230" s="3" t="s">
        <v>25</v>
      </c>
      <c r="G230" s="3" t="s">
        <v>25</v>
      </c>
      <c r="H230" s="3" t="s">
        <v>37</v>
      </c>
      <c r="I230" s="6">
        <v>44562</v>
      </c>
      <c r="J230" s="4">
        <v>0</v>
      </c>
      <c r="K230" s="4">
        <v>0</v>
      </c>
      <c r="L230" s="4">
        <v>0.247</v>
      </c>
      <c r="M230" s="4">
        <v>0.23712</v>
      </c>
      <c r="N230" s="4">
        <v>0.247</v>
      </c>
      <c r="O230" s="4">
        <v>0.23712</v>
      </c>
      <c r="P230" s="4">
        <v>0</v>
      </c>
      <c r="Q230" s="3" t="s">
        <v>26</v>
      </c>
      <c r="R230" s="3">
        <v>0</v>
      </c>
      <c r="S230" s="3" t="s">
        <v>159</v>
      </c>
      <c r="T230" s="3" t="s">
        <v>280</v>
      </c>
      <c r="U230" s="3">
        <v>0</v>
      </c>
      <c r="V230" s="3">
        <v>15</v>
      </c>
      <c r="W230" s="3">
        <v>24</v>
      </c>
    </row>
    <row r="231" spans="1:23" ht="11.25" customHeight="1" x14ac:dyDescent="0.25">
      <c r="A231" s="3" t="s">
        <v>21</v>
      </c>
      <c r="B231" s="3" t="s">
        <v>35</v>
      </c>
      <c r="C231" s="3" t="s">
        <v>39</v>
      </c>
      <c r="D231" s="3" t="s">
        <v>42</v>
      </c>
      <c r="E231" s="3" t="s">
        <v>49</v>
      </c>
      <c r="F231" s="3" t="s">
        <v>25</v>
      </c>
      <c r="G231" s="3" t="s">
        <v>25</v>
      </c>
      <c r="H231" s="3" t="s">
        <v>37</v>
      </c>
      <c r="I231" s="6">
        <v>44593</v>
      </c>
      <c r="J231" s="4">
        <v>0</v>
      </c>
      <c r="K231" s="4">
        <v>0</v>
      </c>
      <c r="L231" s="4">
        <v>1.0189999999999999</v>
      </c>
      <c r="M231" s="4">
        <v>0.97824</v>
      </c>
      <c r="N231" s="4">
        <v>1.0189999999999999</v>
      </c>
      <c r="O231" s="4">
        <v>0.97824</v>
      </c>
      <c r="P231" s="4">
        <v>0</v>
      </c>
      <c r="Q231" s="3" t="s">
        <v>26</v>
      </c>
      <c r="R231" s="3">
        <v>0</v>
      </c>
      <c r="S231" s="3" t="s">
        <v>160</v>
      </c>
      <c r="T231" s="3" t="s">
        <v>281</v>
      </c>
      <c r="U231" s="3">
        <v>0</v>
      </c>
      <c r="V231" s="3">
        <v>15</v>
      </c>
      <c r="W231" s="3">
        <v>24</v>
      </c>
    </row>
    <row r="232" spans="1:23" ht="11.25" customHeight="1" x14ac:dyDescent="0.25">
      <c r="A232" s="3" t="s">
        <v>21</v>
      </c>
      <c r="B232" s="3" t="s">
        <v>35</v>
      </c>
      <c r="C232" s="3" t="s">
        <v>39</v>
      </c>
      <c r="D232" s="3" t="s">
        <v>42</v>
      </c>
      <c r="E232" s="3" t="s">
        <v>49</v>
      </c>
      <c r="F232" s="3" t="s">
        <v>25</v>
      </c>
      <c r="G232" s="3" t="s">
        <v>25</v>
      </c>
      <c r="H232" s="3" t="s">
        <v>37</v>
      </c>
      <c r="I232" s="6">
        <v>44621</v>
      </c>
      <c r="J232" s="4">
        <v>0</v>
      </c>
      <c r="K232" s="4">
        <v>0</v>
      </c>
      <c r="L232" s="4">
        <v>1.1459999999999999</v>
      </c>
      <c r="M232" s="4">
        <v>1.10016</v>
      </c>
      <c r="N232" s="4">
        <v>1.1459999999999999</v>
      </c>
      <c r="O232" s="4">
        <v>1.10016</v>
      </c>
      <c r="P232" s="4">
        <v>0</v>
      </c>
      <c r="Q232" s="3" t="s">
        <v>26</v>
      </c>
      <c r="R232" s="3">
        <v>0</v>
      </c>
      <c r="S232" s="3" t="s">
        <v>161</v>
      </c>
      <c r="T232" s="3" t="s">
        <v>282</v>
      </c>
      <c r="U232" s="3">
        <v>0</v>
      </c>
      <c r="V232" s="3">
        <v>15</v>
      </c>
      <c r="W232" s="3">
        <v>24</v>
      </c>
    </row>
    <row r="233" spans="1:23" ht="11.25" customHeight="1" x14ac:dyDescent="0.25">
      <c r="A233" s="3" t="s">
        <v>21</v>
      </c>
      <c r="B233" s="3" t="s">
        <v>35</v>
      </c>
      <c r="C233" s="3" t="s">
        <v>39</v>
      </c>
      <c r="D233" s="3" t="s">
        <v>42</v>
      </c>
      <c r="E233" s="3" t="s">
        <v>49</v>
      </c>
      <c r="F233" s="3" t="s">
        <v>25</v>
      </c>
      <c r="G233" s="3" t="s">
        <v>25</v>
      </c>
      <c r="H233" s="3" t="s">
        <v>37</v>
      </c>
      <c r="I233" s="6">
        <v>44652</v>
      </c>
      <c r="J233" s="4">
        <v>0</v>
      </c>
      <c r="K233" s="4">
        <v>0</v>
      </c>
      <c r="L233" s="4">
        <v>0.46500000000000002</v>
      </c>
      <c r="M233" s="4">
        <v>0.44640000000000002</v>
      </c>
      <c r="N233" s="4">
        <v>0.46500000000000002</v>
      </c>
      <c r="O233" s="4">
        <v>0.44640000000000002</v>
      </c>
      <c r="P233" s="4">
        <v>0</v>
      </c>
      <c r="Q233" s="3" t="s">
        <v>26</v>
      </c>
      <c r="R233" s="3">
        <v>0</v>
      </c>
      <c r="S233" s="3" t="s">
        <v>162</v>
      </c>
      <c r="T233" s="3" t="s">
        <v>283</v>
      </c>
      <c r="U233" s="3">
        <v>0</v>
      </c>
      <c r="V233" s="3">
        <v>15</v>
      </c>
      <c r="W233" s="3">
        <v>24</v>
      </c>
    </row>
    <row r="234" spans="1:23" ht="11.25" customHeight="1" x14ac:dyDescent="0.25">
      <c r="A234" s="3" t="s">
        <v>21</v>
      </c>
      <c r="B234" s="3" t="s">
        <v>35</v>
      </c>
      <c r="C234" s="3" t="s">
        <v>39</v>
      </c>
      <c r="D234" s="3" t="s">
        <v>42</v>
      </c>
      <c r="E234" s="3" t="s">
        <v>49</v>
      </c>
      <c r="F234" s="3" t="s">
        <v>25</v>
      </c>
      <c r="G234" s="3" t="s">
        <v>25</v>
      </c>
      <c r="H234" s="3" t="s">
        <v>37</v>
      </c>
      <c r="I234" s="6">
        <v>44682</v>
      </c>
      <c r="J234" s="4">
        <v>0</v>
      </c>
      <c r="K234" s="4">
        <v>0</v>
      </c>
      <c r="L234" s="4">
        <v>6.2E-2</v>
      </c>
      <c r="M234" s="4">
        <v>5.9520000000000003E-2</v>
      </c>
      <c r="N234" s="4">
        <v>6.2E-2</v>
      </c>
      <c r="O234" s="4">
        <v>5.9520000000000003E-2</v>
      </c>
      <c r="P234" s="4">
        <v>0</v>
      </c>
      <c r="Q234" s="3" t="s">
        <v>26</v>
      </c>
      <c r="R234" s="3">
        <v>0</v>
      </c>
      <c r="S234" s="3" t="s">
        <v>163</v>
      </c>
      <c r="T234" s="3" t="s">
        <v>284</v>
      </c>
      <c r="U234" s="3">
        <v>0</v>
      </c>
      <c r="V234" s="3">
        <v>15</v>
      </c>
      <c r="W234" s="3">
        <v>24</v>
      </c>
    </row>
    <row r="235" spans="1:23" ht="11.25" customHeight="1" x14ac:dyDescent="0.25">
      <c r="A235" s="3" t="s">
        <v>21</v>
      </c>
      <c r="B235" s="3" t="s">
        <v>35</v>
      </c>
      <c r="C235" s="3" t="s">
        <v>39</v>
      </c>
      <c r="D235" s="3" t="s">
        <v>42</v>
      </c>
      <c r="E235" s="3" t="s">
        <v>49</v>
      </c>
      <c r="F235" s="3" t="s">
        <v>25</v>
      </c>
      <c r="G235" s="3" t="s">
        <v>25</v>
      </c>
      <c r="H235" s="3" t="s">
        <v>37</v>
      </c>
      <c r="I235" s="6">
        <v>44713</v>
      </c>
      <c r="J235" s="4">
        <v>0</v>
      </c>
      <c r="K235" s="4">
        <v>0</v>
      </c>
      <c r="L235" s="4">
        <v>9.6000000000000002E-2</v>
      </c>
      <c r="M235" s="4">
        <v>9.2160000000000006E-2</v>
      </c>
      <c r="N235" s="4">
        <v>9.6000000000000002E-2</v>
      </c>
      <c r="O235" s="4">
        <v>9.2160000000000006E-2</v>
      </c>
      <c r="P235" s="4">
        <v>0</v>
      </c>
      <c r="Q235" s="3" t="s">
        <v>26</v>
      </c>
      <c r="R235" s="3">
        <v>0</v>
      </c>
      <c r="S235" s="3" t="s">
        <v>164</v>
      </c>
      <c r="T235" s="3" t="s">
        <v>285</v>
      </c>
      <c r="U235" s="3">
        <v>0</v>
      </c>
      <c r="V235" s="3">
        <v>15</v>
      </c>
      <c r="W235" s="3">
        <v>24</v>
      </c>
    </row>
    <row r="236" spans="1:23" ht="11.25" customHeight="1" x14ac:dyDescent="0.25">
      <c r="A236" s="3" t="s">
        <v>21</v>
      </c>
      <c r="B236" s="3" t="s">
        <v>35</v>
      </c>
      <c r="C236" s="3" t="s">
        <v>39</v>
      </c>
      <c r="D236" s="3" t="s">
        <v>42</v>
      </c>
      <c r="E236" s="3" t="s">
        <v>25</v>
      </c>
      <c r="F236" s="3" t="s">
        <v>25</v>
      </c>
      <c r="G236" s="3" t="s">
        <v>25</v>
      </c>
      <c r="H236" s="3" t="s">
        <v>38</v>
      </c>
      <c r="I236" s="6">
        <v>44378</v>
      </c>
      <c r="J236" s="4">
        <v>0</v>
      </c>
      <c r="K236" s="4">
        <v>0</v>
      </c>
      <c r="L236" s="4">
        <v>8.3209999999999997</v>
      </c>
      <c r="M236" s="4">
        <v>7.9881599999999997</v>
      </c>
      <c r="N236" s="4">
        <v>8.3209999999999997</v>
      </c>
      <c r="O236" s="4">
        <v>7.9881599999999997</v>
      </c>
      <c r="P236" s="4">
        <v>0</v>
      </c>
      <c r="Q236" s="3" t="s">
        <v>26</v>
      </c>
      <c r="R236" s="3">
        <v>0</v>
      </c>
      <c r="S236" s="3" t="s">
        <v>129</v>
      </c>
      <c r="T236" s="3" t="s">
        <v>262</v>
      </c>
      <c r="U236" s="3">
        <v>0</v>
      </c>
      <c r="V236" s="3">
        <v>3</v>
      </c>
      <c r="W236" s="3">
        <v>48</v>
      </c>
    </row>
    <row r="237" spans="1:23" ht="11.25" customHeight="1" x14ac:dyDescent="0.25">
      <c r="A237" s="3" t="s">
        <v>21</v>
      </c>
      <c r="B237" s="3" t="s">
        <v>35</v>
      </c>
      <c r="C237" s="3" t="s">
        <v>39</v>
      </c>
      <c r="D237" s="3" t="s">
        <v>42</v>
      </c>
      <c r="E237" s="3" t="s">
        <v>25</v>
      </c>
      <c r="F237" s="3" t="s">
        <v>25</v>
      </c>
      <c r="G237" s="3" t="s">
        <v>25</v>
      </c>
      <c r="H237" s="3" t="s">
        <v>38</v>
      </c>
      <c r="I237" s="6">
        <v>44409</v>
      </c>
      <c r="J237" s="4">
        <v>0</v>
      </c>
      <c r="K237" s="4">
        <v>0</v>
      </c>
      <c r="L237" s="4">
        <v>1.4419999999999999</v>
      </c>
      <c r="M237" s="4">
        <v>1.38432</v>
      </c>
      <c r="N237" s="4">
        <v>1.4419999999999999</v>
      </c>
      <c r="O237" s="4">
        <v>1.38432</v>
      </c>
      <c r="P237" s="4">
        <v>0</v>
      </c>
      <c r="Q237" s="3" t="s">
        <v>26</v>
      </c>
      <c r="R237" s="3">
        <v>0</v>
      </c>
      <c r="S237" s="3" t="s">
        <v>130</v>
      </c>
      <c r="T237" s="3" t="s">
        <v>263</v>
      </c>
      <c r="U237" s="3">
        <v>0</v>
      </c>
      <c r="V237" s="3">
        <v>3</v>
      </c>
      <c r="W237" s="3">
        <v>48</v>
      </c>
    </row>
    <row r="238" spans="1:23" ht="11.25" customHeight="1" x14ac:dyDescent="0.25">
      <c r="A238" s="3" t="s">
        <v>21</v>
      </c>
      <c r="B238" s="3" t="s">
        <v>35</v>
      </c>
      <c r="C238" s="3" t="s">
        <v>39</v>
      </c>
      <c r="D238" s="3" t="s">
        <v>42</v>
      </c>
      <c r="E238" s="3" t="s">
        <v>25</v>
      </c>
      <c r="F238" s="3" t="s">
        <v>25</v>
      </c>
      <c r="G238" s="3" t="s">
        <v>25</v>
      </c>
      <c r="H238" s="3" t="s">
        <v>38</v>
      </c>
      <c r="I238" s="6">
        <v>44440</v>
      </c>
      <c r="J238" s="4">
        <v>0</v>
      </c>
      <c r="K238" s="4">
        <v>0</v>
      </c>
      <c r="L238" s="4">
        <v>2.9969999999999999</v>
      </c>
      <c r="M238" s="4">
        <v>2.8771200000000001</v>
      </c>
      <c r="N238" s="4">
        <v>2.9969999999999999</v>
      </c>
      <c r="O238" s="4">
        <v>2.8771200000000001</v>
      </c>
      <c r="P238" s="4">
        <v>0</v>
      </c>
      <c r="Q238" s="3" t="s">
        <v>26</v>
      </c>
      <c r="R238" s="3">
        <v>0</v>
      </c>
      <c r="S238" s="3" t="s">
        <v>131</v>
      </c>
      <c r="T238" s="3" t="s">
        <v>264</v>
      </c>
      <c r="U238" s="3">
        <v>0</v>
      </c>
      <c r="V238" s="3">
        <v>3</v>
      </c>
      <c r="W238" s="3">
        <v>48</v>
      </c>
    </row>
    <row r="239" spans="1:23" ht="11.25" customHeight="1" x14ac:dyDescent="0.25">
      <c r="A239" s="3" t="s">
        <v>21</v>
      </c>
      <c r="B239" s="3" t="s">
        <v>35</v>
      </c>
      <c r="C239" s="3" t="s">
        <v>39</v>
      </c>
      <c r="D239" s="3" t="s">
        <v>42</v>
      </c>
      <c r="E239" s="3" t="s">
        <v>25</v>
      </c>
      <c r="F239" s="3" t="s">
        <v>25</v>
      </c>
      <c r="G239" s="3" t="s">
        <v>25</v>
      </c>
      <c r="H239" s="3" t="s">
        <v>38</v>
      </c>
      <c r="I239" s="6">
        <v>44470</v>
      </c>
      <c r="J239" s="4">
        <v>0</v>
      </c>
      <c r="K239" s="4">
        <v>0</v>
      </c>
      <c r="L239" s="4">
        <v>17.882000000000001</v>
      </c>
      <c r="M239" s="4">
        <v>17.166720000000002</v>
      </c>
      <c r="N239" s="4">
        <v>17.882000000000001</v>
      </c>
      <c r="O239" s="4">
        <v>17.166720000000002</v>
      </c>
      <c r="P239" s="4">
        <v>0</v>
      </c>
      <c r="Q239" s="3" t="s">
        <v>26</v>
      </c>
      <c r="R239" s="3">
        <v>0</v>
      </c>
      <c r="S239" s="3" t="s">
        <v>132</v>
      </c>
      <c r="T239" s="3" t="s">
        <v>265</v>
      </c>
      <c r="U239" s="3">
        <v>0</v>
      </c>
      <c r="V239" s="3">
        <v>3</v>
      </c>
      <c r="W239" s="3">
        <v>48</v>
      </c>
    </row>
    <row r="240" spans="1:23" ht="11.25" customHeight="1" x14ac:dyDescent="0.25">
      <c r="A240" s="3" t="s">
        <v>21</v>
      </c>
      <c r="B240" s="3" t="s">
        <v>35</v>
      </c>
      <c r="C240" s="3" t="s">
        <v>39</v>
      </c>
      <c r="D240" s="3" t="s">
        <v>42</v>
      </c>
      <c r="E240" s="3" t="s">
        <v>25</v>
      </c>
      <c r="F240" s="3" t="s">
        <v>25</v>
      </c>
      <c r="G240" s="3" t="s">
        <v>25</v>
      </c>
      <c r="H240" s="3" t="s">
        <v>38</v>
      </c>
      <c r="I240" s="6">
        <v>44501</v>
      </c>
      <c r="J240" s="4">
        <v>0</v>
      </c>
      <c r="K240" s="4">
        <v>0</v>
      </c>
      <c r="L240" s="4">
        <v>29.914000000000001</v>
      </c>
      <c r="M240" s="4">
        <v>28.71744</v>
      </c>
      <c r="N240" s="4">
        <v>29.914000000000001</v>
      </c>
      <c r="O240" s="4">
        <v>28.71744</v>
      </c>
      <c r="P240" s="4">
        <v>0</v>
      </c>
      <c r="Q240" s="3" t="s">
        <v>26</v>
      </c>
      <c r="R240" s="3">
        <v>0</v>
      </c>
      <c r="S240" s="3" t="s">
        <v>133</v>
      </c>
      <c r="T240" s="3" t="s">
        <v>266</v>
      </c>
      <c r="U240" s="3">
        <v>0</v>
      </c>
      <c r="V240" s="3">
        <v>3</v>
      </c>
      <c r="W240" s="3">
        <v>48</v>
      </c>
    </row>
    <row r="241" spans="1:23" ht="11.25" customHeight="1" x14ac:dyDescent="0.25">
      <c r="A241" s="3" t="s">
        <v>21</v>
      </c>
      <c r="B241" s="3" t="s">
        <v>35</v>
      </c>
      <c r="C241" s="3" t="s">
        <v>39</v>
      </c>
      <c r="D241" s="3" t="s">
        <v>42</v>
      </c>
      <c r="E241" s="3" t="s">
        <v>25</v>
      </c>
      <c r="F241" s="3" t="s">
        <v>25</v>
      </c>
      <c r="G241" s="3" t="s">
        <v>25</v>
      </c>
      <c r="H241" s="3" t="s">
        <v>38</v>
      </c>
      <c r="I241" s="6">
        <v>44531</v>
      </c>
      <c r="J241" s="4">
        <v>0</v>
      </c>
      <c r="K241" s="4">
        <v>0</v>
      </c>
      <c r="L241" s="4">
        <v>35.438000000000002</v>
      </c>
      <c r="M241" s="4">
        <v>34.020479999999999</v>
      </c>
      <c r="N241" s="4">
        <v>35.438000000000002</v>
      </c>
      <c r="O241" s="4">
        <v>34.020479999999999</v>
      </c>
      <c r="P241" s="4">
        <v>0</v>
      </c>
      <c r="Q241" s="3" t="s">
        <v>26</v>
      </c>
      <c r="R241" s="3">
        <v>0</v>
      </c>
      <c r="S241" s="3" t="s">
        <v>134</v>
      </c>
      <c r="T241" s="3" t="s">
        <v>267</v>
      </c>
      <c r="U241" s="3">
        <v>0</v>
      </c>
      <c r="V241" s="3">
        <v>3</v>
      </c>
      <c r="W241" s="3">
        <v>48</v>
      </c>
    </row>
    <row r="242" spans="1:23" ht="11.25" customHeight="1" x14ac:dyDescent="0.25">
      <c r="A242" s="3" t="s">
        <v>21</v>
      </c>
      <c r="B242" s="3" t="s">
        <v>35</v>
      </c>
      <c r="C242" s="3" t="s">
        <v>39</v>
      </c>
      <c r="D242" s="3" t="s">
        <v>42</v>
      </c>
      <c r="E242" s="3" t="s">
        <v>25</v>
      </c>
      <c r="F242" s="3" t="s">
        <v>25</v>
      </c>
      <c r="G242" s="3" t="s">
        <v>25</v>
      </c>
      <c r="H242" s="3" t="s">
        <v>38</v>
      </c>
      <c r="I242" s="6">
        <v>44562</v>
      </c>
      <c r="J242" s="4">
        <v>0</v>
      </c>
      <c r="K242" s="4">
        <v>0</v>
      </c>
      <c r="L242" s="4">
        <v>67.201999999999998</v>
      </c>
      <c r="M242" s="4">
        <v>64.513919999999999</v>
      </c>
      <c r="N242" s="4">
        <v>67.201999999999998</v>
      </c>
      <c r="O242" s="4">
        <v>64.513919999999999</v>
      </c>
      <c r="P242" s="4">
        <v>0</v>
      </c>
      <c r="Q242" s="3" t="s">
        <v>26</v>
      </c>
      <c r="R242" s="3">
        <v>0</v>
      </c>
      <c r="S242" s="3" t="s">
        <v>135</v>
      </c>
      <c r="T242" s="3" t="s">
        <v>268</v>
      </c>
      <c r="U242" s="3">
        <v>0</v>
      </c>
      <c r="V242" s="3">
        <v>3</v>
      </c>
      <c r="W242" s="3">
        <v>48</v>
      </c>
    </row>
    <row r="243" spans="1:23" ht="11.25" customHeight="1" x14ac:dyDescent="0.25">
      <c r="A243" s="3" t="s">
        <v>21</v>
      </c>
      <c r="B243" s="3" t="s">
        <v>35</v>
      </c>
      <c r="C243" s="3" t="s">
        <v>39</v>
      </c>
      <c r="D243" s="3" t="s">
        <v>42</v>
      </c>
      <c r="E243" s="3" t="s">
        <v>25</v>
      </c>
      <c r="F243" s="3" t="s">
        <v>25</v>
      </c>
      <c r="G243" s="3" t="s">
        <v>25</v>
      </c>
      <c r="H243" s="3" t="s">
        <v>38</v>
      </c>
      <c r="I243" s="6">
        <v>44593</v>
      </c>
      <c r="J243" s="4">
        <v>0</v>
      </c>
      <c r="K243" s="4">
        <v>0</v>
      </c>
      <c r="L243" s="4">
        <v>33.357999999999997</v>
      </c>
      <c r="M243" s="4">
        <v>32.023679999999999</v>
      </c>
      <c r="N243" s="4">
        <v>33.357999999999997</v>
      </c>
      <c r="O243" s="4">
        <v>32.023679999999999</v>
      </c>
      <c r="P243" s="4">
        <v>0</v>
      </c>
      <c r="Q243" s="3" t="s">
        <v>26</v>
      </c>
      <c r="R243" s="3">
        <v>0</v>
      </c>
      <c r="S243" s="3" t="s">
        <v>136</v>
      </c>
      <c r="T243" s="3" t="s">
        <v>269</v>
      </c>
      <c r="U243" s="3">
        <v>0</v>
      </c>
      <c r="V243" s="3">
        <v>3</v>
      </c>
      <c r="W243" s="3">
        <v>48</v>
      </c>
    </row>
    <row r="244" spans="1:23" ht="11.25" customHeight="1" x14ac:dyDescent="0.25">
      <c r="A244" s="3" t="s">
        <v>21</v>
      </c>
      <c r="B244" s="3" t="s">
        <v>35</v>
      </c>
      <c r="C244" s="3" t="s">
        <v>39</v>
      </c>
      <c r="D244" s="3" t="s">
        <v>42</v>
      </c>
      <c r="E244" s="3" t="s">
        <v>25</v>
      </c>
      <c r="F244" s="3" t="s">
        <v>25</v>
      </c>
      <c r="G244" s="3" t="s">
        <v>25</v>
      </c>
      <c r="H244" s="3" t="s">
        <v>38</v>
      </c>
      <c r="I244" s="6">
        <v>44621</v>
      </c>
      <c r="J244" s="4">
        <v>0</v>
      </c>
      <c r="K244" s="4">
        <v>0</v>
      </c>
      <c r="L244" s="4">
        <v>31.106000000000002</v>
      </c>
      <c r="M244" s="4">
        <v>29.86176</v>
      </c>
      <c r="N244" s="4">
        <v>31.106000000000002</v>
      </c>
      <c r="O244" s="4">
        <v>29.86176</v>
      </c>
      <c r="P244" s="4">
        <v>0</v>
      </c>
      <c r="Q244" s="3" t="s">
        <v>26</v>
      </c>
      <c r="R244" s="3">
        <v>0</v>
      </c>
      <c r="S244" s="3" t="s">
        <v>137</v>
      </c>
      <c r="T244" s="3" t="s">
        <v>270</v>
      </c>
      <c r="U244" s="3">
        <v>0</v>
      </c>
      <c r="V244" s="3">
        <v>3</v>
      </c>
      <c r="W244" s="3">
        <v>48</v>
      </c>
    </row>
    <row r="245" spans="1:23" ht="11.25" customHeight="1" x14ac:dyDescent="0.25">
      <c r="A245" s="3" t="s">
        <v>21</v>
      </c>
      <c r="B245" s="3" t="s">
        <v>35</v>
      </c>
      <c r="C245" s="3" t="s">
        <v>39</v>
      </c>
      <c r="D245" s="3" t="s">
        <v>42</v>
      </c>
      <c r="E245" s="3" t="s">
        <v>25</v>
      </c>
      <c r="F245" s="3" t="s">
        <v>25</v>
      </c>
      <c r="G245" s="3" t="s">
        <v>25</v>
      </c>
      <c r="H245" s="3" t="s">
        <v>38</v>
      </c>
      <c r="I245" s="6">
        <v>44652</v>
      </c>
      <c r="J245" s="4">
        <v>0</v>
      </c>
      <c r="K245" s="4">
        <v>0</v>
      </c>
      <c r="L245" s="4">
        <v>23.597999999999999</v>
      </c>
      <c r="M245" s="4">
        <v>22.65408</v>
      </c>
      <c r="N245" s="4">
        <v>23.597999999999999</v>
      </c>
      <c r="O245" s="4">
        <v>22.65408</v>
      </c>
      <c r="P245" s="4">
        <v>0</v>
      </c>
      <c r="Q245" s="3" t="s">
        <v>26</v>
      </c>
      <c r="R245" s="3">
        <v>0</v>
      </c>
      <c r="S245" s="3" t="s">
        <v>138</v>
      </c>
      <c r="T245" s="3" t="s">
        <v>271</v>
      </c>
      <c r="U245" s="3">
        <v>0</v>
      </c>
      <c r="V245" s="3">
        <v>3</v>
      </c>
      <c r="W245" s="3">
        <v>48</v>
      </c>
    </row>
    <row r="246" spans="1:23" ht="11.25" customHeight="1" x14ac:dyDescent="0.25">
      <c r="A246" s="3" t="s">
        <v>21</v>
      </c>
      <c r="B246" s="3" t="s">
        <v>35</v>
      </c>
      <c r="C246" s="3" t="s">
        <v>39</v>
      </c>
      <c r="D246" s="3" t="s">
        <v>42</v>
      </c>
      <c r="E246" s="3" t="s">
        <v>25</v>
      </c>
      <c r="F246" s="3" t="s">
        <v>25</v>
      </c>
      <c r="G246" s="3" t="s">
        <v>25</v>
      </c>
      <c r="H246" s="3" t="s">
        <v>38</v>
      </c>
      <c r="I246" s="6">
        <v>44682</v>
      </c>
      <c r="J246" s="4">
        <v>0</v>
      </c>
      <c r="K246" s="4">
        <v>0</v>
      </c>
      <c r="L246" s="4">
        <v>19.457999999999998</v>
      </c>
      <c r="M246" s="4">
        <v>18.679680000000001</v>
      </c>
      <c r="N246" s="4">
        <v>19.457999999999998</v>
      </c>
      <c r="O246" s="4">
        <v>18.679680000000001</v>
      </c>
      <c r="P246" s="4">
        <v>0</v>
      </c>
      <c r="Q246" s="3" t="s">
        <v>26</v>
      </c>
      <c r="R246" s="3">
        <v>0</v>
      </c>
      <c r="S246" s="3" t="s">
        <v>139</v>
      </c>
      <c r="T246" s="3" t="s">
        <v>272</v>
      </c>
      <c r="U246" s="3">
        <v>0</v>
      </c>
      <c r="V246" s="3">
        <v>3</v>
      </c>
      <c r="W246" s="3">
        <v>48</v>
      </c>
    </row>
    <row r="247" spans="1:23" ht="11.25" customHeight="1" x14ac:dyDescent="0.25">
      <c r="A247" s="3" t="s">
        <v>21</v>
      </c>
      <c r="B247" s="3" t="s">
        <v>35</v>
      </c>
      <c r="C247" s="3" t="s">
        <v>39</v>
      </c>
      <c r="D247" s="3" t="s">
        <v>42</v>
      </c>
      <c r="E247" s="3" t="s">
        <v>25</v>
      </c>
      <c r="F247" s="3" t="s">
        <v>25</v>
      </c>
      <c r="G247" s="3" t="s">
        <v>25</v>
      </c>
      <c r="H247" s="3" t="s">
        <v>38</v>
      </c>
      <c r="I247" s="6">
        <v>44713</v>
      </c>
      <c r="J247" s="4">
        <v>0</v>
      </c>
      <c r="K247" s="4">
        <v>0</v>
      </c>
      <c r="L247" s="4">
        <v>18.079000000000001</v>
      </c>
      <c r="M247" s="4">
        <v>17.355840000000001</v>
      </c>
      <c r="N247" s="4">
        <v>18.079000000000001</v>
      </c>
      <c r="O247" s="4">
        <v>17.355840000000001</v>
      </c>
      <c r="P247" s="4">
        <v>0</v>
      </c>
      <c r="Q247" s="3" t="s">
        <v>26</v>
      </c>
      <c r="R247" s="3">
        <v>0</v>
      </c>
      <c r="S247" s="3" t="s">
        <v>140</v>
      </c>
      <c r="T247" s="3" t="s">
        <v>273</v>
      </c>
      <c r="U247" s="3">
        <v>0</v>
      </c>
      <c r="V247" s="3">
        <v>3</v>
      </c>
      <c r="W247" s="3">
        <v>48</v>
      </c>
    </row>
    <row r="248" spans="1:23" ht="11.25" customHeight="1" x14ac:dyDescent="0.25">
      <c r="A248" s="3" t="s">
        <v>21</v>
      </c>
      <c r="B248" s="3" t="s">
        <v>35</v>
      </c>
      <c r="C248" s="3" t="s">
        <v>39</v>
      </c>
      <c r="D248" s="3" t="s">
        <v>42</v>
      </c>
      <c r="E248" s="3" t="s">
        <v>25</v>
      </c>
      <c r="F248" s="3" t="s">
        <v>25</v>
      </c>
      <c r="G248" s="3" t="s">
        <v>25</v>
      </c>
      <c r="H248" s="3" t="s">
        <v>25</v>
      </c>
      <c r="I248" s="6">
        <v>44378</v>
      </c>
      <c r="J248" s="4">
        <v>110</v>
      </c>
      <c r="K248" s="4">
        <v>105.6</v>
      </c>
      <c r="L248" s="4">
        <v>0</v>
      </c>
      <c r="M248" s="4">
        <v>0</v>
      </c>
      <c r="N248" s="4">
        <v>0</v>
      </c>
      <c r="O248" s="4">
        <v>0</v>
      </c>
      <c r="P248" s="4">
        <v>1</v>
      </c>
      <c r="Q248" s="3" t="s">
        <v>26</v>
      </c>
      <c r="R248" s="3">
        <v>0</v>
      </c>
      <c r="S248" s="3" t="s">
        <v>141</v>
      </c>
      <c r="U248" s="3">
        <v>31</v>
      </c>
      <c r="V248" s="3">
        <v>0</v>
      </c>
      <c r="W248" s="3">
        <v>0</v>
      </c>
    </row>
    <row r="249" spans="1:23" ht="11.25" customHeight="1" x14ac:dyDescent="0.25">
      <c r="A249" s="3" t="s">
        <v>21</v>
      </c>
      <c r="B249" s="3" t="s">
        <v>35</v>
      </c>
      <c r="C249" s="3" t="s">
        <v>39</v>
      </c>
      <c r="D249" s="3" t="s">
        <v>42</v>
      </c>
      <c r="E249" s="3" t="s">
        <v>25</v>
      </c>
      <c r="F249" s="3" t="s">
        <v>25</v>
      </c>
      <c r="G249" s="3" t="s">
        <v>25</v>
      </c>
      <c r="H249" s="3" t="s">
        <v>25</v>
      </c>
      <c r="I249" s="6">
        <v>44409</v>
      </c>
      <c r="J249" s="4">
        <v>110</v>
      </c>
      <c r="K249" s="4">
        <v>105.6</v>
      </c>
      <c r="L249" s="4">
        <v>0</v>
      </c>
      <c r="M249" s="4">
        <v>0</v>
      </c>
      <c r="N249" s="4">
        <v>0</v>
      </c>
      <c r="O249" s="4">
        <v>0</v>
      </c>
      <c r="P249" s="4">
        <v>1</v>
      </c>
      <c r="Q249" s="3" t="s">
        <v>26</v>
      </c>
      <c r="R249" s="3">
        <v>0</v>
      </c>
      <c r="S249" s="3" t="s">
        <v>142</v>
      </c>
      <c r="U249" s="3">
        <v>31</v>
      </c>
      <c r="V249" s="3">
        <v>0</v>
      </c>
      <c r="W249" s="3">
        <v>0</v>
      </c>
    </row>
    <row r="250" spans="1:23" ht="11.25" customHeight="1" x14ac:dyDescent="0.25">
      <c r="A250" s="3" t="s">
        <v>21</v>
      </c>
      <c r="B250" s="3" t="s">
        <v>35</v>
      </c>
      <c r="C250" s="3" t="s">
        <v>39</v>
      </c>
      <c r="D250" s="3" t="s">
        <v>42</v>
      </c>
      <c r="E250" s="3" t="s">
        <v>25</v>
      </c>
      <c r="F250" s="3" t="s">
        <v>25</v>
      </c>
      <c r="G250" s="3" t="s">
        <v>25</v>
      </c>
      <c r="H250" s="3" t="s">
        <v>25</v>
      </c>
      <c r="I250" s="6">
        <v>44440</v>
      </c>
      <c r="J250" s="4">
        <v>110</v>
      </c>
      <c r="K250" s="4">
        <v>105.6</v>
      </c>
      <c r="L250" s="4">
        <v>0</v>
      </c>
      <c r="M250" s="4">
        <v>0</v>
      </c>
      <c r="N250" s="4">
        <v>0</v>
      </c>
      <c r="O250" s="4">
        <v>0</v>
      </c>
      <c r="P250" s="4">
        <v>1</v>
      </c>
      <c r="Q250" s="3" t="s">
        <v>26</v>
      </c>
      <c r="R250" s="3">
        <v>0</v>
      </c>
      <c r="S250" s="3" t="s">
        <v>143</v>
      </c>
      <c r="U250" s="3">
        <v>31</v>
      </c>
      <c r="V250" s="3">
        <v>0</v>
      </c>
      <c r="W250" s="3">
        <v>0</v>
      </c>
    </row>
    <row r="251" spans="1:23" ht="11.25" customHeight="1" x14ac:dyDescent="0.25">
      <c r="A251" s="3" t="s">
        <v>21</v>
      </c>
      <c r="B251" s="3" t="s">
        <v>35</v>
      </c>
      <c r="C251" s="3" t="s">
        <v>39</v>
      </c>
      <c r="D251" s="3" t="s">
        <v>42</v>
      </c>
      <c r="E251" s="3" t="s">
        <v>25</v>
      </c>
      <c r="F251" s="3" t="s">
        <v>25</v>
      </c>
      <c r="G251" s="3" t="s">
        <v>25</v>
      </c>
      <c r="H251" s="3" t="s">
        <v>25</v>
      </c>
      <c r="I251" s="6">
        <v>44470</v>
      </c>
      <c r="J251" s="4">
        <v>110</v>
      </c>
      <c r="K251" s="4">
        <v>105.6</v>
      </c>
      <c r="L251" s="4">
        <v>0</v>
      </c>
      <c r="M251" s="4">
        <v>0</v>
      </c>
      <c r="N251" s="4">
        <v>0</v>
      </c>
      <c r="O251" s="4">
        <v>0</v>
      </c>
      <c r="P251" s="4">
        <v>1</v>
      </c>
      <c r="Q251" s="3" t="s">
        <v>26</v>
      </c>
      <c r="R251" s="3">
        <v>0</v>
      </c>
      <c r="S251" s="3" t="s">
        <v>144</v>
      </c>
      <c r="U251" s="3">
        <v>31</v>
      </c>
      <c r="V251" s="3">
        <v>0</v>
      </c>
      <c r="W251" s="3">
        <v>0</v>
      </c>
    </row>
    <row r="252" spans="1:23" ht="11.25" customHeight="1" x14ac:dyDescent="0.25">
      <c r="A252" s="3" t="s">
        <v>21</v>
      </c>
      <c r="B252" s="3" t="s">
        <v>35</v>
      </c>
      <c r="C252" s="3" t="s">
        <v>39</v>
      </c>
      <c r="D252" s="3" t="s">
        <v>42</v>
      </c>
      <c r="E252" s="3" t="s">
        <v>25</v>
      </c>
      <c r="F252" s="3" t="s">
        <v>25</v>
      </c>
      <c r="G252" s="3" t="s">
        <v>25</v>
      </c>
      <c r="H252" s="3" t="s">
        <v>25</v>
      </c>
      <c r="I252" s="6">
        <v>44501</v>
      </c>
      <c r="J252" s="4">
        <v>119</v>
      </c>
      <c r="K252" s="4">
        <v>114.24</v>
      </c>
      <c r="L252" s="4">
        <v>0</v>
      </c>
      <c r="M252" s="4">
        <v>0</v>
      </c>
      <c r="N252" s="4">
        <v>0</v>
      </c>
      <c r="O252" s="4">
        <v>0</v>
      </c>
      <c r="P252" s="4">
        <v>1</v>
      </c>
      <c r="Q252" s="3" t="s">
        <v>26</v>
      </c>
      <c r="R252" s="3">
        <v>0</v>
      </c>
      <c r="S252" s="3" t="s">
        <v>145</v>
      </c>
      <c r="U252" s="3">
        <v>31</v>
      </c>
      <c r="V252" s="3">
        <v>0</v>
      </c>
      <c r="W252" s="3">
        <v>0</v>
      </c>
    </row>
    <row r="253" spans="1:23" ht="11.25" customHeight="1" x14ac:dyDescent="0.25">
      <c r="A253" s="3" t="s">
        <v>21</v>
      </c>
      <c r="B253" s="3" t="s">
        <v>35</v>
      </c>
      <c r="C253" s="3" t="s">
        <v>39</v>
      </c>
      <c r="D253" s="3" t="s">
        <v>42</v>
      </c>
      <c r="E253" s="3" t="s">
        <v>25</v>
      </c>
      <c r="F253" s="3" t="s">
        <v>25</v>
      </c>
      <c r="G253" s="3" t="s">
        <v>25</v>
      </c>
      <c r="H253" s="3" t="s">
        <v>25</v>
      </c>
      <c r="I253" s="6">
        <v>44531</v>
      </c>
      <c r="J253" s="4">
        <v>116</v>
      </c>
      <c r="K253" s="4">
        <v>111.36</v>
      </c>
      <c r="L253" s="4">
        <v>0</v>
      </c>
      <c r="M253" s="4">
        <v>0</v>
      </c>
      <c r="N253" s="4">
        <v>0</v>
      </c>
      <c r="O253" s="4">
        <v>0</v>
      </c>
      <c r="P253" s="4">
        <v>1</v>
      </c>
      <c r="Q253" s="3" t="s">
        <v>26</v>
      </c>
      <c r="R253" s="3">
        <v>0</v>
      </c>
      <c r="S253" s="3" t="s">
        <v>146</v>
      </c>
      <c r="U253" s="3">
        <v>31</v>
      </c>
      <c r="V253" s="3">
        <v>0</v>
      </c>
      <c r="W253" s="3">
        <v>0</v>
      </c>
    </row>
    <row r="254" spans="1:23" ht="11.25" customHeight="1" x14ac:dyDescent="0.25">
      <c r="A254" s="3" t="s">
        <v>21</v>
      </c>
      <c r="B254" s="3" t="s">
        <v>35</v>
      </c>
      <c r="C254" s="3" t="s">
        <v>39</v>
      </c>
      <c r="D254" s="3" t="s">
        <v>42</v>
      </c>
      <c r="E254" s="3" t="s">
        <v>25</v>
      </c>
      <c r="F254" s="3" t="s">
        <v>25</v>
      </c>
      <c r="G254" s="3" t="s">
        <v>25</v>
      </c>
      <c r="H254" s="3" t="s">
        <v>25</v>
      </c>
      <c r="I254" s="6">
        <v>44562</v>
      </c>
      <c r="J254" s="4">
        <v>119</v>
      </c>
      <c r="K254" s="4">
        <v>114.24</v>
      </c>
      <c r="L254" s="4">
        <v>0</v>
      </c>
      <c r="M254" s="4">
        <v>0</v>
      </c>
      <c r="N254" s="4">
        <v>0</v>
      </c>
      <c r="O254" s="4">
        <v>0</v>
      </c>
      <c r="P254" s="4">
        <v>1</v>
      </c>
      <c r="Q254" s="3" t="s">
        <v>26</v>
      </c>
      <c r="R254" s="3">
        <v>0</v>
      </c>
      <c r="S254" s="3" t="s">
        <v>147</v>
      </c>
      <c r="U254" s="3">
        <v>31</v>
      </c>
      <c r="V254" s="3">
        <v>0</v>
      </c>
      <c r="W254" s="3">
        <v>0</v>
      </c>
    </row>
    <row r="255" spans="1:23" ht="11.25" customHeight="1" x14ac:dyDescent="0.25">
      <c r="A255" s="3" t="s">
        <v>21</v>
      </c>
      <c r="B255" s="3" t="s">
        <v>35</v>
      </c>
      <c r="C255" s="3" t="s">
        <v>39</v>
      </c>
      <c r="D255" s="3" t="s">
        <v>42</v>
      </c>
      <c r="E255" s="3" t="s">
        <v>25</v>
      </c>
      <c r="F255" s="3" t="s">
        <v>25</v>
      </c>
      <c r="G255" s="3" t="s">
        <v>25</v>
      </c>
      <c r="H255" s="3" t="s">
        <v>25</v>
      </c>
      <c r="I255" s="6">
        <v>44593</v>
      </c>
      <c r="J255" s="4">
        <v>117</v>
      </c>
      <c r="K255" s="4">
        <v>112.32</v>
      </c>
      <c r="L255" s="4">
        <v>0</v>
      </c>
      <c r="M255" s="4">
        <v>0</v>
      </c>
      <c r="N255" s="4">
        <v>0</v>
      </c>
      <c r="O255" s="4">
        <v>0</v>
      </c>
      <c r="P255" s="4">
        <v>1</v>
      </c>
      <c r="Q255" s="3" t="s">
        <v>26</v>
      </c>
      <c r="R255" s="3">
        <v>0</v>
      </c>
      <c r="S255" s="3" t="s">
        <v>148</v>
      </c>
      <c r="U255" s="3">
        <v>31</v>
      </c>
      <c r="V255" s="3">
        <v>0</v>
      </c>
      <c r="W255" s="3">
        <v>0</v>
      </c>
    </row>
    <row r="256" spans="1:23" ht="11.25" customHeight="1" x14ac:dyDescent="0.25">
      <c r="A256" s="3" t="s">
        <v>21</v>
      </c>
      <c r="B256" s="3" t="s">
        <v>35</v>
      </c>
      <c r="C256" s="3" t="s">
        <v>39</v>
      </c>
      <c r="D256" s="3" t="s">
        <v>42</v>
      </c>
      <c r="E256" s="3" t="s">
        <v>25</v>
      </c>
      <c r="F256" s="3" t="s">
        <v>25</v>
      </c>
      <c r="G256" s="3" t="s">
        <v>25</v>
      </c>
      <c r="H256" s="3" t="s">
        <v>25</v>
      </c>
      <c r="I256" s="6">
        <v>44621</v>
      </c>
      <c r="J256" s="4">
        <v>118</v>
      </c>
      <c r="K256" s="4">
        <v>113.28</v>
      </c>
      <c r="L256" s="4">
        <v>0</v>
      </c>
      <c r="M256" s="4">
        <v>0</v>
      </c>
      <c r="N256" s="4">
        <v>0</v>
      </c>
      <c r="O256" s="4">
        <v>0</v>
      </c>
      <c r="P256" s="4">
        <v>1</v>
      </c>
      <c r="Q256" s="3" t="s">
        <v>26</v>
      </c>
      <c r="R256" s="3">
        <v>0</v>
      </c>
      <c r="S256" s="3" t="s">
        <v>149</v>
      </c>
      <c r="U256" s="3">
        <v>31</v>
      </c>
      <c r="V256" s="3">
        <v>0</v>
      </c>
      <c r="W256" s="3">
        <v>0</v>
      </c>
    </row>
    <row r="257" spans="1:23" ht="11.25" customHeight="1" x14ac:dyDescent="0.25">
      <c r="A257" s="3" t="s">
        <v>21</v>
      </c>
      <c r="B257" s="3" t="s">
        <v>35</v>
      </c>
      <c r="C257" s="3" t="s">
        <v>39</v>
      </c>
      <c r="D257" s="3" t="s">
        <v>42</v>
      </c>
      <c r="E257" s="3" t="s">
        <v>25</v>
      </c>
      <c r="F257" s="3" t="s">
        <v>25</v>
      </c>
      <c r="G257" s="3" t="s">
        <v>25</v>
      </c>
      <c r="H257" s="3" t="s">
        <v>25</v>
      </c>
      <c r="I257" s="6">
        <v>44652</v>
      </c>
      <c r="J257" s="4">
        <v>111</v>
      </c>
      <c r="K257" s="4">
        <v>106.56</v>
      </c>
      <c r="L257" s="4">
        <v>0</v>
      </c>
      <c r="M257" s="4">
        <v>0</v>
      </c>
      <c r="N257" s="4">
        <v>0</v>
      </c>
      <c r="O257" s="4">
        <v>0</v>
      </c>
      <c r="P257" s="4">
        <v>1</v>
      </c>
      <c r="Q257" s="3" t="s">
        <v>26</v>
      </c>
      <c r="R257" s="3">
        <v>0</v>
      </c>
      <c r="S257" s="3" t="s">
        <v>150</v>
      </c>
      <c r="U257" s="3">
        <v>31</v>
      </c>
      <c r="V257" s="3">
        <v>0</v>
      </c>
      <c r="W257" s="3">
        <v>0</v>
      </c>
    </row>
    <row r="258" spans="1:23" ht="11.25" customHeight="1" x14ac:dyDescent="0.25">
      <c r="A258" s="3" t="s">
        <v>21</v>
      </c>
      <c r="B258" s="3" t="s">
        <v>35</v>
      </c>
      <c r="C258" s="3" t="s">
        <v>39</v>
      </c>
      <c r="D258" s="3" t="s">
        <v>42</v>
      </c>
      <c r="E258" s="3" t="s">
        <v>25</v>
      </c>
      <c r="F258" s="3" t="s">
        <v>25</v>
      </c>
      <c r="G258" s="3" t="s">
        <v>25</v>
      </c>
      <c r="H258" s="3" t="s">
        <v>25</v>
      </c>
      <c r="I258" s="6">
        <v>44682</v>
      </c>
      <c r="J258" s="4">
        <v>110</v>
      </c>
      <c r="K258" s="4">
        <v>105.6</v>
      </c>
      <c r="L258" s="4">
        <v>0</v>
      </c>
      <c r="M258" s="4">
        <v>0</v>
      </c>
      <c r="N258" s="4">
        <v>0</v>
      </c>
      <c r="O258" s="4">
        <v>0</v>
      </c>
      <c r="P258" s="4">
        <v>1</v>
      </c>
      <c r="Q258" s="3" t="s">
        <v>26</v>
      </c>
      <c r="R258" s="3">
        <v>0</v>
      </c>
      <c r="S258" s="3" t="s">
        <v>151</v>
      </c>
      <c r="U258" s="3">
        <v>31</v>
      </c>
      <c r="V258" s="3">
        <v>0</v>
      </c>
      <c r="W258" s="3">
        <v>0</v>
      </c>
    </row>
    <row r="259" spans="1:23" ht="11.25" customHeight="1" x14ac:dyDescent="0.25">
      <c r="A259" s="3" t="s">
        <v>21</v>
      </c>
      <c r="B259" s="3" t="s">
        <v>35</v>
      </c>
      <c r="C259" s="3" t="s">
        <v>39</v>
      </c>
      <c r="D259" s="3" t="s">
        <v>42</v>
      </c>
      <c r="E259" s="3" t="s">
        <v>25</v>
      </c>
      <c r="F259" s="3" t="s">
        <v>25</v>
      </c>
      <c r="G259" s="3" t="s">
        <v>25</v>
      </c>
      <c r="H259" s="3" t="s">
        <v>25</v>
      </c>
      <c r="I259" s="6">
        <v>44713</v>
      </c>
      <c r="J259" s="4">
        <v>110</v>
      </c>
      <c r="K259" s="4">
        <v>105.6</v>
      </c>
      <c r="L259" s="4">
        <v>0</v>
      </c>
      <c r="M259" s="4">
        <v>0</v>
      </c>
      <c r="N259" s="4">
        <v>0</v>
      </c>
      <c r="O259" s="4">
        <v>0</v>
      </c>
      <c r="P259" s="4">
        <v>1</v>
      </c>
      <c r="Q259" s="3" t="s">
        <v>26</v>
      </c>
      <c r="R259" s="3">
        <v>0</v>
      </c>
      <c r="S259" s="3" t="s">
        <v>152</v>
      </c>
      <c r="U259" s="3">
        <v>31</v>
      </c>
      <c r="V259" s="3">
        <v>0</v>
      </c>
      <c r="W259" s="3">
        <v>0</v>
      </c>
    </row>
    <row r="260" spans="1:23" ht="11.25" customHeight="1" x14ac:dyDescent="0.25">
      <c r="A260" s="3" t="s">
        <v>21</v>
      </c>
      <c r="B260" s="3" t="s">
        <v>35</v>
      </c>
      <c r="C260" s="3" t="s">
        <v>39</v>
      </c>
      <c r="D260" s="3" t="s">
        <v>42</v>
      </c>
      <c r="E260" s="3" t="s">
        <v>25</v>
      </c>
      <c r="F260" s="3" t="s">
        <v>25</v>
      </c>
      <c r="G260" s="3" t="s">
        <v>25</v>
      </c>
      <c r="H260" s="3" t="s">
        <v>37</v>
      </c>
      <c r="I260" s="6">
        <v>44378</v>
      </c>
      <c r="J260" s="4">
        <v>0</v>
      </c>
      <c r="K260" s="4">
        <v>0</v>
      </c>
      <c r="L260" s="4">
        <v>0.60699999999999998</v>
      </c>
      <c r="M260" s="4">
        <v>0.58272000000000002</v>
      </c>
      <c r="N260" s="4">
        <v>0.60699999999999998</v>
      </c>
      <c r="O260" s="4">
        <v>0.58272000000000002</v>
      </c>
      <c r="P260" s="4">
        <v>0</v>
      </c>
      <c r="Q260" s="3" t="s">
        <v>26</v>
      </c>
      <c r="R260" s="3">
        <v>0</v>
      </c>
      <c r="S260" s="3" t="s">
        <v>153</v>
      </c>
      <c r="T260" s="3" t="s">
        <v>274</v>
      </c>
      <c r="U260" s="3">
        <v>0</v>
      </c>
      <c r="V260" s="3">
        <v>15</v>
      </c>
      <c r="W260" s="3">
        <v>24</v>
      </c>
    </row>
    <row r="261" spans="1:23" ht="11.25" customHeight="1" x14ac:dyDescent="0.25">
      <c r="A261" s="3" t="s">
        <v>21</v>
      </c>
      <c r="B261" s="3" t="s">
        <v>35</v>
      </c>
      <c r="C261" s="3" t="s">
        <v>39</v>
      </c>
      <c r="D261" s="3" t="s">
        <v>42</v>
      </c>
      <c r="E261" s="3" t="s">
        <v>25</v>
      </c>
      <c r="F261" s="3" t="s">
        <v>25</v>
      </c>
      <c r="G261" s="3" t="s">
        <v>25</v>
      </c>
      <c r="H261" s="3" t="s">
        <v>37</v>
      </c>
      <c r="I261" s="6">
        <v>44409</v>
      </c>
      <c r="J261" s="4">
        <v>0</v>
      </c>
      <c r="K261" s="4">
        <v>0</v>
      </c>
      <c r="L261" s="4">
        <v>0.193</v>
      </c>
      <c r="M261" s="4">
        <v>0.18528</v>
      </c>
      <c r="N261" s="4">
        <v>0.193</v>
      </c>
      <c r="O261" s="4">
        <v>0.18528</v>
      </c>
      <c r="P261" s="4">
        <v>0</v>
      </c>
      <c r="Q261" s="3" t="s">
        <v>26</v>
      </c>
      <c r="R261" s="3">
        <v>0</v>
      </c>
      <c r="S261" s="3" t="s">
        <v>154</v>
      </c>
      <c r="T261" s="3" t="s">
        <v>275</v>
      </c>
      <c r="U261" s="3">
        <v>0</v>
      </c>
      <c r="V261" s="3">
        <v>15</v>
      </c>
      <c r="W261" s="3">
        <v>24</v>
      </c>
    </row>
    <row r="262" spans="1:23" ht="11.25" customHeight="1" x14ac:dyDescent="0.25">
      <c r="A262" s="3" t="s">
        <v>21</v>
      </c>
      <c r="B262" s="3" t="s">
        <v>35</v>
      </c>
      <c r="C262" s="3" t="s">
        <v>39</v>
      </c>
      <c r="D262" s="3" t="s">
        <v>42</v>
      </c>
      <c r="E262" s="3" t="s">
        <v>25</v>
      </c>
      <c r="F262" s="3" t="s">
        <v>25</v>
      </c>
      <c r="G262" s="3" t="s">
        <v>25</v>
      </c>
      <c r="H262" s="3" t="s">
        <v>37</v>
      </c>
      <c r="I262" s="6">
        <v>44440</v>
      </c>
      <c r="J262" s="4">
        <v>0</v>
      </c>
      <c r="K262" s="4">
        <v>0</v>
      </c>
      <c r="L262" s="4">
        <v>0.314</v>
      </c>
      <c r="M262" s="4">
        <v>0.30143999999999999</v>
      </c>
      <c r="N262" s="4">
        <v>0.314</v>
      </c>
      <c r="O262" s="4">
        <v>0.30143999999999999</v>
      </c>
      <c r="P262" s="4">
        <v>0</v>
      </c>
      <c r="Q262" s="3" t="s">
        <v>26</v>
      </c>
      <c r="R262" s="3">
        <v>0</v>
      </c>
      <c r="S262" s="3" t="s">
        <v>155</v>
      </c>
      <c r="T262" s="3" t="s">
        <v>276</v>
      </c>
      <c r="U262" s="3">
        <v>0</v>
      </c>
      <c r="V262" s="3">
        <v>15</v>
      </c>
      <c r="W262" s="3">
        <v>24</v>
      </c>
    </row>
    <row r="263" spans="1:23" ht="11.25" customHeight="1" x14ac:dyDescent="0.25">
      <c r="A263" s="3" t="s">
        <v>21</v>
      </c>
      <c r="B263" s="3" t="s">
        <v>35</v>
      </c>
      <c r="C263" s="3" t="s">
        <v>39</v>
      </c>
      <c r="D263" s="3" t="s">
        <v>42</v>
      </c>
      <c r="E263" s="3" t="s">
        <v>25</v>
      </c>
      <c r="F263" s="3" t="s">
        <v>25</v>
      </c>
      <c r="G263" s="3" t="s">
        <v>25</v>
      </c>
      <c r="H263" s="3" t="s">
        <v>37</v>
      </c>
      <c r="I263" s="6">
        <v>44470</v>
      </c>
      <c r="J263" s="4">
        <v>0</v>
      </c>
      <c r="K263" s="4">
        <v>0</v>
      </c>
      <c r="L263" s="4">
        <v>1.246</v>
      </c>
      <c r="M263" s="4">
        <v>1.1961599999999999</v>
      </c>
      <c r="N263" s="4">
        <v>1.246</v>
      </c>
      <c r="O263" s="4">
        <v>1.1961599999999999</v>
      </c>
      <c r="P263" s="4">
        <v>0</v>
      </c>
      <c r="Q263" s="3" t="s">
        <v>26</v>
      </c>
      <c r="R263" s="3">
        <v>0</v>
      </c>
      <c r="S263" s="3" t="s">
        <v>156</v>
      </c>
      <c r="T263" s="3" t="s">
        <v>277</v>
      </c>
      <c r="U263" s="3">
        <v>0</v>
      </c>
      <c r="V263" s="3">
        <v>15</v>
      </c>
      <c r="W263" s="3">
        <v>24</v>
      </c>
    </row>
    <row r="264" spans="1:23" ht="11.25" customHeight="1" x14ac:dyDescent="0.25">
      <c r="A264" s="3" t="s">
        <v>21</v>
      </c>
      <c r="B264" s="3" t="s">
        <v>35</v>
      </c>
      <c r="C264" s="3" t="s">
        <v>39</v>
      </c>
      <c r="D264" s="3" t="s">
        <v>42</v>
      </c>
      <c r="E264" s="3" t="s">
        <v>25</v>
      </c>
      <c r="F264" s="3" t="s">
        <v>25</v>
      </c>
      <c r="G264" s="3" t="s">
        <v>25</v>
      </c>
      <c r="H264" s="3" t="s">
        <v>37</v>
      </c>
      <c r="I264" s="6">
        <v>44501</v>
      </c>
      <c r="J264" s="4">
        <v>0</v>
      </c>
      <c r="K264" s="4">
        <v>0</v>
      </c>
      <c r="L264" s="4">
        <v>2.6160000000000001</v>
      </c>
      <c r="M264" s="4">
        <v>2.5113599999999998</v>
      </c>
      <c r="N264" s="4">
        <v>2.6160000000000001</v>
      </c>
      <c r="O264" s="4">
        <v>2.5113599999999998</v>
      </c>
      <c r="P264" s="4">
        <v>0</v>
      </c>
      <c r="Q264" s="3" t="s">
        <v>26</v>
      </c>
      <c r="R264" s="3">
        <v>0</v>
      </c>
      <c r="S264" s="3" t="s">
        <v>157</v>
      </c>
      <c r="T264" s="3" t="s">
        <v>278</v>
      </c>
      <c r="U264" s="3">
        <v>0</v>
      </c>
      <c r="V264" s="3">
        <v>15</v>
      </c>
      <c r="W264" s="3">
        <v>24</v>
      </c>
    </row>
    <row r="265" spans="1:23" ht="11.25" customHeight="1" x14ac:dyDescent="0.25">
      <c r="A265" s="3" t="s">
        <v>21</v>
      </c>
      <c r="B265" s="3" t="s">
        <v>35</v>
      </c>
      <c r="C265" s="3" t="s">
        <v>39</v>
      </c>
      <c r="D265" s="3" t="s">
        <v>42</v>
      </c>
      <c r="E265" s="3" t="s">
        <v>25</v>
      </c>
      <c r="F265" s="3" t="s">
        <v>25</v>
      </c>
      <c r="G265" s="3" t="s">
        <v>25</v>
      </c>
      <c r="H265" s="3" t="s">
        <v>37</v>
      </c>
      <c r="I265" s="6">
        <v>44531</v>
      </c>
      <c r="J265" s="4">
        <v>0</v>
      </c>
      <c r="K265" s="4">
        <v>0</v>
      </c>
      <c r="L265" s="4">
        <v>3.5259999999999998</v>
      </c>
      <c r="M265" s="4">
        <v>3.38496</v>
      </c>
      <c r="N265" s="4">
        <v>3.5259999999999998</v>
      </c>
      <c r="O265" s="4">
        <v>3.38496</v>
      </c>
      <c r="P265" s="4">
        <v>0</v>
      </c>
      <c r="Q265" s="3" t="s">
        <v>26</v>
      </c>
      <c r="R265" s="3">
        <v>0</v>
      </c>
      <c r="S265" s="3" t="s">
        <v>158</v>
      </c>
      <c r="T265" s="3" t="s">
        <v>279</v>
      </c>
      <c r="U265" s="3">
        <v>0</v>
      </c>
      <c r="V265" s="3">
        <v>15</v>
      </c>
      <c r="W265" s="3">
        <v>24</v>
      </c>
    </row>
    <row r="266" spans="1:23" ht="11.25" customHeight="1" x14ac:dyDescent="0.25">
      <c r="A266" s="3" t="s">
        <v>21</v>
      </c>
      <c r="B266" s="3" t="s">
        <v>35</v>
      </c>
      <c r="C266" s="3" t="s">
        <v>39</v>
      </c>
      <c r="D266" s="3" t="s">
        <v>42</v>
      </c>
      <c r="E266" s="3" t="s">
        <v>25</v>
      </c>
      <c r="F266" s="3" t="s">
        <v>25</v>
      </c>
      <c r="G266" s="3" t="s">
        <v>25</v>
      </c>
      <c r="H266" s="3" t="s">
        <v>37</v>
      </c>
      <c r="I266" s="6">
        <v>44562</v>
      </c>
      <c r="J266" s="4">
        <v>0</v>
      </c>
      <c r="K266" s="4">
        <v>0</v>
      </c>
      <c r="L266" s="4">
        <v>3.8039999999999998</v>
      </c>
      <c r="M266" s="4">
        <v>3.65184</v>
      </c>
      <c r="N266" s="4">
        <v>3.8039999999999998</v>
      </c>
      <c r="O266" s="4">
        <v>3.65184</v>
      </c>
      <c r="P266" s="4">
        <v>0</v>
      </c>
      <c r="Q266" s="3" t="s">
        <v>26</v>
      </c>
      <c r="R266" s="3">
        <v>0</v>
      </c>
      <c r="S266" s="3" t="s">
        <v>159</v>
      </c>
      <c r="T266" s="3" t="s">
        <v>280</v>
      </c>
      <c r="U266" s="3">
        <v>0</v>
      </c>
      <c r="V266" s="3">
        <v>15</v>
      </c>
      <c r="W266" s="3">
        <v>24</v>
      </c>
    </row>
    <row r="267" spans="1:23" ht="11.25" customHeight="1" x14ac:dyDescent="0.25">
      <c r="A267" s="3" t="s">
        <v>21</v>
      </c>
      <c r="B267" s="3" t="s">
        <v>35</v>
      </c>
      <c r="C267" s="3" t="s">
        <v>39</v>
      </c>
      <c r="D267" s="3" t="s">
        <v>42</v>
      </c>
      <c r="E267" s="3" t="s">
        <v>25</v>
      </c>
      <c r="F267" s="3" t="s">
        <v>25</v>
      </c>
      <c r="G267" s="3" t="s">
        <v>25</v>
      </c>
      <c r="H267" s="3" t="s">
        <v>37</v>
      </c>
      <c r="I267" s="6">
        <v>44593</v>
      </c>
      <c r="J267" s="4">
        <v>0</v>
      </c>
      <c r="K267" s="4">
        <v>0</v>
      </c>
      <c r="L267" s="4">
        <v>3.0819999999999999</v>
      </c>
      <c r="M267" s="4">
        <v>2.95872</v>
      </c>
      <c r="N267" s="4">
        <v>3.0819999999999999</v>
      </c>
      <c r="O267" s="4">
        <v>2.95872</v>
      </c>
      <c r="P267" s="4">
        <v>0</v>
      </c>
      <c r="Q267" s="3" t="s">
        <v>26</v>
      </c>
      <c r="R267" s="3">
        <v>0</v>
      </c>
      <c r="S267" s="3" t="s">
        <v>160</v>
      </c>
      <c r="T267" s="3" t="s">
        <v>281</v>
      </c>
      <c r="U267" s="3">
        <v>0</v>
      </c>
      <c r="V267" s="3">
        <v>15</v>
      </c>
      <c r="W267" s="3">
        <v>24</v>
      </c>
    </row>
    <row r="268" spans="1:23" ht="11.25" customHeight="1" x14ac:dyDescent="0.25">
      <c r="A268" s="3" t="s">
        <v>21</v>
      </c>
      <c r="B268" s="3" t="s">
        <v>35</v>
      </c>
      <c r="C268" s="3" t="s">
        <v>39</v>
      </c>
      <c r="D268" s="3" t="s">
        <v>42</v>
      </c>
      <c r="E268" s="3" t="s">
        <v>25</v>
      </c>
      <c r="F268" s="3" t="s">
        <v>25</v>
      </c>
      <c r="G268" s="3" t="s">
        <v>25</v>
      </c>
      <c r="H268" s="3" t="s">
        <v>37</v>
      </c>
      <c r="I268" s="6">
        <v>44621</v>
      </c>
      <c r="J268" s="4">
        <v>0</v>
      </c>
      <c r="K268" s="4">
        <v>0</v>
      </c>
      <c r="L268" s="4">
        <v>2.762</v>
      </c>
      <c r="M268" s="4">
        <v>2.6515200000000001</v>
      </c>
      <c r="N268" s="4">
        <v>2.762</v>
      </c>
      <c r="O268" s="4">
        <v>2.6515200000000001</v>
      </c>
      <c r="P268" s="4">
        <v>0</v>
      </c>
      <c r="Q268" s="3" t="s">
        <v>26</v>
      </c>
      <c r="R268" s="3">
        <v>0</v>
      </c>
      <c r="S268" s="3" t="s">
        <v>161</v>
      </c>
      <c r="T268" s="3" t="s">
        <v>282</v>
      </c>
      <c r="U268" s="3">
        <v>0</v>
      </c>
      <c r="V268" s="3">
        <v>15</v>
      </c>
      <c r="W268" s="3">
        <v>24</v>
      </c>
    </row>
    <row r="269" spans="1:23" ht="11.25" customHeight="1" x14ac:dyDescent="0.25">
      <c r="A269" s="3" t="s">
        <v>21</v>
      </c>
      <c r="B269" s="3" t="s">
        <v>35</v>
      </c>
      <c r="C269" s="3" t="s">
        <v>39</v>
      </c>
      <c r="D269" s="3" t="s">
        <v>42</v>
      </c>
      <c r="E269" s="3" t="s">
        <v>25</v>
      </c>
      <c r="F269" s="3" t="s">
        <v>25</v>
      </c>
      <c r="G269" s="3" t="s">
        <v>25</v>
      </c>
      <c r="H269" s="3" t="s">
        <v>37</v>
      </c>
      <c r="I269" s="6">
        <v>44652</v>
      </c>
      <c r="J269" s="4">
        <v>0</v>
      </c>
      <c r="K269" s="4">
        <v>0</v>
      </c>
      <c r="L269" s="4">
        <v>1.7370000000000001</v>
      </c>
      <c r="M269" s="4">
        <v>1.6675199999999999</v>
      </c>
      <c r="N269" s="4">
        <v>1.7370000000000001</v>
      </c>
      <c r="O269" s="4">
        <v>1.6675199999999999</v>
      </c>
      <c r="P269" s="4">
        <v>0</v>
      </c>
      <c r="Q269" s="3" t="s">
        <v>26</v>
      </c>
      <c r="R269" s="3">
        <v>0</v>
      </c>
      <c r="S269" s="3" t="s">
        <v>162</v>
      </c>
      <c r="T269" s="3" t="s">
        <v>283</v>
      </c>
      <c r="U269" s="3">
        <v>0</v>
      </c>
      <c r="V269" s="3">
        <v>15</v>
      </c>
      <c r="W269" s="3">
        <v>24</v>
      </c>
    </row>
    <row r="270" spans="1:23" ht="11.25" customHeight="1" x14ac:dyDescent="0.25">
      <c r="A270" s="3" t="s">
        <v>21</v>
      </c>
      <c r="B270" s="3" t="s">
        <v>35</v>
      </c>
      <c r="C270" s="3" t="s">
        <v>39</v>
      </c>
      <c r="D270" s="3" t="s">
        <v>42</v>
      </c>
      <c r="E270" s="3" t="s">
        <v>25</v>
      </c>
      <c r="F270" s="3" t="s">
        <v>25</v>
      </c>
      <c r="G270" s="3" t="s">
        <v>25</v>
      </c>
      <c r="H270" s="3" t="s">
        <v>37</v>
      </c>
      <c r="I270" s="6">
        <v>44682</v>
      </c>
      <c r="J270" s="4">
        <v>0</v>
      </c>
      <c r="K270" s="4">
        <v>0</v>
      </c>
      <c r="L270" s="4">
        <v>1.429</v>
      </c>
      <c r="M270" s="4">
        <v>1.3718399999999999</v>
      </c>
      <c r="N270" s="4">
        <v>1.429</v>
      </c>
      <c r="O270" s="4">
        <v>1.3718399999999999</v>
      </c>
      <c r="P270" s="4">
        <v>0</v>
      </c>
      <c r="Q270" s="3" t="s">
        <v>26</v>
      </c>
      <c r="R270" s="3">
        <v>0</v>
      </c>
      <c r="S270" s="3" t="s">
        <v>163</v>
      </c>
      <c r="T270" s="3" t="s">
        <v>284</v>
      </c>
      <c r="U270" s="3">
        <v>0</v>
      </c>
      <c r="V270" s="3">
        <v>15</v>
      </c>
      <c r="W270" s="3">
        <v>24</v>
      </c>
    </row>
    <row r="271" spans="1:23" ht="11.25" customHeight="1" x14ac:dyDescent="0.25">
      <c r="A271" s="3" t="s">
        <v>21</v>
      </c>
      <c r="B271" s="3" t="s">
        <v>35</v>
      </c>
      <c r="C271" s="3" t="s">
        <v>39</v>
      </c>
      <c r="D271" s="3" t="s">
        <v>42</v>
      </c>
      <c r="E271" s="3" t="s">
        <v>25</v>
      </c>
      <c r="F271" s="3" t="s">
        <v>25</v>
      </c>
      <c r="G271" s="3" t="s">
        <v>25</v>
      </c>
      <c r="H271" s="3" t="s">
        <v>37</v>
      </c>
      <c r="I271" s="6">
        <v>44713</v>
      </c>
      <c r="J271" s="4">
        <v>0</v>
      </c>
      <c r="K271" s="4">
        <v>0</v>
      </c>
      <c r="L271" s="4">
        <v>1.288</v>
      </c>
      <c r="M271" s="4">
        <v>1.23648</v>
      </c>
      <c r="N271" s="4">
        <v>1.288</v>
      </c>
      <c r="O271" s="4">
        <v>1.23648</v>
      </c>
      <c r="P271" s="4">
        <v>0</v>
      </c>
      <c r="Q271" s="3" t="s">
        <v>26</v>
      </c>
      <c r="R271" s="3">
        <v>0</v>
      </c>
      <c r="S271" s="3" t="s">
        <v>164</v>
      </c>
      <c r="T271" s="3" t="s">
        <v>285</v>
      </c>
      <c r="U271" s="3">
        <v>0</v>
      </c>
      <c r="V271" s="3">
        <v>15</v>
      </c>
      <c r="W271" s="3">
        <v>24</v>
      </c>
    </row>
    <row r="272" spans="1:23" ht="11.25" customHeight="1" x14ac:dyDescent="0.25">
      <c r="A272" s="3" t="s">
        <v>21</v>
      </c>
      <c r="B272" s="3" t="s">
        <v>22</v>
      </c>
      <c r="C272" s="3" t="s">
        <v>23</v>
      </c>
      <c r="D272" s="3" t="s">
        <v>24</v>
      </c>
      <c r="E272" s="3" t="s">
        <v>24</v>
      </c>
      <c r="F272" s="3" t="s">
        <v>25</v>
      </c>
      <c r="G272" s="3" t="s">
        <v>25</v>
      </c>
      <c r="H272" s="3" t="s">
        <v>25</v>
      </c>
      <c r="I272" s="6">
        <v>44378</v>
      </c>
      <c r="J272" s="4">
        <v>0</v>
      </c>
      <c r="K272" s="4">
        <v>0</v>
      </c>
      <c r="L272" s="4">
        <v>373.61099999999999</v>
      </c>
      <c r="M272" s="4">
        <v>373.61099999999999</v>
      </c>
      <c r="N272" s="4">
        <v>373.61099999999999</v>
      </c>
      <c r="O272" s="4">
        <v>373.61099999999999</v>
      </c>
      <c r="P272" s="4">
        <v>2299</v>
      </c>
      <c r="Q272" s="3" t="s">
        <v>26</v>
      </c>
      <c r="R272" s="3">
        <v>0</v>
      </c>
      <c r="S272" s="3" t="s">
        <v>165</v>
      </c>
      <c r="T272" s="3" t="s">
        <v>290</v>
      </c>
      <c r="U272" s="3">
        <v>0</v>
      </c>
      <c r="V272" s="3">
        <v>20</v>
      </c>
      <c r="W272" s="3">
        <v>62</v>
      </c>
    </row>
    <row r="273" spans="1:23" ht="11.25" customHeight="1" x14ac:dyDescent="0.25">
      <c r="A273" s="3" t="s">
        <v>27</v>
      </c>
      <c r="B273" s="3" t="s">
        <v>22</v>
      </c>
      <c r="C273" s="3" t="s">
        <v>23</v>
      </c>
      <c r="D273" s="3" t="s">
        <v>24</v>
      </c>
      <c r="E273" s="3" t="s">
        <v>24</v>
      </c>
      <c r="F273" s="3" t="s">
        <v>25</v>
      </c>
      <c r="G273" s="3" t="s">
        <v>25</v>
      </c>
      <c r="H273" s="3" t="s">
        <v>25</v>
      </c>
      <c r="I273" s="6">
        <v>44378</v>
      </c>
      <c r="J273" s="4">
        <v>0</v>
      </c>
      <c r="K273" s="4">
        <v>0</v>
      </c>
      <c r="L273" s="4">
        <v>-1.41</v>
      </c>
      <c r="M273" s="4">
        <v>-1.41</v>
      </c>
      <c r="N273" s="4">
        <v>-1.41</v>
      </c>
      <c r="O273" s="4">
        <v>-1.41</v>
      </c>
      <c r="P273" s="4">
        <v>0</v>
      </c>
      <c r="Q273" s="3" t="s">
        <v>26</v>
      </c>
      <c r="R273" s="3">
        <v>0</v>
      </c>
      <c r="S273" s="3" t="s">
        <v>165</v>
      </c>
      <c r="T273" s="3" t="s">
        <v>290</v>
      </c>
      <c r="U273" s="3">
        <v>0</v>
      </c>
      <c r="V273" s="3">
        <v>20</v>
      </c>
      <c r="W273" s="3">
        <v>62</v>
      </c>
    </row>
    <row r="274" spans="1:23" ht="11.25" customHeight="1" x14ac:dyDescent="0.25">
      <c r="A274" s="3" t="s">
        <v>28</v>
      </c>
      <c r="B274" s="3" t="s">
        <v>22</v>
      </c>
      <c r="C274" s="3" t="s">
        <v>23</v>
      </c>
      <c r="D274" s="3" t="s">
        <v>24</v>
      </c>
      <c r="E274" s="3" t="s">
        <v>24</v>
      </c>
      <c r="F274" s="3" t="s">
        <v>25</v>
      </c>
      <c r="G274" s="3" t="s">
        <v>25</v>
      </c>
      <c r="H274" s="3" t="s">
        <v>25</v>
      </c>
      <c r="I274" s="6">
        <v>44378</v>
      </c>
      <c r="J274" s="4">
        <v>0</v>
      </c>
      <c r="K274" s="4">
        <v>0</v>
      </c>
      <c r="L274" s="4">
        <v>1.0149999999999999</v>
      </c>
      <c r="M274" s="4">
        <v>1.0149999999999999</v>
      </c>
      <c r="N274" s="4">
        <v>1.0149999999999999</v>
      </c>
      <c r="O274" s="4">
        <v>1.0149999999999999</v>
      </c>
      <c r="P274" s="4">
        <v>14</v>
      </c>
      <c r="Q274" s="3" t="s">
        <v>26</v>
      </c>
      <c r="R274" s="3">
        <v>0</v>
      </c>
      <c r="S274" s="3" t="s">
        <v>165</v>
      </c>
      <c r="T274" s="3" t="s">
        <v>290</v>
      </c>
      <c r="U274" s="3">
        <v>0</v>
      </c>
      <c r="V274" s="3">
        <v>20</v>
      </c>
      <c r="W274" s="3">
        <v>62</v>
      </c>
    </row>
    <row r="275" spans="1:23" ht="11.25" customHeight="1" x14ac:dyDescent="0.25">
      <c r="A275" s="3" t="s">
        <v>21</v>
      </c>
      <c r="B275" s="3" t="s">
        <v>22</v>
      </c>
      <c r="C275" s="3" t="s">
        <v>23</v>
      </c>
      <c r="D275" s="3" t="s">
        <v>24</v>
      </c>
      <c r="E275" s="3" t="s">
        <v>24</v>
      </c>
      <c r="F275" s="3" t="s">
        <v>25</v>
      </c>
      <c r="G275" s="3" t="s">
        <v>25</v>
      </c>
      <c r="H275" s="3" t="s">
        <v>25</v>
      </c>
      <c r="I275" s="6">
        <v>44409</v>
      </c>
      <c r="J275" s="4">
        <v>0</v>
      </c>
      <c r="K275" s="4">
        <v>0</v>
      </c>
      <c r="L275" s="4">
        <v>390.56099999999998</v>
      </c>
      <c r="M275" s="4">
        <v>390.56099999999998</v>
      </c>
      <c r="N275" s="4">
        <v>390.56099999999998</v>
      </c>
      <c r="O275" s="4">
        <v>390.56099999999998</v>
      </c>
      <c r="P275" s="4">
        <v>2325</v>
      </c>
      <c r="Q275" s="3" t="s">
        <v>26</v>
      </c>
      <c r="R275" s="3">
        <v>0</v>
      </c>
      <c r="S275" s="3" t="s">
        <v>166</v>
      </c>
      <c r="T275" s="3" t="s">
        <v>291</v>
      </c>
      <c r="U275" s="3">
        <v>0</v>
      </c>
      <c r="V275" s="3">
        <v>20</v>
      </c>
      <c r="W275" s="3">
        <v>62</v>
      </c>
    </row>
    <row r="276" spans="1:23" ht="11.25" customHeight="1" x14ac:dyDescent="0.25">
      <c r="A276" s="3" t="s">
        <v>27</v>
      </c>
      <c r="B276" s="3" t="s">
        <v>22</v>
      </c>
      <c r="C276" s="3" t="s">
        <v>23</v>
      </c>
      <c r="D276" s="3" t="s">
        <v>24</v>
      </c>
      <c r="E276" s="3" t="s">
        <v>24</v>
      </c>
      <c r="F276" s="3" t="s">
        <v>25</v>
      </c>
      <c r="G276" s="3" t="s">
        <v>25</v>
      </c>
      <c r="H276" s="3" t="s">
        <v>25</v>
      </c>
      <c r="I276" s="6">
        <v>44409</v>
      </c>
      <c r="J276" s="4">
        <v>0</v>
      </c>
      <c r="K276" s="4">
        <v>0</v>
      </c>
      <c r="L276" s="4">
        <v>-4.266</v>
      </c>
      <c r="M276" s="4">
        <v>-4.266</v>
      </c>
      <c r="N276" s="4">
        <v>-4.266</v>
      </c>
      <c r="O276" s="4">
        <v>-4.266</v>
      </c>
      <c r="P276" s="4">
        <v>0</v>
      </c>
      <c r="Q276" s="3" t="s">
        <v>26</v>
      </c>
      <c r="R276" s="3">
        <v>0</v>
      </c>
      <c r="S276" s="3" t="s">
        <v>166</v>
      </c>
      <c r="T276" s="3" t="s">
        <v>291</v>
      </c>
      <c r="U276" s="3">
        <v>0</v>
      </c>
      <c r="V276" s="3">
        <v>20</v>
      </c>
      <c r="W276" s="3">
        <v>62</v>
      </c>
    </row>
    <row r="277" spans="1:23" ht="11.25" customHeight="1" x14ac:dyDescent="0.25">
      <c r="A277" s="3" t="s">
        <v>21</v>
      </c>
      <c r="B277" s="3" t="s">
        <v>22</v>
      </c>
      <c r="C277" s="3" t="s">
        <v>23</v>
      </c>
      <c r="D277" s="3" t="s">
        <v>24</v>
      </c>
      <c r="E277" s="3" t="s">
        <v>24</v>
      </c>
      <c r="F277" s="3" t="s">
        <v>25</v>
      </c>
      <c r="G277" s="3" t="s">
        <v>25</v>
      </c>
      <c r="H277" s="3" t="s">
        <v>25</v>
      </c>
      <c r="I277" s="6">
        <v>44440</v>
      </c>
      <c r="J277" s="4">
        <v>0</v>
      </c>
      <c r="K277" s="4">
        <v>0</v>
      </c>
      <c r="L277" s="4">
        <v>364.50099999999998</v>
      </c>
      <c r="M277" s="4">
        <v>364.50099999999998</v>
      </c>
      <c r="N277" s="4">
        <v>364.50099999999998</v>
      </c>
      <c r="O277" s="4">
        <v>364.50099999999998</v>
      </c>
      <c r="P277" s="4">
        <v>2331</v>
      </c>
      <c r="Q277" s="3" t="s">
        <v>26</v>
      </c>
      <c r="R277" s="3">
        <v>0</v>
      </c>
      <c r="S277" s="3" t="s">
        <v>167</v>
      </c>
      <c r="T277" s="3" t="s">
        <v>292</v>
      </c>
      <c r="U277" s="3">
        <v>0</v>
      </c>
      <c r="V277" s="3">
        <v>20</v>
      </c>
      <c r="W277" s="3">
        <v>62</v>
      </c>
    </row>
    <row r="278" spans="1:23" ht="11.25" customHeight="1" x14ac:dyDescent="0.25">
      <c r="A278" s="3" t="s">
        <v>27</v>
      </c>
      <c r="B278" s="3" t="s">
        <v>22</v>
      </c>
      <c r="C278" s="3" t="s">
        <v>23</v>
      </c>
      <c r="D278" s="3" t="s">
        <v>24</v>
      </c>
      <c r="E278" s="3" t="s">
        <v>24</v>
      </c>
      <c r="F278" s="3" t="s">
        <v>25</v>
      </c>
      <c r="G278" s="3" t="s">
        <v>25</v>
      </c>
      <c r="H278" s="3" t="s">
        <v>25</v>
      </c>
      <c r="I278" s="6">
        <v>44440</v>
      </c>
      <c r="J278" s="4">
        <v>0</v>
      </c>
      <c r="K278" s="4">
        <v>0</v>
      </c>
      <c r="L278" s="4">
        <v>-1.931</v>
      </c>
      <c r="M278" s="4">
        <v>-1.931</v>
      </c>
      <c r="N278" s="4">
        <v>-1.931</v>
      </c>
      <c r="O278" s="4">
        <v>-1.931</v>
      </c>
      <c r="P278" s="4">
        <v>0</v>
      </c>
      <c r="Q278" s="3" t="s">
        <v>26</v>
      </c>
      <c r="R278" s="3">
        <v>0</v>
      </c>
      <c r="S278" s="3" t="s">
        <v>167</v>
      </c>
      <c r="T278" s="3" t="s">
        <v>292</v>
      </c>
      <c r="U278" s="3">
        <v>0</v>
      </c>
      <c r="V278" s="3">
        <v>20</v>
      </c>
      <c r="W278" s="3">
        <v>62</v>
      </c>
    </row>
    <row r="279" spans="1:23" ht="11.25" customHeight="1" x14ac:dyDescent="0.25">
      <c r="A279" s="3" t="s">
        <v>28</v>
      </c>
      <c r="B279" s="3" t="s">
        <v>22</v>
      </c>
      <c r="C279" s="3" t="s">
        <v>23</v>
      </c>
      <c r="D279" s="3" t="s">
        <v>24</v>
      </c>
      <c r="E279" s="3" t="s">
        <v>24</v>
      </c>
      <c r="F279" s="3" t="s">
        <v>25</v>
      </c>
      <c r="G279" s="3" t="s">
        <v>25</v>
      </c>
      <c r="H279" s="3" t="s">
        <v>25</v>
      </c>
      <c r="I279" s="6">
        <v>44440</v>
      </c>
      <c r="J279" s="4">
        <v>0</v>
      </c>
      <c r="K279" s="4">
        <v>0</v>
      </c>
      <c r="L279" s="4">
        <v>1.6839999999999999</v>
      </c>
      <c r="M279" s="4">
        <v>1.6839999999999999</v>
      </c>
      <c r="N279" s="4">
        <v>1.6839999999999999</v>
      </c>
      <c r="O279" s="4">
        <v>1.6839999999999999</v>
      </c>
      <c r="P279" s="4">
        <v>20</v>
      </c>
      <c r="Q279" s="3" t="s">
        <v>26</v>
      </c>
      <c r="R279" s="3">
        <v>0</v>
      </c>
      <c r="S279" s="3" t="s">
        <v>167</v>
      </c>
      <c r="T279" s="3" t="s">
        <v>292</v>
      </c>
      <c r="U279" s="3">
        <v>0</v>
      </c>
      <c r="V279" s="3">
        <v>20</v>
      </c>
      <c r="W279" s="3">
        <v>62</v>
      </c>
    </row>
    <row r="280" spans="1:23" ht="11.25" customHeight="1" x14ac:dyDescent="0.25">
      <c r="A280" s="3" t="s">
        <v>21</v>
      </c>
      <c r="B280" s="3" t="s">
        <v>22</v>
      </c>
      <c r="C280" s="3" t="s">
        <v>23</v>
      </c>
      <c r="D280" s="3" t="s">
        <v>24</v>
      </c>
      <c r="E280" s="3" t="s">
        <v>24</v>
      </c>
      <c r="F280" s="3" t="s">
        <v>25</v>
      </c>
      <c r="G280" s="3" t="s">
        <v>25</v>
      </c>
      <c r="H280" s="3" t="s">
        <v>25</v>
      </c>
      <c r="I280" s="6">
        <v>44470</v>
      </c>
      <c r="J280" s="4">
        <v>0</v>
      </c>
      <c r="K280" s="4">
        <v>0</v>
      </c>
      <c r="L280" s="4">
        <v>386.245</v>
      </c>
      <c r="M280" s="4">
        <v>386.245</v>
      </c>
      <c r="N280" s="4">
        <v>386.245</v>
      </c>
      <c r="O280" s="4">
        <v>386.245</v>
      </c>
      <c r="P280" s="4">
        <v>2342</v>
      </c>
      <c r="Q280" s="3" t="s">
        <v>26</v>
      </c>
      <c r="R280" s="3">
        <v>0</v>
      </c>
      <c r="S280" s="3" t="s">
        <v>168</v>
      </c>
      <c r="T280" s="3" t="s">
        <v>293</v>
      </c>
      <c r="U280" s="3">
        <v>0</v>
      </c>
      <c r="V280" s="3">
        <v>20</v>
      </c>
      <c r="W280" s="3">
        <v>62</v>
      </c>
    </row>
    <row r="281" spans="1:23" ht="11.25" customHeight="1" x14ac:dyDescent="0.25">
      <c r="A281" s="3" t="s">
        <v>27</v>
      </c>
      <c r="B281" s="3" t="s">
        <v>22</v>
      </c>
      <c r="C281" s="3" t="s">
        <v>23</v>
      </c>
      <c r="D281" s="3" t="s">
        <v>24</v>
      </c>
      <c r="E281" s="3" t="s">
        <v>24</v>
      </c>
      <c r="F281" s="3" t="s">
        <v>25</v>
      </c>
      <c r="G281" s="3" t="s">
        <v>25</v>
      </c>
      <c r="H281" s="3" t="s">
        <v>25</v>
      </c>
      <c r="I281" s="6">
        <v>44470</v>
      </c>
      <c r="J281" s="4">
        <v>0</v>
      </c>
      <c r="K281" s="4">
        <v>0</v>
      </c>
      <c r="L281" s="4">
        <v>-4.8209999999999997</v>
      </c>
      <c r="M281" s="4">
        <v>-4.8209999999999997</v>
      </c>
      <c r="N281" s="4">
        <v>-4.8209999999999997</v>
      </c>
      <c r="O281" s="4">
        <v>-4.8209999999999997</v>
      </c>
      <c r="P281" s="4">
        <v>0</v>
      </c>
      <c r="Q281" s="3" t="s">
        <v>26</v>
      </c>
      <c r="R281" s="3">
        <v>0</v>
      </c>
      <c r="S281" s="3" t="s">
        <v>168</v>
      </c>
      <c r="T281" s="3" t="s">
        <v>293</v>
      </c>
      <c r="U281" s="3">
        <v>0</v>
      </c>
      <c r="V281" s="3">
        <v>20</v>
      </c>
      <c r="W281" s="3">
        <v>62</v>
      </c>
    </row>
    <row r="282" spans="1:23" ht="11.25" customHeight="1" x14ac:dyDescent="0.25">
      <c r="A282" s="3" t="s">
        <v>28</v>
      </c>
      <c r="B282" s="3" t="s">
        <v>22</v>
      </c>
      <c r="C282" s="3" t="s">
        <v>23</v>
      </c>
      <c r="D282" s="3" t="s">
        <v>24</v>
      </c>
      <c r="E282" s="3" t="s">
        <v>24</v>
      </c>
      <c r="F282" s="3" t="s">
        <v>25</v>
      </c>
      <c r="G282" s="3" t="s">
        <v>25</v>
      </c>
      <c r="H282" s="3" t="s">
        <v>25</v>
      </c>
      <c r="I282" s="6">
        <v>44470</v>
      </c>
      <c r="J282" s="4">
        <v>0</v>
      </c>
      <c r="K282" s="4">
        <v>0</v>
      </c>
      <c r="L282" s="4">
        <v>1.2250000000000001</v>
      </c>
      <c r="M282" s="4">
        <v>1.2250000000000001</v>
      </c>
      <c r="N282" s="4">
        <v>1.2250000000000001</v>
      </c>
      <c r="O282" s="4">
        <v>1.2250000000000001</v>
      </c>
      <c r="P282" s="4">
        <v>21</v>
      </c>
      <c r="Q282" s="3" t="s">
        <v>26</v>
      </c>
      <c r="R282" s="3">
        <v>0</v>
      </c>
      <c r="S282" s="3" t="s">
        <v>168</v>
      </c>
      <c r="T282" s="3" t="s">
        <v>293</v>
      </c>
      <c r="U282" s="3">
        <v>0</v>
      </c>
      <c r="V282" s="3">
        <v>20</v>
      </c>
      <c r="W282" s="3">
        <v>62</v>
      </c>
    </row>
    <row r="283" spans="1:23" ht="11.25" customHeight="1" x14ac:dyDescent="0.25">
      <c r="A283" s="3" t="s">
        <v>28</v>
      </c>
      <c r="B283" s="3" t="s">
        <v>22</v>
      </c>
      <c r="C283" s="3" t="s">
        <v>23</v>
      </c>
      <c r="D283" s="3" t="s">
        <v>24</v>
      </c>
      <c r="E283" s="3" t="s">
        <v>24</v>
      </c>
      <c r="F283" s="3" t="s">
        <v>25</v>
      </c>
      <c r="G283" s="3" t="s">
        <v>25</v>
      </c>
      <c r="H283" s="3" t="s">
        <v>25</v>
      </c>
      <c r="I283" s="6">
        <v>44470</v>
      </c>
      <c r="J283" s="4">
        <v>0</v>
      </c>
      <c r="K283" s="4">
        <v>0</v>
      </c>
      <c r="L283" s="4">
        <v>-0.26900000000000002</v>
      </c>
      <c r="M283" s="4">
        <v>-0.26900000000000002</v>
      </c>
      <c r="N283" s="4">
        <v>-0.26900000000000002</v>
      </c>
      <c r="O283" s="4">
        <v>-0.26900000000000002</v>
      </c>
      <c r="P283" s="4">
        <v>2</v>
      </c>
      <c r="Q283" s="3" t="s">
        <v>26</v>
      </c>
      <c r="R283" s="3">
        <v>0</v>
      </c>
      <c r="S283" s="3" t="s">
        <v>168</v>
      </c>
      <c r="T283" s="3" t="s">
        <v>293</v>
      </c>
      <c r="U283" s="3">
        <v>0</v>
      </c>
      <c r="V283" s="3">
        <v>20</v>
      </c>
      <c r="W283" s="3">
        <v>62</v>
      </c>
    </row>
    <row r="284" spans="1:23" ht="11.25" customHeight="1" x14ac:dyDescent="0.25">
      <c r="A284" s="3" t="s">
        <v>21</v>
      </c>
      <c r="B284" s="3" t="s">
        <v>22</v>
      </c>
      <c r="C284" s="3" t="s">
        <v>23</v>
      </c>
      <c r="D284" s="3" t="s">
        <v>24</v>
      </c>
      <c r="E284" s="3" t="s">
        <v>24</v>
      </c>
      <c r="F284" s="3" t="s">
        <v>25</v>
      </c>
      <c r="G284" s="3" t="s">
        <v>25</v>
      </c>
      <c r="H284" s="3" t="s">
        <v>25</v>
      </c>
      <c r="I284" s="6">
        <v>44501</v>
      </c>
      <c r="J284" s="4">
        <v>0</v>
      </c>
      <c r="K284" s="4">
        <v>0</v>
      </c>
      <c r="L284" s="4">
        <v>354.29500000000002</v>
      </c>
      <c r="M284" s="4">
        <v>354.29500000000002</v>
      </c>
      <c r="N284" s="4">
        <v>354.29500000000002</v>
      </c>
      <c r="O284" s="4">
        <v>354.29500000000002</v>
      </c>
      <c r="P284" s="4">
        <v>2347</v>
      </c>
      <c r="Q284" s="3" t="s">
        <v>26</v>
      </c>
      <c r="R284" s="3">
        <v>0</v>
      </c>
      <c r="S284" s="3" t="s">
        <v>169</v>
      </c>
      <c r="T284" s="3" t="s">
        <v>294</v>
      </c>
      <c r="U284" s="3">
        <v>0</v>
      </c>
      <c r="V284" s="3">
        <v>20</v>
      </c>
      <c r="W284" s="3">
        <v>62</v>
      </c>
    </row>
    <row r="285" spans="1:23" ht="11.25" customHeight="1" x14ac:dyDescent="0.25">
      <c r="A285" s="3" t="s">
        <v>27</v>
      </c>
      <c r="B285" s="3" t="s">
        <v>22</v>
      </c>
      <c r="C285" s="3" t="s">
        <v>23</v>
      </c>
      <c r="D285" s="3" t="s">
        <v>24</v>
      </c>
      <c r="E285" s="3" t="s">
        <v>24</v>
      </c>
      <c r="F285" s="3" t="s">
        <v>25</v>
      </c>
      <c r="G285" s="3" t="s">
        <v>25</v>
      </c>
      <c r="H285" s="3" t="s">
        <v>25</v>
      </c>
      <c r="I285" s="6">
        <v>44501</v>
      </c>
      <c r="J285" s="4">
        <v>0</v>
      </c>
      <c r="K285" s="4">
        <v>0</v>
      </c>
      <c r="L285" s="4">
        <v>-6.1360000000000001</v>
      </c>
      <c r="M285" s="4">
        <v>-6.1360000000000001</v>
      </c>
      <c r="N285" s="4">
        <v>-6.1360000000000001</v>
      </c>
      <c r="O285" s="4">
        <v>-6.1360000000000001</v>
      </c>
      <c r="P285" s="4">
        <v>0</v>
      </c>
      <c r="Q285" s="3" t="s">
        <v>26</v>
      </c>
      <c r="R285" s="3">
        <v>0</v>
      </c>
      <c r="S285" s="3" t="s">
        <v>169</v>
      </c>
      <c r="T285" s="3" t="s">
        <v>294</v>
      </c>
      <c r="U285" s="3">
        <v>0</v>
      </c>
      <c r="V285" s="3">
        <v>20</v>
      </c>
      <c r="W285" s="3">
        <v>62</v>
      </c>
    </row>
    <row r="286" spans="1:23" ht="11.25" customHeight="1" x14ac:dyDescent="0.25">
      <c r="A286" s="3" t="s">
        <v>28</v>
      </c>
      <c r="B286" s="3" t="s">
        <v>22</v>
      </c>
      <c r="C286" s="3" t="s">
        <v>23</v>
      </c>
      <c r="D286" s="3" t="s">
        <v>24</v>
      </c>
      <c r="E286" s="3" t="s">
        <v>24</v>
      </c>
      <c r="F286" s="3" t="s">
        <v>25</v>
      </c>
      <c r="G286" s="3" t="s">
        <v>25</v>
      </c>
      <c r="H286" s="3" t="s">
        <v>25</v>
      </c>
      <c r="I286" s="6">
        <v>44501</v>
      </c>
      <c r="J286" s="4">
        <v>0</v>
      </c>
      <c r="K286" s="4">
        <v>0</v>
      </c>
      <c r="L286" s="4">
        <v>1.427</v>
      </c>
      <c r="M286" s="4">
        <v>1.427</v>
      </c>
      <c r="N286" s="4">
        <v>1.427</v>
      </c>
      <c r="O286" s="4">
        <v>1.427</v>
      </c>
      <c r="P286" s="4">
        <v>23</v>
      </c>
      <c r="Q286" s="3" t="s">
        <v>26</v>
      </c>
      <c r="R286" s="3">
        <v>0</v>
      </c>
      <c r="S286" s="3" t="s">
        <v>169</v>
      </c>
      <c r="T286" s="3" t="s">
        <v>294</v>
      </c>
      <c r="U286" s="3">
        <v>0</v>
      </c>
      <c r="V286" s="3">
        <v>20</v>
      </c>
      <c r="W286" s="3">
        <v>62</v>
      </c>
    </row>
    <row r="287" spans="1:23" ht="11.25" customHeight="1" x14ac:dyDescent="0.25">
      <c r="A287" s="3" t="s">
        <v>21</v>
      </c>
      <c r="B287" s="3" t="s">
        <v>22</v>
      </c>
      <c r="C287" s="3" t="s">
        <v>23</v>
      </c>
      <c r="D287" s="3" t="s">
        <v>24</v>
      </c>
      <c r="E287" s="3" t="s">
        <v>24</v>
      </c>
      <c r="F287" s="3" t="s">
        <v>25</v>
      </c>
      <c r="G287" s="3" t="s">
        <v>25</v>
      </c>
      <c r="H287" s="3" t="s">
        <v>25</v>
      </c>
      <c r="I287" s="6">
        <v>44531</v>
      </c>
      <c r="J287" s="4">
        <v>0</v>
      </c>
      <c r="K287" s="4">
        <v>0</v>
      </c>
      <c r="L287" s="4">
        <v>418.39699999999999</v>
      </c>
      <c r="M287" s="4">
        <v>418.39699999999999</v>
      </c>
      <c r="N287" s="4">
        <v>418.39699999999999</v>
      </c>
      <c r="O287" s="4">
        <v>418.39699999999999</v>
      </c>
      <c r="P287" s="4">
        <v>2402</v>
      </c>
      <c r="Q287" s="3" t="s">
        <v>26</v>
      </c>
      <c r="R287" s="3">
        <v>0</v>
      </c>
      <c r="S287" s="3" t="s">
        <v>170</v>
      </c>
      <c r="T287" s="3" t="s">
        <v>295</v>
      </c>
      <c r="U287" s="3">
        <v>0</v>
      </c>
      <c r="V287" s="3">
        <v>20</v>
      </c>
      <c r="W287" s="3">
        <v>62</v>
      </c>
    </row>
    <row r="288" spans="1:23" ht="11.25" customHeight="1" x14ac:dyDescent="0.25">
      <c r="A288" s="3" t="s">
        <v>27</v>
      </c>
      <c r="B288" s="3" t="s">
        <v>22</v>
      </c>
      <c r="C288" s="3" t="s">
        <v>23</v>
      </c>
      <c r="D288" s="3" t="s">
        <v>24</v>
      </c>
      <c r="E288" s="3" t="s">
        <v>24</v>
      </c>
      <c r="F288" s="3" t="s">
        <v>25</v>
      </c>
      <c r="G288" s="3" t="s">
        <v>25</v>
      </c>
      <c r="H288" s="3" t="s">
        <v>25</v>
      </c>
      <c r="I288" s="6">
        <v>44531</v>
      </c>
      <c r="J288" s="4">
        <v>0</v>
      </c>
      <c r="K288" s="4">
        <v>0</v>
      </c>
      <c r="L288" s="4">
        <v>-1.6339999999999999</v>
      </c>
      <c r="M288" s="4">
        <v>-1.6339999999999999</v>
      </c>
      <c r="N288" s="4">
        <v>-1.6339999999999999</v>
      </c>
      <c r="O288" s="4">
        <v>-1.6339999999999999</v>
      </c>
      <c r="P288" s="4">
        <v>0</v>
      </c>
      <c r="Q288" s="3" t="s">
        <v>26</v>
      </c>
      <c r="R288" s="3">
        <v>0</v>
      </c>
      <c r="S288" s="3" t="s">
        <v>170</v>
      </c>
      <c r="T288" s="3" t="s">
        <v>295</v>
      </c>
      <c r="U288" s="3">
        <v>0</v>
      </c>
      <c r="V288" s="3">
        <v>20</v>
      </c>
      <c r="W288" s="3">
        <v>62</v>
      </c>
    </row>
    <row r="289" spans="1:23" ht="11.25" customHeight="1" x14ac:dyDescent="0.25">
      <c r="A289" s="3" t="s">
        <v>28</v>
      </c>
      <c r="B289" s="3" t="s">
        <v>22</v>
      </c>
      <c r="C289" s="3" t="s">
        <v>23</v>
      </c>
      <c r="D289" s="3" t="s">
        <v>24</v>
      </c>
      <c r="E289" s="3" t="s">
        <v>24</v>
      </c>
      <c r="F289" s="3" t="s">
        <v>25</v>
      </c>
      <c r="G289" s="3" t="s">
        <v>25</v>
      </c>
      <c r="H289" s="3" t="s">
        <v>25</v>
      </c>
      <c r="I289" s="6">
        <v>44531</v>
      </c>
      <c r="J289" s="4">
        <v>0</v>
      </c>
      <c r="K289" s="4">
        <v>0</v>
      </c>
      <c r="L289" s="4">
        <v>1.5840000000000001</v>
      </c>
      <c r="M289" s="4">
        <v>1.5840000000000001</v>
      </c>
      <c r="N289" s="4">
        <v>1.5840000000000001</v>
      </c>
      <c r="O289" s="4">
        <v>1.5840000000000001</v>
      </c>
      <c r="P289" s="4">
        <v>28</v>
      </c>
      <c r="Q289" s="3" t="s">
        <v>26</v>
      </c>
      <c r="R289" s="3">
        <v>0</v>
      </c>
      <c r="S289" s="3" t="s">
        <v>170</v>
      </c>
      <c r="T289" s="3" t="s">
        <v>295</v>
      </c>
      <c r="U289" s="3">
        <v>0</v>
      </c>
      <c r="V289" s="3">
        <v>20</v>
      </c>
      <c r="W289" s="3">
        <v>62</v>
      </c>
    </row>
    <row r="290" spans="1:23" ht="11.25" customHeight="1" x14ac:dyDescent="0.25">
      <c r="A290" s="3" t="s">
        <v>21</v>
      </c>
      <c r="B290" s="3" t="s">
        <v>22</v>
      </c>
      <c r="C290" s="3" t="s">
        <v>23</v>
      </c>
      <c r="D290" s="3" t="s">
        <v>24</v>
      </c>
      <c r="E290" s="3" t="s">
        <v>24</v>
      </c>
      <c r="F290" s="3" t="s">
        <v>25</v>
      </c>
      <c r="G290" s="3" t="s">
        <v>25</v>
      </c>
      <c r="H290" s="3" t="s">
        <v>25</v>
      </c>
      <c r="I290" s="6">
        <v>44562</v>
      </c>
      <c r="J290" s="4">
        <v>0</v>
      </c>
      <c r="K290" s="4">
        <v>0</v>
      </c>
      <c r="L290" s="4">
        <v>476.59500000000003</v>
      </c>
      <c r="M290" s="4">
        <v>476.59500000000003</v>
      </c>
      <c r="N290" s="4">
        <v>476.59500000000003</v>
      </c>
      <c r="O290" s="4">
        <v>476.59500000000003</v>
      </c>
      <c r="P290" s="4">
        <v>2381</v>
      </c>
      <c r="Q290" s="3" t="s">
        <v>26</v>
      </c>
      <c r="R290" s="3">
        <v>0</v>
      </c>
      <c r="S290" s="3" t="s">
        <v>171</v>
      </c>
      <c r="T290" s="3" t="s">
        <v>296</v>
      </c>
      <c r="U290" s="3">
        <v>0</v>
      </c>
      <c r="V290" s="3">
        <v>20</v>
      </c>
      <c r="W290" s="3">
        <v>62</v>
      </c>
    </row>
    <row r="291" spans="1:23" ht="11.25" customHeight="1" x14ac:dyDescent="0.25">
      <c r="A291" s="3" t="s">
        <v>27</v>
      </c>
      <c r="B291" s="3" t="s">
        <v>22</v>
      </c>
      <c r="C291" s="3" t="s">
        <v>23</v>
      </c>
      <c r="D291" s="3" t="s">
        <v>24</v>
      </c>
      <c r="E291" s="3" t="s">
        <v>24</v>
      </c>
      <c r="F291" s="3" t="s">
        <v>25</v>
      </c>
      <c r="G291" s="3" t="s">
        <v>25</v>
      </c>
      <c r="H291" s="3" t="s">
        <v>25</v>
      </c>
      <c r="I291" s="6">
        <v>44562</v>
      </c>
      <c r="J291" s="4">
        <v>0</v>
      </c>
      <c r="K291" s="4">
        <v>0</v>
      </c>
      <c r="L291" s="4">
        <v>-0.69899999999999995</v>
      </c>
      <c r="M291" s="4">
        <v>-0.69899999999999995</v>
      </c>
      <c r="N291" s="4">
        <v>-0.69899999999999995</v>
      </c>
      <c r="O291" s="4">
        <v>-0.69899999999999995</v>
      </c>
      <c r="P291" s="4">
        <v>0</v>
      </c>
      <c r="Q291" s="3" t="s">
        <v>26</v>
      </c>
      <c r="R291" s="3">
        <v>0</v>
      </c>
      <c r="S291" s="3" t="s">
        <v>171</v>
      </c>
      <c r="T291" s="3" t="s">
        <v>296</v>
      </c>
      <c r="U291" s="3">
        <v>0</v>
      </c>
      <c r="V291" s="3">
        <v>20</v>
      </c>
      <c r="W291" s="3">
        <v>62</v>
      </c>
    </row>
    <row r="292" spans="1:23" ht="11.25" customHeight="1" x14ac:dyDescent="0.25">
      <c r="A292" s="3" t="s">
        <v>28</v>
      </c>
      <c r="B292" s="3" t="s">
        <v>22</v>
      </c>
      <c r="C292" s="3" t="s">
        <v>23</v>
      </c>
      <c r="D292" s="3" t="s">
        <v>24</v>
      </c>
      <c r="E292" s="3" t="s">
        <v>24</v>
      </c>
      <c r="F292" s="3" t="s">
        <v>25</v>
      </c>
      <c r="G292" s="3" t="s">
        <v>25</v>
      </c>
      <c r="H292" s="3" t="s">
        <v>25</v>
      </c>
      <c r="I292" s="6">
        <v>44562</v>
      </c>
      <c r="J292" s="4">
        <v>0</v>
      </c>
      <c r="K292" s="4">
        <v>0</v>
      </c>
      <c r="L292" s="4">
        <v>3.1269999999999998</v>
      </c>
      <c r="M292" s="4">
        <v>3.1269999999999998</v>
      </c>
      <c r="N292" s="4">
        <v>3.1269999999999998</v>
      </c>
      <c r="O292" s="4">
        <v>3.1269999999999998</v>
      </c>
      <c r="P292" s="4">
        <v>31</v>
      </c>
      <c r="Q292" s="3" t="s">
        <v>26</v>
      </c>
      <c r="R292" s="3">
        <v>0</v>
      </c>
      <c r="S292" s="3" t="s">
        <v>171</v>
      </c>
      <c r="T292" s="3" t="s">
        <v>296</v>
      </c>
      <c r="U292" s="3">
        <v>0</v>
      </c>
      <c r="V292" s="3">
        <v>20</v>
      </c>
      <c r="W292" s="3">
        <v>62</v>
      </c>
    </row>
    <row r="293" spans="1:23" ht="11.25" customHeight="1" x14ac:dyDescent="0.25">
      <c r="A293" s="3" t="s">
        <v>21</v>
      </c>
      <c r="B293" s="3" t="s">
        <v>22</v>
      </c>
      <c r="C293" s="3" t="s">
        <v>23</v>
      </c>
      <c r="D293" s="3" t="s">
        <v>24</v>
      </c>
      <c r="E293" s="3" t="s">
        <v>24</v>
      </c>
      <c r="F293" s="3" t="s">
        <v>25</v>
      </c>
      <c r="G293" s="3" t="s">
        <v>25</v>
      </c>
      <c r="H293" s="3" t="s">
        <v>25</v>
      </c>
      <c r="I293" s="6">
        <v>44593</v>
      </c>
      <c r="J293" s="4">
        <v>0</v>
      </c>
      <c r="K293" s="4">
        <v>0</v>
      </c>
      <c r="L293" s="4">
        <v>448.05700000000002</v>
      </c>
      <c r="M293" s="4">
        <v>448.05700000000002</v>
      </c>
      <c r="N293" s="4">
        <v>448.05700000000002</v>
      </c>
      <c r="O293" s="4">
        <v>448.05700000000002</v>
      </c>
      <c r="P293" s="4">
        <v>2310</v>
      </c>
      <c r="Q293" s="3" t="s">
        <v>26</v>
      </c>
      <c r="R293" s="3">
        <v>0</v>
      </c>
      <c r="S293" s="3" t="s">
        <v>172</v>
      </c>
      <c r="T293" s="3" t="s">
        <v>297</v>
      </c>
      <c r="U293" s="3">
        <v>0</v>
      </c>
      <c r="V293" s="3">
        <v>20</v>
      </c>
      <c r="W293" s="3">
        <v>62</v>
      </c>
    </row>
    <row r="294" spans="1:23" ht="11.25" customHeight="1" x14ac:dyDescent="0.25">
      <c r="A294" s="3" t="s">
        <v>27</v>
      </c>
      <c r="B294" s="3" t="s">
        <v>22</v>
      </c>
      <c r="C294" s="3" t="s">
        <v>23</v>
      </c>
      <c r="D294" s="3" t="s">
        <v>24</v>
      </c>
      <c r="E294" s="3" t="s">
        <v>24</v>
      </c>
      <c r="F294" s="3" t="s">
        <v>25</v>
      </c>
      <c r="G294" s="3" t="s">
        <v>25</v>
      </c>
      <c r="H294" s="3" t="s">
        <v>25</v>
      </c>
      <c r="I294" s="6">
        <v>44593</v>
      </c>
      <c r="J294" s="4">
        <v>0</v>
      </c>
      <c r="K294" s="4">
        <v>0</v>
      </c>
      <c r="L294" s="4">
        <v>-9.7710000000000008</v>
      </c>
      <c r="M294" s="4">
        <v>-9.7710000000000008</v>
      </c>
      <c r="N294" s="4">
        <v>-9.7710000000000008</v>
      </c>
      <c r="O294" s="4">
        <v>-9.7710000000000008</v>
      </c>
      <c r="P294" s="4">
        <v>0</v>
      </c>
      <c r="Q294" s="3" t="s">
        <v>26</v>
      </c>
      <c r="R294" s="3">
        <v>0</v>
      </c>
      <c r="S294" s="3" t="s">
        <v>172</v>
      </c>
      <c r="T294" s="3" t="s">
        <v>297</v>
      </c>
      <c r="U294" s="3">
        <v>0</v>
      </c>
      <c r="V294" s="3">
        <v>20</v>
      </c>
      <c r="W294" s="3">
        <v>62</v>
      </c>
    </row>
    <row r="295" spans="1:23" ht="11.25" customHeight="1" x14ac:dyDescent="0.25">
      <c r="A295" s="3" t="s">
        <v>28</v>
      </c>
      <c r="B295" s="3" t="s">
        <v>22</v>
      </c>
      <c r="C295" s="3" t="s">
        <v>23</v>
      </c>
      <c r="D295" s="3" t="s">
        <v>24</v>
      </c>
      <c r="E295" s="3" t="s">
        <v>24</v>
      </c>
      <c r="F295" s="3" t="s">
        <v>25</v>
      </c>
      <c r="G295" s="3" t="s">
        <v>25</v>
      </c>
      <c r="H295" s="3" t="s">
        <v>25</v>
      </c>
      <c r="I295" s="6">
        <v>44593</v>
      </c>
      <c r="J295" s="4">
        <v>0</v>
      </c>
      <c r="K295" s="4">
        <v>0</v>
      </c>
      <c r="L295" s="4">
        <v>2.4260000000000002</v>
      </c>
      <c r="M295" s="4">
        <v>2.4260000000000002</v>
      </c>
      <c r="N295" s="4">
        <v>2.4260000000000002</v>
      </c>
      <c r="O295" s="4">
        <v>2.4260000000000002</v>
      </c>
      <c r="P295" s="4">
        <v>35</v>
      </c>
      <c r="Q295" s="3" t="s">
        <v>26</v>
      </c>
      <c r="R295" s="3">
        <v>0</v>
      </c>
      <c r="S295" s="3" t="s">
        <v>172</v>
      </c>
      <c r="T295" s="3" t="s">
        <v>297</v>
      </c>
      <c r="U295" s="3">
        <v>0</v>
      </c>
      <c r="V295" s="3">
        <v>20</v>
      </c>
      <c r="W295" s="3">
        <v>62</v>
      </c>
    </row>
    <row r="296" spans="1:23" ht="11.25" customHeight="1" x14ac:dyDescent="0.25">
      <c r="A296" s="3" t="s">
        <v>21</v>
      </c>
      <c r="B296" s="3" t="s">
        <v>22</v>
      </c>
      <c r="C296" s="3" t="s">
        <v>23</v>
      </c>
      <c r="D296" s="3" t="s">
        <v>24</v>
      </c>
      <c r="E296" s="3" t="s">
        <v>24</v>
      </c>
      <c r="F296" s="3" t="s">
        <v>25</v>
      </c>
      <c r="G296" s="3" t="s">
        <v>25</v>
      </c>
      <c r="H296" s="3" t="s">
        <v>25</v>
      </c>
      <c r="I296" s="6">
        <v>44621</v>
      </c>
      <c r="J296" s="4">
        <v>0</v>
      </c>
      <c r="K296" s="4">
        <v>0</v>
      </c>
      <c r="L296" s="4">
        <v>414.14699999999999</v>
      </c>
      <c r="M296" s="4">
        <v>414.14699999999999</v>
      </c>
      <c r="N296" s="4">
        <v>414.14699999999999</v>
      </c>
      <c r="O296" s="4">
        <v>414.14699999999999</v>
      </c>
      <c r="P296" s="4">
        <v>2246</v>
      </c>
      <c r="Q296" s="3" t="s">
        <v>26</v>
      </c>
      <c r="R296" s="3">
        <v>0</v>
      </c>
      <c r="S296" s="3" t="s">
        <v>173</v>
      </c>
      <c r="T296" s="3" t="s">
        <v>298</v>
      </c>
      <c r="U296" s="3">
        <v>0</v>
      </c>
      <c r="V296" s="3">
        <v>20</v>
      </c>
      <c r="W296" s="3">
        <v>62</v>
      </c>
    </row>
    <row r="297" spans="1:23" ht="11.25" customHeight="1" x14ac:dyDescent="0.25">
      <c r="A297" s="3" t="s">
        <v>27</v>
      </c>
      <c r="B297" s="3" t="s">
        <v>22</v>
      </c>
      <c r="C297" s="3" t="s">
        <v>23</v>
      </c>
      <c r="D297" s="3" t="s">
        <v>24</v>
      </c>
      <c r="E297" s="3" t="s">
        <v>24</v>
      </c>
      <c r="F297" s="3" t="s">
        <v>25</v>
      </c>
      <c r="G297" s="3" t="s">
        <v>25</v>
      </c>
      <c r="H297" s="3" t="s">
        <v>25</v>
      </c>
      <c r="I297" s="6">
        <v>44621</v>
      </c>
      <c r="J297" s="4">
        <v>0</v>
      </c>
      <c r="K297" s="4">
        <v>0</v>
      </c>
      <c r="L297" s="4">
        <v>-4.1360000000000001</v>
      </c>
      <c r="M297" s="4">
        <v>-4.1360000000000001</v>
      </c>
      <c r="N297" s="4">
        <v>-4.1360000000000001</v>
      </c>
      <c r="O297" s="4">
        <v>-4.1360000000000001</v>
      </c>
      <c r="P297" s="4">
        <v>0</v>
      </c>
      <c r="Q297" s="3" t="s">
        <v>26</v>
      </c>
      <c r="R297" s="3">
        <v>0</v>
      </c>
      <c r="S297" s="3" t="s">
        <v>173</v>
      </c>
      <c r="T297" s="3" t="s">
        <v>298</v>
      </c>
      <c r="U297" s="3">
        <v>0</v>
      </c>
      <c r="V297" s="3">
        <v>20</v>
      </c>
      <c r="W297" s="3">
        <v>62</v>
      </c>
    </row>
    <row r="298" spans="1:23" ht="11.25" customHeight="1" x14ac:dyDescent="0.25">
      <c r="A298" s="3" t="s">
        <v>28</v>
      </c>
      <c r="B298" s="3" t="s">
        <v>22</v>
      </c>
      <c r="C298" s="3" t="s">
        <v>23</v>
      </c>
      <c r="D298" s="3" t="s">
        <v>24</v>
      </c>
      <c r="E298" s="3" t="s">
        <v>24</v>
      </c>
      <c r="F298" s="3" t="s">
        <v>25</v>
      </c>
      <c r="G298" s="3" t="s">
        <v>25</v>
      </c>
      <c r="H298" s="3" t="s">
        <v>25</v>
      </c>
      <c r="I298" s="6">
        <v>44621</v>
      </c>
      <c r="J298" s="4">
        <v>0</v>
      </c>
      <c r="K298" s="4">
        <v>0</v>
      </c>
      <c r="L298" s="4">
        <v>5.5460000000000003</v>
      </c>
      <c r="M298" s="4">
        <v>5.5460000000000003</v>
      </c>
      <c r="N298" s="4">
        <v>5.5460000000000003</v>
      </c>
      <c r="O298" s="4">
        <v>5.5460000000000003</v>
      </c>
      <c r="P298" s="4">
        <v>44</v>
      </c>
      <c r="Q298" s="3" t="s">
        <v>26</v>
      </c>
      <c r="R298" s="3">
        <v>0</v>
      </c>
      <c r="S298" s="3" t="s">
        <v>173</v>
      </c>
      <c r="T298" s="3" t="s">
        <v>298</v>
      </c>
      <c r="U298" s="3">
        <v>0</v>
      </c>
      <c r="V298" s="3">
        <v>20</v>
      </c>
      <c r="W298" s="3">
        <v>62</v>
      </c>
    </row>
    <row r="299" spans="1:23" ht="11.25" customHeight="1" x14ac:dyDescent="0.25">
      <c r="A299" s="3" t="s">
        <v>21</v>
      </c>
      <c r="B299" s="3" t="s">
        <v>22</v>
      </c>
      <c r="C299" s="3" t="s">
        <v>23</v>
      </c>
      <c r="D299" s="3" t="s">
        <v>24</v>
      </c>
      <c r="E299" s="3" t="s">
        <v>24</v>
      </c>
      <c r="F299" s="3" t="s">
        <v>25</v>
      </c>
      <c r="G299" s="3" t="s">
        <v>25</v>
      </c>
      <c r="H299" s="3" t="s">
        <v>25</v>
      </c>
      <c r="I299" s="6">
        <v>44652</v>
      </c>
      <c r="J299" s="4">
        <v>0</v>
      </c>
      <c r="K299" s="4">
        <v>0</v>
      </c>
      <c r="L299" s="4">
        <v>399.78699999999998</v>
      </c>
      <c r="M299" s="4">
        <v>399.78699999999998</v>
      </c>
      <c r="N299" s="4">
        <v>399.78699999999998</v>
      </c>
      <c r="O299" s="4">
        <v>399.78699999999998</v>
      </c>
      <c r="P299" s="4">
        <v>2262</v>
      </c>
      <c r="Q299" s="3" t="s">
        <v>26</v>
      </c>
      <c r="R299" s="3">
        <v>0</v>
      </c>
      <c r="S299" s="3" t="s">
        <v>174</v>
      </c>
      <c r="T299" s="3" t="s">
        <v>299</v>
      </c>
      <c r="U299" s="3">
        <v>0</v>
      </c>
      <c r="V299" s="3">
        <v>20</v>
      </c>
      <c r="W299" s="3">
        <v>62</v>
      </c>
    </row>
    <row r="300" spans="1:23" ht="11.25" customHeight="1" x14ac:dyDescent="0.25">
      <c r="A300" s="3" t="s">
        <v>27</v>
      </c>
      <c r="B300" s="3" t="s">
        <v>22</v>
      </c>
      <c r="C300" s="3" t="s">
        <v>23</v>
      </c>
      <c r="D300" s="3" t="s">
        <v>24</v>
      </c>
      <c r="E300" s="3" t="s">
        <v>24</v>
      </c>
      <c r="F300" s="3" t="s">
        <v>25</v>
      </c>
      <c r="G300" s="3" t="s">
        <v>25</v>
      </c>
      <c r="H300" s="3" t="s">
        <v>25</v>
      </c>
      <c r="I300" s="6">
        <v>44652</v>
      </c>
      <c r="J300" s="4">
        <v>0</v>
      </c>
      <c r="K300" s="4">
        <v>0</v>
      </c>
      <c r="L300" s="4">
        <v>-1.4179999999999999</v>
      </c>
      <c r="M300" s="4">
        <v>-1.4179999999999999</v>
      </c>
      <c r="N300" s="4">
        <v>-1.4179999999999999</v>
      </c>
      <c r="O300" s="4">
        <v>-1.4179999999999999</v>
      </c>
      <c r="P300" s="4">
        <v>0</v>
      </c>
      <c r="Q300" s="3" t="s">
        <v>26</v>
      </c>
      <c r="R300" s="3">
        <v>0</v>
      </c>
      <c r="S300" s="3" t="s">
        <v>174</v>
      </c>
      <c r="T300" s="3" t="s">
        <v>299</v>
      </c>
      <c r="U300" s="3">
        <v>0</v>
      </c>
      <c r="V300" s="3">
        <v>20</v>
      </c>
      <c r="W300" s="3">
        <v>62</v>
      </c>
    </row>
    <row r="301" spans="1:23" ht="11.25" customHeight="1" x14ac:dyDescent="0.25">
      <c r="A301" s="3" t="s">
        <v>28</v>
      </c>
      <c r="B301" s="3" t="s">
        <v>22</v>
      </c>
      <c r="C301" s="3" t="s">
        <v>23</v>
      </c>
      <c r="D301" s="3" t="s">
        <v>24</v>
      </c>
      <c r="E301" s="3" t="s">
        <v>24</v>
      </c>
      <c r="F301" s="3" t="s">
        <v>25</v>
      </c>
      <c r="G301" s="3" t="s">
        <v>25</v>
      </c>
      <c r="H301" s="3" t="s">
        <v>25</v>
      </c>
      <c r="I301" s="6">
        <v>44652</v>
      </c>
      <c r="J301" s="4">
        <v>0</v>
      </c>
      <c r="K301" s="4">
        <v>0</v>
      </c>
      <c r="L301" s="4">
        <v>5.649</v>
      </c>
      <c r="M301" s="4">
        <v>5.649</v>
      </c>
      <c r="N301" s="4">
        <v>5.649</v>
      </c>
      <c r="O301" s="4">
        <v>5.649</v>
      </c>
      <c r="P301" s="4">
        <v>49</v>
      </c>
      <c r="Q301" s="3" t="s">
        <v>26</v>
      </c>
      <c r="R301" s="3">
        <v>0</v>
      </c>
      <c r="S301" s="3" t="s">
        <v>174</v>
      </c>
      <c r="T301" s="3" t="s">
        <v>299</v>
      </c>
      <c r="U301" s="3">
        <v>0</v>
      </c>
      <c r="V301" s="3">
        <v>20</v>
      </c>
      <c r="W301" s="3">
        <v>62</v>
      </c>
    </row>
    <row r="302" spans="1:23" ht="11.25" customHeight="1" x14ac:dyDescent="0.25">
      <c r="A302" s="3" t="s">
        <v>21</v>
      </c>
      <c r="B302" s="3" t="s">
        <v>22</v>
      </c>
      <c r="C302" s="3" t="s">
        <v>23</v>
      </c>
      <c r="D302" s="3" t="s">
        <v>24</v>
      </c>
      <c r="E302" s="3" t="s">
        <v>24</v>
      </c>
      <c r="F302" s="3" t="s">
        <v>25</v>
      </c>
      <c r="G302" s="3" t="s">
        <v>25</v>
      </c>
      <c r="H302" s="3" t="s">
        <v>25</v>
      </c>
      <c r="I302" s="6">
        <v>44682</v>
      </c>
      <c r="J302" s="4">
        <v>0</v>
      </c>
      <c r="K302" s="4">
        <v>0</v>
      </c>
      <c r="L302" s="4">
        <v>393.137</v>
      </c>
      <c r="M302" s="4">
        <v>393.137</v>
      </c>
      <c r="N302" s="4">
        <v>393.137</v>
      </c>
      <c r="O302" s="4">
        <v>393.137</v>
      </c>
      <c r="P302" s="4">
        <v>2399</v>
      </c>
      <c r="Q302" s="3" t="s">
        <v>26</v>
      </c>
      <c r="R302" s="3">
        <v>0</v>
      </c>
      <c r="S302" s="3" t="s">
        <v>175</v>
      </c>
      <c r="T302" s="3" t="s">
        <v>300</v>
      </c>
      <c r="U302" s="3">
        <v>0</v>
      </c>
      <c r="V302" s="3">
        <v>20</v>
      </c>
      <c r="W302" s="3">
        <v>62</v>
      </c>
    </row>
    <row r="303" spans="1:23" ht="11.25" customHeight="1" x14ac:dyDescent="0.25">
      <c r="A303" s="3" t="s">
        <v>27</v>
      </c>
      <c r="B303" s="3" t="s">
        <v>22</v>
      </c>
      <c r="C303" s="3" t="s">
        <v>23</v>
      </c>
      <c r="D303" s="3" t="s">
        <v>24</v>
      </c>
      <c r="E303" s="3" t="s">
        <v>24</v>
      </c>
      <c r="F303" s="3" t="s">
        <v>25</v>
      </c>
      <c r="G303" s="3" t="s">
        <v>25</v>
      </c>
      <c r="H303" s="3" t="s">
        <v>25</v>
      </c>
      <c r="I303" s="6">
        <v>44682</v>
      </c>
      <c r="J303" s="4">
        <v>0</v>
      </c>
      <c r="K303" s="4">
        <v>0</v>
      </c>
      <c r="L303" s="4">
        <v>-1.246</v>
      </c>
      <c r="M303" s="4">
        <v>-1.246</v>
      </c>
      <c r="N303" s="4">
        <v>-1.246</v>
      </c>
      <c r="O303" s="4">
        <v>-1.246</v>
      </c>
      <c r="P303" s="4">
        <v>0</v>
      </c>
      <c r="Q303" s="3" t="s">
        <v>26</v>
      </c>
      <c r="R303" s="3">
        <v>0</v>
      </c>
      <c r="S303" s="3" t="s">
        <v>175</v>
      </c>
      <c r="T303" s="3" t="s">
        <v>300</v>
      </c>
      <c r="U303" s="3">
        <v>0</v>
      </c>
      <c r="V303" s="3">
        <v>20</v>
      </c>
      <c r="W303" s="3">
        <v>62</v>
      </c>
    </row>
    <row r="304" spans="1:23" ht="11.25" customHeight="1" x14ac:dyDescent="0.25">
      <c r="A304" s="3" t="s">
        <v>28</v>
      </c>
      <c r="B304" s="3" t="s">
        <v>22</v>
      </c>
      <c r="C304" s="3" t="s">
        <v>23</v>
      </c>
      <c r="D304" s="3" t="s">
        <v>24</v>
      </c>
      <c r="E304" s="3" t="s">
        <v>24</v>
      </c>
      <c r="F304" s="3" t="s">
        <v>25</v>
      </c>
      <c r="G304" s="3" t="s">
        <v>25</v>
      </c>
      <c r="H304" s="3" t="s">
        <v>25</v>
      </c>
      <c r="I304" s="6">
        <v>44682</v>
      </c>
      <c r="J304" s="4">
        <v>0</v>
      </c>
      <c r="K304" s="4">
        <v>0</v>
      </c>
      <c r="L304" s="4">
        <v>3.6890000000000001</v>
      </c>
      <c r="M304" s="4">
        <v>3.6890000000000001</v>
      </c>
      <c r="N304" s="4">
        <v>3.6890000000000001</v>
      </c>
      <c r="O304" s="4">
        <v>3.6890000000000001</v>
      </c>
      <c r="P304" s="4">
        <v>50</v>
      </c>
      <c r="Q304" s="3" t="s">
        <v>26</v>
      </c>
      <c r="R304" s="3">
        <v>0</v>
      </c>
      <c r="S304" s="3" t="s">
        <v>175</v>
      </c>
      <c r="T304" s="3" t="s">
        <v>300</v>
      </c>
      <c r="U304" s="3">
        <v>0</v>
      </c>
      <c r="V304" s="3">
        <v>20</v>
      </c>
      <c r="W304" s="3">
        <v>62</v>
      </c>
    </row>
    <row r="305" spans="1:23" ht="11.25" customHeight="1" x14ac:dyDescent="0.25">
      <c r="A305" s="3" t="s">
        <v>21</v>
      </c>
      <c r="B305" s="3" t="s">
        <v>22</v>
      </c>
      <c r="C305" s="3" t="s">
        <v>23</v>
      </c>
      <c r="D305" s="3" t="s">
        <v>24</v>
      </c>
      <c r="E305" s="3" t="s">
        <v>24</v>
      </c>
      <c r="F305" s="3" t="s">
        <v>25</v>
      </c>
      <c r="G305" s="3" t="s">
        <v>25</v>
      </c>
      <c r="H305" s="3" t="s">
        <v>25</v>
      </c>
      <c r="I305" s="6">
        <v>44713</v>
      </c>
      <c r="J305" s="4">
        <v>0</v>
      </c>
      <c r="K305" s="4">
        <v>0</v>
      </c>
      <c r="L305" s="4">
        <v>389.04899999999998</v>
      </c>
      <c r="M305" s="4">
        <v>389.04899999999998</v>
      </c>
      <c r="N305" s="4">
        <v>389.04899999999998</v>
      </c>
      <c r="O305" s="4">
        <v>389.04899999999998</v>
      </c>
      <c r="P305" s="4">
        <v>2411</v>
      </c>
      <c r="Q305" s="3" t="s">
        <v>26</v>
      </c>
      <c r="R305" s="3">
        <v>0</v>
      </c>
      <c r="S305" s="3" t="s">
        <v>176</v>
      </c>
      <c r="T305" s="3" t="s">
        <v>301</v>
      </c>
      <c r="U305" s="3">
        <v>0</v>
      </c>
      <c r="V305" s="3">
        <v>20</v>
      </c>
      <c r="W305" s="3">
        <v>62</v>
      </c>
    </row>
    <row r="306" spans="1:23" ht="11.25" customHeight="1" x14ac:dyDescent="0.25">
      <c r="A306" s="3" t="s">
        <v>27</v>
      </c>
      <c r="B306" s="3" t="s">
        <v>22</v>
      </c>
      <c r="C306" s="3" t="s">
        <v>23</v>
      </c>
      <c r="D306" s="3" t="s">
        <v>24</v>
      </c>
      <c r="E306" s="3" t="s">
        <v>24</v>
      </c>
      <c r="F306" s="3" t="s">
        <v>25</v>
      </c>
      <c r="G306" s="3" t="s">
        <v>25</v>
      </c>
      <c r="H306" s="3" t="s">
        <v>25</v>
      </c>
      <c r="I306" s="6">
        <v>44713</v>
      </c>
      <c r="J306" s="4">
        <v>0</v>
      </c>
      <c r="K306" s="4">
        <v>0</v>
      </c>
      <c r="L306" s="4">
        <v>-1.4059999999999999</v>
      </c>
      <c r="M306" s="4">
        <v>-1.4059999999999999</v>
      </c>
      <c r="N306" s="4">
        <v>-1.4059999999999999</v>
      </c>
      <c r="O306" s="4">
        <v>-1.4059999999999999</v>
      </c>
      <c r="P306" s="4">
        <v>0</v>
      </c>
      <c r="Q306" s="3" t="s">
        <v>26</v>
      </c>
      <c r="R306" s="3">
        <v>0</v>
      </c>
      <c r="S306" s="3" t="s">
        <v>176</v>
      </c>
      <c r="T306" s="3" t="s">
        <v>301</v>
      </c>
      <c r="U306" s="3">
        <v>0</v>
      </c>
      <c r="V306" s="3">
        <v>20</v>
      </c>
      <c r="W306" s="3">
        <v>62</v>
      </c>
    </row>
    <row r="307" spans="1:23" ht="11.25" customHeight="1" x14ac:dyDescent="0.25">
      <c r="A307" s="3" t="s">
        <v>28</v>
      </c>
      <c r="B307" s="3" t="s">
        <v>22</v>
      </c>
      <c r="C307" s="3" t="s">
        <v>23</v>
      </c>
      <c r="D307" s="3" t="s">
        <v>24</v>
      </c>
      <c r="E307" s="3" t="s">
        <v>24</v>
      </c>
      <c r="F307" s="3" t="s">
        <v>25</v>
      </c>
      <c r="G307" s="3" t="s">
        <v>25</v>
      </c>
      <c r="H307" s="3" t="s">
        <v>25</v>
      </c>
      <c r="I307" s="6">
        <v>44713</v>
      </c>
      <c r="J307" s="4">
        <v>0</v>
      </c>
      <c r="K307" s="4">
        <v>0</v>
      </c>
      <c r="L307" s="4">
        <v>7.2370000000000001</v>
      </c>
      <c r="M307" s="4">
        <v>7.2370000000000001</v>
      </c>
      <c r="N307" s="4">
        <v>7.2370000000000001</v>
      </c>
      <c r="O307" s="4">
        <v>7.2370000000000001</v>
      </c>
      <c r="P307" s="4">
        <v>55</v>
      </c>
      <c r="Q307" s="3" t="s">
        <v>26</v>
      </c>
      <c r="R307" s="3">
        <v>0</v>
      </c>
      <c r="S307" s="3" t="s">
        <v>176</v>
      </c>
      <c r="T307" s="3" t="s">
        <v>301</v>
      </c>
      <c r="U307" s="3">
        <v>0</v>
      </c>
      <c r="V307" s="3">
        <v>20</v>
      </c>
      <c r="W307" s="3">
        <v>62</v>
      </c>
    </row>
    <row r="308" spans="1:23" ht="11.25" customHeight="1" x14ac:dyDescent="0.25">
      <c r="A308" s="3" t="s">
        <v>21</v>
      </c>
      <c r="B308" s="3" t="s">
        <v>22</v>
      </c>
      <c r="C308" s="3" t="s">
        <v>23</v>
      </c>
      <c r="D308" s="3" t="s">
        <v>24</v>
      </c>
      <c r="E308" s="3" t="s">
        <v>29</v>
      </c>
      <c r="F308" s="3" t="s">
        <v>25</v>
      </c>
      <c r="G308" s="3" t="s">
        <v>25</v>
      </c>
      <c r="H308" s="3" t="s">
        <v>25</v>
      </c>
      <c r="I308" s="6">
        <v>44378</v>
      </c>
      <c r="J308" s="4">
        <v>0</v>
      </c>
      <c r="K308" s="4">
        <v>0</v>
      </c>
      <c r="L308" s="4">
        <v>0.69</v>
      </c>
      <c r="M308" s="4">
        <v>0.69</v>
      </c>
      <c r="N308" s="4">
        <v>0.69</v>
      </c>
      <c r="O308" s="4">
        <v>0.69</v>
      </c>
      <c r="P308" s="4">
        <v>4</v>
      </c>
      <c r="Q308" s="3" t="s">
        <v>26</v>
      </c>
      <c r="R308" s="3">
        <v>0</v>
      </c>
      <c r="S308" s="3" t="s">
        <v>177</v>
      </c>
      <c r="T308" s="3" t="s">
        <v>302</v>
      </c>
      <c r="U308" s="3">
        <v>0</v>
      </c>
      <c r="V308" s="3">
        <v>11</v>
      </c>
      <c r="W308" s="3">
        <v>71</v>
      </c>
    </row>
    <row r="309" spans="1:23" ht="11.25" customHeight="1" x14ac:dyDescent="0.25">
      <c r="A309" s="3" t="s">
        <v>21</v>
      </c>
      <c r="B309" s="3" t="s">
        <v>22</v>
      </c>
      <c r="C309" s="3" t="s">
        <v>23</v>
      </c>
      <c r="D309" s="3" t="s">
        <v>24</v>
      </c>
      <c r="E309" s="3" t="s">
        <v>29</v>
      </c>
      <c r="F309" s="3" t="s">
        <v>25</v>
      </c>
      <c r="G309" s="3" t="s">
        <v>25</v>
      </c>
      <c r="H309" s="3" t="s">
        <v>25</v>
      </c>
      <c r="I309" s="6">
        <v>44409</v>
      </c>
      <c r="J309" s="4">
        <v>0</v>
      </c>
      <c r="K309" s="4">
        <v>0</v>
      </c>
      <c r="L309" s="4">
        <v>0.69</v>
      </c>
      <c r="M309" s="4">
        <v>0.69</v>
      </c>
      <c r="N309" s="4">
        <v>0.69</v>
      </c>
      <c r="O309" s="4">
        <v>0.69</v>
      </c>
      <c r="P309" s="4">
        <v>2</v>
      </c>
      <c r="Q309" s="3" t="s">
        <v>26</v>
      </c>
      <c r="R309" s="3">
        <v>0</v>
      </c>
      <c r="S309" s="3" t="s">
        <v>178</v>
      </c>
      <c r="T309" s="3" t="s">
        <v>303</v>
      </c>
      <c r="U309" s="3">
        <v>0</v>
      </c>
      <c r="V309" s="3">
        <v>11</v>
      </c>
      <c r="W309" s="3">
        <v>71</v>
      </c>
    </row>
    <row r="310" spans="1:23" ht="11.25" customHeight="1" x14ac:dyDescent="0.25">
      <c r="A310" s="3" t="s">
        <v>21</v>
      </c>
      <c r="B310" s="3" t="s">
        <v>22</v>
      </c>
      <c r="C310" s="3" t="s">
        <v>23</v>
      </c>
      <c r="D310" s="3" t="s">
        <v>24</v>
      </c>
      <c r="E310" s="3" t="s">
        <v>29</v>
      </c>
      <c r="F310" s="3" t="s">
        <v>25</v>
      </c>
      <c r="G310" s="3" t="s">
        <v>25</v>
      </c>
      <c r="H310" s="3" t="s">
        <v>25</v>
      </c>
      <c r="I310" s="6">
        <v>44440</v>
      </c>
      <c r="J310" s="4">
        <v>0</v>
      </c>
      <c r="K310" s="4">
        <v>0</v>
      </c>
      <c r="L310" s="4">
        <v>0.69</v>
      </c>
      <c r="M310" s="4">
        <v>0.69</v>
      </c>
      <c r="N310" s="4">
        <v>0.69</v>
      </c>
      <c r="O310" s="4">
        <v>0.69</v>
      </c>
      <c r="P310" s="4">
        <v>2</v>
      </c>
      <c r="Q310" s="3" t="s">
        <v>26</v>
      </c>
      <c r="R310" s="3">
        <v>0</v>
      </c>
      <c r="S310" s="3" t="s">
        <v>179</v>
      </c>
      <c r="T310" s="3" t="s">
        <v>304</v>
      </c>
      <c r="U310" s="3">
        <v>0</v>
      </c>
      <c r="V310" s="3">
        <v>11</v>
      </c>
      <c r="W310" s="3">
        <v>71</v>
      </c>
    </row>
    <row r="311" spans="1:23" ht="11.25" customHeight="1" x14ac:dyDescent="0.25">
      <c r="A311" s="3" t="s">
        <v>21</v>
      </c>
      <c r="B311" s="3" t="s">
        <v>22</v>
      </c>
      <c r="C311" s="3" t="s">
        <v>23</v>
      </c>
      <c r="D311" s="3" t="s">
        <v>24</v>
      </c>
      <c r="E311" s="3" t="s">
        <v>29</v>
      </c>
      <c r="F311" s="3" t="s">
        <v>25</v>
      </c>
      <c r="G311" s="3" t="s">
        <v>25</v>
      </c>
      <c r="H311" s="3" t="s">
        <v>25</v>
      </c>
      <c r="I311" s="6">
        <v>44470</v>
      </c>
      <c r="J311" s="4">
        <v>0</v>
      </c>
      <c r="K311" s="4">
        <v>0</v>
      </c>
      <c r="L311" s="4">
        <v>0.69</v>
      </c>
      <c r="M311" s="4">
        <v>0.69</v>
      </c>
      <c r="N311" s="4">
        <v>0.69</v>
      </c>
      <c r="O311" s="4">
        <v>0.69</v>
      </c>
      <c r="P311" s="4">
        <v>2</v>
      </c>
      <c r="Q311" s="3" t="s">
        <v>26</v>
      </c>
      <c r="R311" s="3">
        <v>0</v>
      </c>
      <c r="S311" s="3" t="s">
        <v>180</v>
      </c>
      <c r="T311" s="3" t="s">
        <v>305</v>
      </c>
      <c r="U311" s="3">
        <v>0</v>
      </c>
      <c r="V311" s="3">
        <v>11</v>
      </c>
      <c r="W311" s="3">
        <v>71</v>
      </c>
    </row>
    <row r="312" spans="1:23" ht="11.25" customHeight="1" x14ac:dyDescent="0.25">
      <c r="A312" s="3" t="s">
        <v>21</v>
      </c>
      <c r="B312" s="3" t="s">
        <v>22</v>
      </c>
      <c r="C312" s="3" t="s">
        <v>23</v>
      </c>
      <c r="D312" s="3" t="s">
        <v>24</v>
      </c>
      <c r="E312" s="3" t="s">
        <v>29</v>
      </c>
      <c r="F312" s="3" t="s">
        <v>25</v>
      </c>
      <c r="G312" s="3" t="s">
        <v>25</v>
      </c>
      <c r="H312" s="3" t="s">
        <v>25</v>
      </c>
      <c r="I312" s="6">
        <v>44501</v>
      </c>
      <c r="J312" s="4">
        <v>0</v>
      </c>
      <c r="K312" s="4">
        <v>0</v>
      </c>
      <c r="L312" s="4">
        <v>0.69</v>
      </c>
      <c r="M312" s="4">
        <v>0.69</v>
      </c>
      <c r="N312" s="4">
        <v>0.69</v>
      </c>
      <c r="O312" s="4">
        <v>0.69</v>
      </c>
      <c r="P312" s="4">
        <v>3</v>
      </c>
      <c r="Q312" s="3" t="s">
        <v>26</v>
      </c>
      <c r="R312" s="3">
        <v>0</v>
      </c>
      <c r="S312" s="3" t="s">
        <v>181</v>
      </c>
      <c r="T312" s="3" t="s">
        <v>306</v>
      </c>
      <c r="U312" s="3">
        <v>0</v>
      </c>
      <c r="V312" s="3">
        <v>11</v>
      </c>
      <c r="W312" s="3">
        <v>71</v>
      </c>
    </row>
    <row r="313" spans="1:23" ht="11.25" customHeight="1" x14ac:dyDescent="0.25">
      <c r="A313" s="3" t="s">
        <v>21</v>
      </c>
      <c r="B313" s="3" t="s">
        <v>22</v>
      </c>
      <c r="C313" s="3" t="s">
        <v>23</v>
      </c>
      <c r="D313" s="3" t="s">
        <v>24</v>
      </c>
      <c r="E313" s="3" t="s">
        <v>29</v>
      </c>
      <c r="F313" s="3" t="s">
        <v>25</v>
      </c>
      <c r="G313" s="3" t="s">
        <v>25</v>
      </c>
      <c r="H313" s="3" t="s">
        <v>25</v>
      </c>
      <c r="I313" s="6">
        <v>44531</v>
      </c>
      <c r="J313" s="4">
        <v>0</v>
      </c>
      <c r="K313" s="4">
        <v>0</v>
      </c>
      <c r="L313" s="4">
        <v>0.69</v>
      </c>
      <c r="M313" s="4">
        <v>0.69</v>
      </c>
      <c r="N313" s="4">
        <v>0.69</v>
      </c>
      <c r="O313" s="4">
        <v>0.69</v>
      </c>
      <c r="P313" s="4">
        <v>3</v>
      </c>
      <c r="Q313" s="3" t="s">
        <v>26</v>
      </c>
      <c r="R313" s="3">
        <v>0</v>
      </c>
      <c r="S313" s="3" t="s">
        <v>182</v>
      </c>
      <c r="T313" s="3" t="s">
        <v>307</v>
      </c>
      <c r="U313" s="3">
        <v>0</v>
      </c>
      <c r="V313" s="3">
        <v>11</v>
      </c>
      <c r="W313" s="3">
        <v>71</v>
      </c>
    </row>
    <row r="314" spans="1:23" ht="11.25" customHeight="1" x14ac:dyDescent="0.25">
      <c r="A314" s="3" t="s">
        <v>21</v>
      </c>
      <c r="B314" s="3" t="s">
        <v>22</v>
      </c>
      <c r="C314" s="3" t="s">
        <v>23</v>
      </c>
      <c r="D314" s="3" t="s">
        <v>24</v>
      </c>
      <c r="E314" s="3" t="s">
        <v>29</v>
      </c>
      <c r="F314" s="3" t="s">
        <v>25</v>
      </c>
      <c r="G314" s="3" t="s">
        <v>25</v>
      </c>
      <c r="H314" s="3" t="s">
        <v>25</v>
      </c>
      <c r="I314" s="6">
        <v>44562</v>
      </c>
      <c r="J314" s="4">
        <v>0</v>
      </c>
      <c r="K314" s="4">
        <v>0</v>
      </c>
      <c r="L314" s="4">
        <v>1.29</v>
      </c>
      <c r="M314" s="4">
        <v>1.29</v>
      </c>
      <c r="N314" s="4">
        <v>1.29</v>
      </c>
      <c r="O314" s="4">
        <v>1.29</v>
      </c>
      <c r="P314" s="4">
        <v>5</v>
      </c>
      <c r="Q314" s="3" t="s">
        <v>26</v>
      </c>
      <c r="R314" s="3">
        <v>0</v>
      </c>
      <c r="S314" s="3" t="s">
        <v>183</v>
      </c>
      <c r="T314" s="3" t="s">
        <v>308</v>
      </c>
      <c r="U314" s="3">
        <v>0</v>
      </c>
      <c r="V314" s="3">
        <v>11</v>
      </c>
      <c r="W314" s="3">
        <v>71</v>
      </c>
    </row>
    <row r="315" spans="1:23" ht="11.25" customHeight="1" x14ac:dyDescent="0.25">
      <c r="A315" s="3" t="s">
        <v>21</v>
      </c>
      <c r="B315" s="3" t="s">
        <v>22</v>
      </c>
      <c r="C315" s="3" t="s">
        <v>23</v>
      </c>
      <c r="D315" s="3" t="s">
        <v>24</v>
      </c>
      <c r="E315" s="3" t="s">
        <v>29</v>
      </c>
      <c r="F315" s="3" t="s">
        <v>25</v>
      </c>
      <c r="G315" s="3" t="s">
        <v>25</v>
      </c>
      <c r="H315" s="3" t="s">
        <v>25</v>
      </c>
      <c r="I315" s="6">
        <v>44593</v>
      </c>
      <c r="J315" s="4">
        <v>0</v>
      </c>
      <c r="K315" s="4">
        <v>0</v>
      </c>
      <c r="L315" s="4">
        <v>4.62</v>
      </c>
      <c r="M315" s="4">
        <v>4.62</v>
      </c>
      <c r="N315" s="4">
        <v>4.62</v>
      </c>
      <c r="O315" s="4">
        <v>4.62</v>
      </c>
      <c r="P315" s="4">
        <v>7</v>
      </c>
      <c r="Q315" s="3" t="s">
        <v>26</v>
      </c>
      <c r="R315" s="3">
        <v>0</v>
      </c>
      <c r="S315" s="3" t="s">
        <v>184</v>
      </c>
      <c r="T315" s="3" t="s">
        <v>309</v>
      </c>
      <c r="U315" s="3">
        <v>0</v>
      </c>
      <c r="V315" s="3">
        <v>11</v>
      </c>
      <c r="W315" s="3">
        <v>71</v>
      </c>
    </row>
    <row r="316" spans="1:23" ht="11.25" customHeight="1" x14ac:dyDescent="0.25">
      <c r="A316" s="3" t="s">
        <v>21</v>
      </c>
      <c r="B316" s="3" t="s">
        <v>22</v>
      </c>
      <c r="C316" s="3" t="s">
        <v>23</v>
      </c>
      <c r="D316" s="3" t="s">
        <v>24</v>
      </c>
      <c r="E316" s="3" t="s">
        <v>29</v>
      </c>
      <c r="F316" s="3" t="s">
        <v>25</v>
      </c>
      <c r="G316" s="3" t="s">
        <v>25</v>
      </c>
      <c r="H316" s="3" t="s">
        <v>25</v>
      </c>
      <c r="I316" s="6">
        <v>44621</v>
      </c>
      <c r="J316" s="4">
        <v>0</v>
      </c>
      <c r="K316" s="4">
        <v>0</v>
      </c>
      <c r="L316" s="4">
        <v>6.45</v>
      </c>
      <c r="M316" s="4">
        <v>6.45</v>
      </c>
      <c r="N316" s="4">
        <v>6.45</v>
      </c>
      <c r="O316" s="4">
        <v>6.45</v>
      </c>
      <c r="P316" s="4">
        <v>16</v>
      </c>
      <c r="Q316" s="3" t="s">
        <v>26</v>
      </c>
      <c r="R316" s="3">
        <v>0</v>
      </c>
      <c r="S316" s="3" t="s">
        <v>185</v>
      </c>
      <c r="T316" s="3" t="s">
        <v>310</v>
      </c>
      <c r="U316" s="3">
        <v>0</v>
      </c>
      <c r="V316" s="3">
        <v>11</v>
      </c>
      <c r="W316" s="3">
        <v>71</v>
      </c>
    </row>
    <row r="317" spans="1:23" ht="11.25" customHeight="1" x14ac:dyDescent="0.25">
      <c r="A317" s="3" t="s">
        <v>21</v>
      </c>
      <c r="B317" s="3" t="s">
        <v>22</v>
      </c>
      <c r="C317" s="3" t="s">
        <v>23</v>
      </c>
      <c r="D317" s="3" t="s">
        <v>24</v>
      </c>
      <c r="E317" s="3" t="s">
        <v>29</v>
      </c>
      <c r="F317" s="3" t="s">
        <v>25</v>
      </c>
      <c r="G317" s="3" t="s">
        <v>25</v>
      </c>
      <c r="H317" s="3" t="s">
        <v>25</v>
      </c>
      <c r="I317" s="6">
        <v>44652</v>
      </c>
      <c r="J317" s="4">
        <v>0</v>
      </c>
      <c r="K317" s="4">
        <v>0</v>
      </c>
      <c r="L317" s="4">
        <v>6.57</v>
      </c>
      <c r="M317" s="4">
        <v>6.57</v>
      </c>
      <c r="N317" s="4">
        <v>6.57</v>
      </c>
      <c r="O317" s="4">
        <v>6.57</v>
      </c>
      <c r="P317" s="4">
        <v>20</v>
      </c>
      <c r="Q317" s="3" t="s">
        <v>26</v>
      </c>
      <c r="R317" s="3">
        <v>0</v>
      </c>
      <c r="S317" s="3" t="s">
        <v>186</v>
      </c>
      <c r="T317" s="3" t="s">
        <v>311</v>
      </c>
      <c r="U317" s="3">
        <v>0</v>
      </c>
      <c r="V317" s="3">
        <v>11</v>
      </c>
      <c r="W317" s="3">
        <v>71</v>
      </c>
    </row>
    <row r="318" spans="1:23" ht="11.25" customHeight="1" x14ac:dyDescent="0.25">
      <c r="A318" s="3" t="s">
        <v>21</v>
      </c>
      <c r="B318" s="3" t="s">
        <v>22</v>
      </c>
      <c r="C318" s="3" t="s">
        <v>23</v>
      </c>
      <c r="D318" s="3" t="s">
        <v>24</v>
      </c>
      <c r="E318" s="3" t="s">
        <v>29</v>
      </c>
      <c r="F318" s="3" t="s">
        <v>25</v>
      </c>
      <c r="G318" s="3" t="s">
        <v>25</v>
      </c>
      <c r="H318" s="3" t="s">
        <v>25</v>
      </c>
      <c r="I318" s="6">
        <v>44682</v>
      </c>
      <c r="J318" s="4">
        <v>0</v>
      </c>
      <c r="K318" s="4">
        <v>0</v>
      </c>
      <c r="L318" s="4">
        <v>2.64</v>
      </c>
      <c r="M318" s="4">
        <v>2.64</v>
      </c>
      <c r="N318" s="4">
        <v>2.64</v>
      </c>
      <c r="O318" s="4">
        <v>2.64</v>
      </c>
      <c r="P318" s="4">
        <v>11</v>
      </c>
      <c r="Q318" s="3" t="s">
        <v>26</v>
      </c>
      <c r="R318" s="3">
        <v>0</v>
      </c>
      <c r="S318" s="3" t="s">
        <v>187</v>
      </c>
      <c r="T318" s="3" t="s">
        <v>312</v>
      </c>
      <c r="U318" s="3">
        <v>0</v>
      </c>
      <c r="V318" s="3">
        <v>11</v>
      </c>
      <c r="W318" s="3">
        <v>71</v>
      </c>
    </row>
    <row r="319" spans="1:23" ht="11.25" customHeight="1" x14ac:dyDescent="0.25">
      <c r="A319" s="3" t="s">
        <v>21</v>
      </c>
      <c r="B319" s="3" t="s">
        <v>22</v>
      </c>
      <c r="C319" s="3" t="s">
        <v>23</v>
      </c>
      <c r="D319" s="3" t="s">
        <v>24</v>
      </c>
      <c r="E319" s="3" t="s">
        <v>29</v>
      </c>
      <c r="F319" s="3" t="s">
        <v>25</v>
      </c>
      <c r="G319" s="3" t="s">
        <v>25</v>
      </c>
      <c r="H319" s="3" t="s">
        <v>25</v>
      </c>
      <c r="I319" s="6">
        <v>44713</v>
      </c>
      <c r="J319" s="4">
        <v>0</v>
      </c>
      <c r="K319" s="4">
        <v>0</v>
      </c>
      <c r="L319" s="4">
        <v>2.58</v>
      </c>
      <c r="M319" s="4">
        <v>2.58</v>
      </c>
      <c r="N319" s="4">
        <v>2.58</v>
      </c>
      <c r="O319" s="4">
        <v>2.58</v>
      </c>
      <c r="P319" s="4">
        <v>9</v>
      </c>
      <c r="Q319" s="3" t="s">
        <v>26</v>
      </c>
      <c r="R319" s="3">
        <v>0</v>
      </c>
      <c r="S319" s="3" t="s">
        <v>188</v>
      </c>
      <c r="T319" s="3" t="s">
        <v>313</v>
      </c>
      <c r="U319" s="3">
        <v>0</v>
      </c>
      <c r="V319" s="3">
        <v>11</v>
      </c>
      <c r="W319" s="3">
        <v>71</v>
      </c>
    </row>
    <row r="320" spans="1:23" ht="11.25" customHeight="1" x14ac:dyDescent="0.25">
      <c r="A320" s="3" t="s">
        <v>21</v>
      </c>
      <c r="B320" s="3" t="s">
        <v>22</v>
      </c>
      <c r="C320" s="3" t="s">
        <v>23</v>
      </c>
      <c r="D320" s="3" t="s">
        <v>24</v>
      </c>
      <c r="E320" s="3" t="s">
        <v>30</v>
      </c>
      <c r="F320" s="3" t="s">
        <v>25</v>
      </c>
      <c r="G320" s="3" t="s">
        <v>25</v>
      </c>
      <c r="H320" s="3" t="s">
        <v>25</v>
      </c>
      <c r="I320" s="6">
        <v>44378</v>
      </c>
      <c r="J320" s="4">
        <v>0</v>
      </c>
      <c r="K320" s="4">
        <v>0</v>
      </c>
      <c r="L320" s="4">
        <v>1.113</v>
      </c>
      <c r="M320" s="4">
        <v>1.113</v>
      </c>
      <c r="N320" s="4">
        <v>1.113</v>
      </c>
      <c r="O320" s="4">
        <v>1.113</v>
      </c>
      <c r="P320" s="4">
        <v>8</v>
      </c>
      <c r="Q320" s="3" t="s">
        <v>26</v>
      </c>
      <c r="R320" s="3">
        <v>0</v>
      </c>
      <c r="S320" s="3" t="s">
        <v>189</v>
      </c>
      <c r="T320" s="3" t="s">
        <v>314</v>
      </c>
      <c r="U320" s="3">
        <v>0</v>
      </c>
      <c r="V320" s="3">
        <v>40</v>
      </c>
      <c r="W320" s="3">
        <v>55</v>
      </c>
    </row>
    <row r="321" spans="1:23" ht="11.25" customHeight="1" x14ac:dyDescent="0.25">
      <c r="A321" s="3" t="s">
        <v>21</v>
      </c>
      <c r="B321" s="3" t="s">
        <v>22</v>
      </c>
      <c r="C321" s="3" t="s">
        <v>23</v>
      </c>
      <c r="D321" s="3" t="s">
        <v>24</v>
      </c>
      <c r="E321" s="3" t="s">
        <v>30</v>
      </c>
      <c r="F321" s="3" t="s">
        <v>25</v>
      </c>
      <c r="G321" s="3" t="s">
        <v>25</v>
      </c>
      <c r="H321" s="3" t="s">
        <v>25</v>
      </c>
      <c r="I321" s="6">
        <v>44409</v>
      </c>
      <c r="J321" s="4">
        <v>0</v>
      </c>
      <c r="K321" s="4">
        <v>0</v>
      </c>
      <c r="L321" s="4">
        <v>1.236</v>
      </c>
      <c r="M321" s="4">
        <v>1.236</v>
      </c>
      <c r="N321" s="4">
        <v>1.236</v>
      </c>
      <c r="O321" s="4">
        <v>1.236</v>
      </c>
      <c r="P321" s="4">
        <v>6</v>
      </c>
      <c r="Q321" s="3" t="s">
        <v>26</v>
      </c>
      <c r="R321" s="3">
        <v>0</v>
      </c>
      <c r="S321" s="3" t="s">
        <v>190</v>
      </c>
      <c r="T321" s="3" t="s">
        <v>315</v>
      </c>
      <c r="U321" s="3">
        <v>0</v>
      </c>
      <c r="V321" s="3">
        <v>40</v>
      </c>
      <c r="W321" s="3">
        <v>55</v>
      </c>
    </row>
    <row r="322" spans="1:23" ht="11.25" customHeight="1" x14ac:dyDescent="0.25">
      <c r="A322" s="3" t="s">
        <v>21</v>
      </c>
      <c r="B322" s="3" t="s">
        <v>22</v>
      </c>
      <c r="C322" s="3" t="s">
        <v>23</v>
      </c>
      <c r="D322" s="3" t="s">
        <v>24</v>
      </c>
      <c r="E322" s="3" t="s">
        <v>30</v>
      </c>
      <c r="F322" s="3" t="s">
        <v>25</v>
      </c>
      <c r="G322" s="3" t="s">
        <v>25</v>
      </c>
      <c r="H322" s="3" t="s">
        <v>25</v>
      </c>
      <c r="I322" s="6">
        <v>44440</v>
      </c>
      <c r="J322" s="4">
        <v>0</v>
      </c>
      <c r="K322" s="4">
        <v>0</v>
      </c>
      <c r="L322" s="4">
        <v>1.165</v>
      </c>
      <c r="M322" s="4">
        <v>1.165</v>
      </c>
      <c r="N322" s="4">
        <v>1.165</v>
      </c>
      <c r="O322" s="4">
        <v>1.165</v>
      </c>
      <c r="P322" s="4">
        <v>8</v>
      </c>
      <c r="Q322" s="3" t="s">
        <v>26</v>
      </c>
      <c r="R322" s="3">
        <v>0</v>
      </c>
      <c r="S322" s="3" t="s">
        <v>191</v>
      </c>
      <c r="T322" s="3" t="s">
        <v>316</v>
      </c>
      <c r="U322" s="3">
        <v>0</v>
      </c>
      <c r="V322" s="3">
        <v>40</v>
      </c>
      <c r="W322" s="3">
        <v>55</v>
      </c>
    </row>
    <row r="323" spans="1:23" ht="11.25" customHeight="1" x14ac:dyDescent="0.25">
      <c r="A323" s="3" t="s">
        <v>21</v>
      </c>
      <c r="B323" s="3" t="s">
        <v>22</v>
      </c>
      <c r="C323" s="3" t="s">
        <v>23</v>
      </c>
      <c r="D323" s="3" t="s">
        <v>24</v>
      </c>
      <c r="E323" s="3" t="s">
        <v>30</v>
      </c>
      <c r="F323" s="3" t="s">
        <v>25</v>
      </c>
      <c r="G323" s="3" t="s">
        <v>25</v>
      </c>
      <c r="H323" s="3" t="s">
        <v>25</v>
      </c>
      <c r="I323" s="6">
        <v>44470</v>
      </c>
      <c r="J323" s="4">
        <v>0</v>
      </c>
      <c r="K323" s="4">
        <v>0</v>
      </c>
      <c r="L323" s="4">
        <v>1.2390000000000001</v>
      </c>
      <c r="M323" s="4">
        <v>1.2390000000000001</v>
      </c>
      <c r="N323" s="4">
        <v>1.2390000000000001</v>
      </c>
      <c r="O323" s="4">
        <v>1.2390000000000001</v>
      </c>
      <c r="P323" s="4">
        <v>6</v>
      </c>
      <c r="Q323" s="3" t="s">
        <v>26</v>
      </c>
      <c r="R323" s="3">
        <v>0</v>
      </c>
      <c r="S323" s="3" t="s">
        <v>192</v>
      </c>
      <c r="T323" s="3" t="s">
        <v>317</v>
      </c>
      <c r="U323" s="3">
        <v>0</v>
      </c>
      <c r="V323" s="3">
        <v>40</v>
      </c>
      <c r="W323" s="3">
        <v>55</v>
      </c>
    </row>
    <row r="324" spans="1:23" ht="11.25" customHeight="1" x14ac:dyDescent="0.25">
      <c r="A324" s="3" t="s">
        <v>21</v>
      </c>
      <c r="B324" s="3" t="s">
        <v>22</v>
      </c>
      <c r="C324" s="3" t="s">
        <v>23</v>
      </c>
      <c r="D324" s="3" t="s">
        <v>24</v>
      </c>
      <c r="E324" s="3" t="s">
        <v>30</v>
      </c>
      <c r="F324" s="3" t="s">
        <v>25</v>
      </c>
      <c r="G324" s="3" t="s">
        <v>25</v>
      </c>
      <c r="H324" s="3" t="s">
        <v>25</v>
      </c>
      <c r="I324" s="6">
        <v>44501</v>
      </c>
      <c r="J324" s="4">
        <v>0</v>
      </c>
      <c r="K324" s="4">
        <v>0</v>
      </c>
      <c r="L324" s="4">
        <v>1.137</v>
      </c>
      <c r="M324" s="4">
        <v>1.137</v>
      </c>
      <c r="N324" s="4">
        <v>1.137</v>
      </c>
      <c r="O324" s="4">
        <v>1.137</v>
      </c>
      <c r="P324" s="4">
        <v>6</v>
      </c>
      <c r="Q324" s="3" t="s">
        <v>26</v>
      </c>
      <c r="R324" s="3">
        <v>0</v>
      </c>
      <c r="S324" s="3" t="s">
        <v>193</v>
      </c>
      <c r="T324" s="3" t="s">
        <v>318</v>
      </c>
      <c r="U324" s="3">
        <v>0</v>
      </c>
      <c r="V324" s="3">
        <v>40</v>
      </c>
      <c r="W324" s="3">
        <v>55</v>
      </c>
    </row>
    <row r="325" spans="1:23" ht="11.25" customHeight="1" x14ac:dyDescent="0.25">
      <c r="A325" s="3" t="s">
        <v>21</v>
      </c>
      <c r="B325" s="3" t="s">
        <v>22</v>
      </c>
      <c r="C325" s="3" t="s">
        <v>23</v>
      </c>
      <c r="D325" s="3" t="s">
        <v>24</v>
      </c>
      <c r="E325" s="3" t="s">
        <v>30</v>
      </c>
      <c r="F325" s="3" t="s">
        <v>25</v>
      </c>
      <c r="G325" s="3" t="s">
        <v>25</v>
      </c>
      <c r="H325" s="3" t="s">
        <v>25</v>
      </c>
      <c r="I325" s="6">
        <v>44531</v>
      </c>
      <c r="J325" s="4">
        <v>0</v>
      </c>
      <c r="K325" s="4">
        <v>0</v>
      </c>
      <c r="L325" s="4">
        <v>1.1419999999999999</v>
      </c>
      <c r="M325" s="4">
        <v>1.1419999999999999</v>
      </c>
      <c r="N325" s="4">
        <v>1.1419999999999999</v>
      </c>
      <c r="O325" s="4">
        <v>1.1419999999999999</v>
      </c>
      <c r="P325" s="4">
        <v>6</v>
      </c>
      <c r="Q325" s="3" t="s">
        <v>26</v>
      </c>
      <c r="R325" s="3">
        <v>0</v>
      </c>
      <c r="S325" s="3" t="s">
        <v>194</v>
      </c>
      <c r="T325" s="3" t="s">
        <v>319</v>
      </c>
      <c r="U325" s="3">
        <v>0</v>
      </c>
      <c r="V325" s="3">
        <v>40</v>
      </c>
      <c r="W325" s="3">
        <v>55</v>
      </c>
    </row>
    <row r="326" spans="1:23" ht="11.25" customHeight="1" x14ac:dyDescent="0.25">
      <c r="A326" s="3" t="s">
        <v>21</v>
      </c>
      <c r="B326" s="3" t="s">
        <v>22</v>
      </c>
      <c r="C326" s="3" t="s">
        <v>23</v>
      </c>
      <c r="D326" s="3" t="s">
        <v>24</v>
      </c>
      <c r="E326" s="3" t="s">
        <v>30</v>
      </c>
      <c r="F326" s="3" t="s">
        <v>25</v>
      </c>
      <c r="G326" s="3" t="s">
        <v>25</v>
      </c>
      <c r="H326" s="3" t="s">
        <v>25</v>
      </c>
      <c r="I326" s="6">
        <v>44562</v>
      </c>
      <c r="J326" s="4">
        <v>0</v>
      </c>
      <c r="K326" s="4">
        <v>0</v>
      </c>
      <c r="L326" s="4">
        <v>2.14</v>
      </c>
      <c r="M326" s="4">
        <v>2.14</v>
      </c>
      <c r="N326" s="4">
        <v>2.14</v>
      </c>
      <c r="O326" s="4">
        <v>2.14</v>
      </c>
      <c r="P326" s="4">
        <v>14</v>
      </c>
      <c r="Q326" s="3" t="s">
        <v>26</v>
      </c>
      <c r="R326" s="3">
        <v>0</v>
      </c>
      <c r="S326" s="3" t="s">
        <v>195</v>
      </c>
      <c r="T326" s="3" t="s">
        <v>320</v>
      </c>
      <c r="U326" s="3">
        <v>0</v>
      </c>
      <c r="V326" s="3">
        <v>40</v>
      </c>
      <c r="W326" s="3">
        <v>55</v>
      </c>
    </row>
    <row r="327" spans="1:23" ht="11.25" customHeight="1" x14ac:dyDescent="0.25">
      <c r="A327" s="3" t="s">
        <v>21</v>
      </c>
      <c r="B327" s="3" t="s">
        <v>22</v>
      </c>
      <c r="C327" s="3" t="s">
        <v>23</v>
      </c>
      <c r="D327" s="3" t="s">
        <v>24</v>
      </c>
      <c r="E327" s="3" t="s">
        <v>30</v>
      </c>
      <c r="F327" s="3" t="s">
        <v>25</v>
      </c>
      <c r="G327" s="3" t="s">
        <v>25</v>
      </c>
      <c r="H327" s="3" t="s">
        <v>25</v>
      </c>
      <c r="I327" s="6">
        <v>44593</v>
      </c>
      <c r="J327" s="4">
        <v>0</v>
      </c>
      <c r="K327" s="4">
        <v>0</v>
      </c>
      <c r="L327" s="4">
        <v>8.7059999999999995</v>
      </c>
      <c r="M327" s="4">
        <v>8.7059999999999995</v>
      </c>
      <c r="N327" s="4">
        <v>8.7059999999999995</v>
      </c>
      <c r="O327" s="4">
        <v>8.7059999999999995</v>
      </c>
      <c r="P327" s="4">
        <v>49</v>
      </c>
      <c r="Q327" s="3" t="s">
        <v>26</v>
      </c>
      <c r="R327" s="3">
        <v>0</v>
      </c>
      <c r="S327" s="3" t="s">
        <v>196</v>
      </c>
      <c r="T327" s="3" t="s">
        <v>321</v>
      </c>
      <c r="U327" s="3">
        <v>0</v>
      </c>
      <c r="V327" s="3">
        <v>40</v>
      </c>
      <c r="W327" s="3">
        <v>55</v>
      </c>
    </row>
    <row r="328" spans="1:23" ht="11.25" customHeight="1" x14ac:dyDescent="0.25">
      <c r="A328" s="3" t="s">
        <v>21</v>
      </c>
      <c r="B328" s="3" t="s">
        <v>22</v>
      </c>
      <c r="C328" s="3" t="s">
        <v>23</v>
      </c>
      <c r="D328" s="3" t="s">
        <v>24</v>
      </c>
      <c r="E328" s="3" t="s">
        <v>30</v>
      </c>
      <c r="F328" s="3" t="s">
        <v>25</v>
      </c>
      <c r="G328" s="3" t="s">
        <v>25</v>
      </c>
      <c r="H328" s="3" t="s">
        <v>25</v>
      </c>
      <c r="I328" s="6">
        <v>44621</v>
      </c>
      <c r="J328" s="4">
        <v>0</v>
      </c>
      <c r="K328" s="4">
        <v>0</v>
      </c>
      <c r="L328" s="4">
        <v>11.788</v>
      </c>
      <c r="M328" s="4">
        <v>11.788</v>
      </c>
      <c r="N328" s="4">
        <v>11.788</v>
      </c>
      <c r="O328" s="4">
        <v>11.788</v>
      </c>
      <c r="P328" s="4">
        <v>67</v>
      </c>
      <c r="Q328" s="3" t="s">
        <v>26</v>
      </c>
      <c r="R328" s="3">
        <v>0</v>
      </c>
      <c r="S328" s="3" t="s">
        <v>197</v>
      </c>
      <c r="T328" s="3" t="s">
        <v>322</v>
      </c>
      <c r="U328" s="3">
        <v>0</v>
      </c>
      <c r="V328" s="3">
        <v>40</v>
      </c>
      <c r="W328" s="3">
        <v>55</v>
      </c>
    </row>
    <row r="329" spans="1:23" ht="11.25" customHeight="1" x14ac:dyDescent="0.25">
      <c r="A329" s="3" t="s">
        <v>21</v>
      </c>
      <c r="B329" s="3" t="s">
        <v>22</v>
      </c>
      <c r="C329" s="3" t="s">
        <v>23</v>
      </c>
      <c r="D329" s="3" t="s">
        <v>24</v>
      </c>
      <c r="E329" s="3" t="s">
        <v>30</v>
      </c>
      <c r="F329" s="3" t="s">
        <v>25</v>
      </c>
      <c r="G329" s="3" t="s">
        <v>25</v>
      </c>
      <c r="H329" s="3" t="s">
        <v>25</v>
      </c>
      <c r="I329" s="6">
        <v>44652</v>
      </c>
      <c r="J329" s="4">
        <v>0</v>
      </c>
      <c r="K329" s="4">
        <v>0</v>
      </c>
      <c r="L329" s="4">
        <v>11.923999999999999</v>
      </c>
      <c r="M329" s="4">
        <v>11.923999999999999</v>
      </c>
      <c r="N329" s="4">
        <v>11.923999999999999</v>
      </c>
      <c r="O329" s="4">
        <v>11.923999999999999</v>
      </c>
      <c r="P329" s="4">
        <v>66</v>
      </c>
      <c r="Q329" s="3" t="s">
        <v>26</v>
      </c>
      <c r="R329" s="3">
        <v>0</v>
      </c>
      <c r="S329" s="3" t="s">
        <v>198</v>
      </c>
      <c r="T329" s="3" t="s">
        <v>323</v>
      </c>
      <c r="U329" s="3">
        <v>0</v>
      </c>
      <c r="V329" s="3">
        <v>40</v>
      </c>
      <c r="W329" s="3">
        <v>55</v>
      </c>
    </row>
    <row r="330" spans="1:23" ht="11.25" customHeight="1" x14ac:dyDescent="0.25">
      <c r="A330" s="3" t="s">
        <v>21</v>
      </c>
      <c r="B330" s="3" t="s">
        <v>22</v>
      </c>
      <c r="C330" s="3" t="s">
        <v>23</v>
      </c>
      <c r="D330" s="3" t="s">
        <v>24</v>
      </c>
      <c r="E330" s="3" t="s">
        <v>30</v>
      </c>
      <c r="F330" s="3" t="s">
        <v>25</v>
      </c>
      <c r="G330" s="3" t="s">
        <v>25</v>
      </c>
      <c r="H330" s="3" t="s">
        <v>25</v>
      </c>
      <c r="I330" s="6">
        <v>44682</v>
      </c>
      <c r="J330" s="4">
        <v>0</v>
      </c>
      <c r="K330" s="4">
        <v>0</v>
      </c>
      <c r="L330" s="4">
        <v>4.3550000000000004</v>
      </c>
      <c r="M330" s="4">
        <v>4.3550000000000004</v>
      </c>
      <c r="N330" s="4">
        <v>4.3550000000000004</v>
      </c>
      <c r="O330" s="4">
        <v>4.3550000000000004</v>
      </c>
      <c r="P330" s="4">
        <v>28</v>
      </c>
      <c r="Q330" s="3" t="s">
        <v>26</v>
      </c>
      <c r="R330" s="3">
        <v>0</v>
      </c>
      <c r="S330" s="3" t="s">
        <v>199</v>
      </c>
      <c r="T330" s="3" t="s">
        <v>324</v>
      </c>
      <c r="U330" s="3">
        <v>0</v>
      </c>
      <c r="V330" s="3">
        <v>40</v>
      </c>
      <c r="W330" s="3">
        <v>55</v>
      </c>
    </row>
    <row r="331" spans="1:23" ht="11.25" customHeight="1" x14ac:dyDescent="0.25">
      <c r="A331" s="3" t="s">
        <v>21</v>
      </c>
      <c r="B331" s="3" t="s">
        <v>22</v>
      </c>
      <c r="C331" s="3" t="s">
        <v>23</v>
      </c>
      <c r="D331" s="3" t="s">
        <v>24</v>
      </c>
      <c r="E331" s="3" t="s">
        <v>30</v>
      </c>
      <c r="F331" s="3" t="s">
        <v>25</v>
      </c>
      <c r="G331" s="3" t="s">
        <v>25</v>
      </c>
      <c r="H331" s="3" t="s">
        <v>25</v>
      </c>
      <c r="I331" s="6">
        <v>44713</v>
      </c>
      <c r="J331" s="4">
        <v>0</v>
      </c>
      <c r="K331" s="4">
        <v>0</v>
      </c>
      <c r="L331" s="4">
        <v>4.5709999999999997</v>
      </c>
      <c r="M331" s="4">
        <v>4.5709999999999997</v>
      </c>
      <c r="N331" s="4">
        <v>4.5709999999999997</v>
      </c>
      <c r="O331" s="4">
        <v>4.5709999999999997</v>
      </c>
      <c r="P331" s="4">
        <v>29</v>
      </c>
      <c r="Q331" s="3" t="s">
        <v>26</v>
      </c>
      <c r="R331" s="3">
        <v>0</v>
      </c>
      <c r="S331" s="3" t="s">
        <v>200</v>
      </c>
      <c r="T331" s="3" t="s">
        <v>325</v>
      </c>
      <c r="U331" s="3">
        <v>0</v>
      </c>
      <c r="V331" s="3">
        <v>40</v>
      </c>
      <c r="W331" s="3">
        <v>55</v>
      </c>
    </row>
    <row r="332" spans="1:23" ht="11.25" customHeight="1" x14ac:dyDescent="0.25">
      <c r="A332" s="3" t="s">
        <v>21</v>
      </c>
      <c r="B332" s="3" t="s">
        <v>22</v>
      </c>
      <c r="C332" s="3" t="s">
        <v>23</v>
      </c>
      <c r="D332" s="3" t="s">
        <v>24</v>
      </c>
      <c r="E332" s="3" t="s">
        <v>31</v>
      </c>
      <c r="F332" s="3" t="s">
        <v>25</v>
      </c>
      <c r="G332" s="3" t="s">
        <v>25</v>
      </c>
      <c r="H332" s="3" t="s">
        <v>25</v>
      </c>
      <c r="I332" s="6">
        <v>44378</v>
      </c>
      <c r="J332" s="4">
        <v>0</v>
      </c>
      <c r="K332" s="4">
        <v>0</v>
      </c>
      <c r="L332" s="4">
        <v>0.63</v>
      </c>
      <c r="M332" s="4">
        <v>0.63</v>
      </c>
      <c r="N332" s="4">
        <v>0.63</v>
      </c>
      <c r="O332" s="4">
        <v>0.63</v>
      </c>
      <c r="P332" s="4">
        <v>9</v>
      </c>
      <c r="Q332" s="3" t="s">
        <v>26</v>
      </c>
      <c r="R332" s="3">
        <v>0</v>
      </c>
      <c r="S332" s="3" t="s">
        <v>201</v>
      </c>
      <c r="T332" s="3" t="s">
        <v>326</v>
      </c>
      <c r="U332" s="3">
        <v>0</v>
      </c>
      <c r="V332" s="3">
        <v>26</v>
      </c>
      <c r="W332" s="3">
        <v>73</v>
      </c>
    </row>
    <row r="333" spans="1:23" ht="11.25" customHeight="1" x14ac:dyDescent="0.25">
      <c r="A333" s="3" t="s">
        <v>21</v>
      </c>
      <c r="B333" s="3" t="s">
        <v>22</v>
      </c>
      <c r="C333" s="3" t="s">
        <v>23</v>
      </c>
      <c r="D333" s="3" t="s">
        <v>24</v>
      </c>
      <c r="E333" s="3" t="s">
        <v>31</v>
      </c>
      <c r="F333" s="3" t="s">
        <v>25</v>
      </c>
      <c r="G333" s="3" t="s">
        <v>25</v>
      </c>
      <c r="H333" s="3" t="s">
        <v>25</v>
      </c>
      <c r="I333" s="6">
        <v>44409</v>
      </c>
      <c r="J333" s="4">
        <v>0</v>
      </c>
      <c r="K333" s="4">
        <v>0</v>
      </c>
      <c r="L333" s="4">
        <v>0.96299999999999997</v>
      </c>
      <c r="M333" s="4">
        <v>0.96299999999999997</v>
      </c>
      <c r="N333" s="4">
        <v>0.96299999999999997</v>
      </c>
      <c r="O333" s="4">
        <v>0.96299999999999997</v>
      </c>
      <c r="P333" s="4">
        <v>11</v>
      </c>
      <c r="Q333" s="3" t="s">
        <v>26</v>
      </c>
      <c r="R333" s="3">
        <v>0</v>
      </c>
      <c r="S333" s="3" t="s">
        <v>202</v>
      </c>
      <c r="T333" s="3" t="s">
        <v>327</v>
      </c>
      <c r="U333" s="3">
        <v>0</v>
      </c>
      <c r="V333" s="3">
        <v>26</v>
      </c>
      <c r="W333" s="3">
        <v>73</v>
      </c>
    </row>
    <row r="334" spans="1:23" ht="11.25" customHeight="1" x14ac:dyDescent="0.25">
      <c r="A334" s="3" t="s">
        <v>21</v>
      </c>
      <c r="B334" s="3" t="s">
        <v>22</v>
      </c>
      <c r="C334" s="3" t="s">
        <v>23</v>
      </c>
      <c r="D334" s="3" t="s">
        <v>24</v>
      </c>
      <c r="E334" s="3" t="s">
        <v>31</v>
      </c>
      <c r="F334" s="3" t="s">
        <v>25</v>
      </c>
      <c r="G334" s="3" t="s">
        <v>25</v>
      </c>
      <c r="H334" s="3" t="s">
        <v>25</v>
      </c>
      <c r="I334" s="6">
        <v>44440</v>
      </c>
      <c r="J334" s="4">
        <v>0</v>
      </c>
      <c r="K334" s="4">
        <v>0</v>
      </c>
      <c r="L334" s="4">
        <v>0.84799999999999998</v>
      </c>
      <c r="M334" s="4">
        <v>0.84799999999999998</v>
      </c>
      <c r="N334" s="4">
        <v>0.84799999999999998</v>
      </c>
      <c r="O334" s="4">
        <v>0.84799999999999998</v>
      </c>
      <c r="P334" s="4">
        <v>9</v>
      </c>
      <c r="Q334" s="3" t="s">
        <v>26</v>
      </c>
      <c r="R334" s="3">
        <v>0</v>
      </c>
      <c r="S334" s="3" t="s">
        <v>203</v>
      </c>
      <c r="T334" s="3" t="s">
        <v>328</v>
      </c>
      <c r="U334" s="3">
        <v>0</v>
      </c>
      <c r="V334" s="3">
        <v>26</v>
      </c>
      <c r="W334" s="3">
        <v>73</v>
      </c>
    </row>
    <row r="335" spans="1:23" ht="11.25" customHeight="1" x14ac:dyDescent="0.25">
      <c r="A335" s="3" t="s">
        <v>21</v>
      </c>
      <c r="B335" s="3" t="s">
        <v>22</v>
      </c>
      <c r="C335" s="3" t="s">
        <v>23</v>
      </c>
      <c r="D335" s="3" t="s">
        <v>24</v>
      </c>
      <c r="E335" s="3" t="s">
        <v>31</v>
      </c>
      <c r="F335" s="3" t="s">
        <v>25</v>
      </c>
      <c r="G335" s="3" t="s">
        <v>25</v>
      </c>
      <c r="H335" s="3" t="s">
        <v>25</v>
      </c>
      <c r="I335" s="6">
        <v>44470</v>
      </c>
      <c r="J335" s="4">
        <v>0</v>
      </c>
      <c r="K335" s="4">
        <v>0</v>
      </c>
      <c r="L335" s="4">
        <v>1.123</v>
      </c>
      <c r="M335" s="4">
        <v>1.123</v>
      </c>
      <c r="N335" s="4">
        <v>1.123</v>
      </c>
      <c r="O335" s="4">
        <v>1.123</v>
      </c>
      <c r="P335" s="4">
        <v>10</v>
      </c>
      <c r="Q335" s="3" t="s">
        <v>26</v>
      </c>
      <c r="R335" s="3">
        <v>0</v>
      </c>
      <c r="S335" s="3" t="s">
        <v>204</v>
      </c>
      <c r="T335" s="3" t="s">
        <v>329</v>
      </c>
      <c r="U335" s="3">
        <v>0</v>
      </c>
      <c r="V335" s="3">
        <v>26</v>
      </c>
      <c r="W335" s="3">
        <v>73</v>
      </c>
    </row>
    <row r="336" spans="1:23" ht="11.25" customHeight="1" x14ac:dyDescent="0.25">
      <c r="A336" s="3" t="s">
        <v>21</v>
      </c>
      <c r="B336" s="3" t="s">
        <v>22</v>
      </c>
      <c r="C336" s="3" t="s">
        <v>23</v>
      </c>
      <c r="D336" s="3" t="s">
        <v>24</v>
      </c>
      <c r="E336" s="3" t="s">
        <v>31</v>
      </c>
      <c r="F336" s="3" t="s">
        <v>25</v>
      </c>
      <c r="G336" s="3" t="s">
        <v>25</v>
      </c>
      <c r="H336" s="3" t="s">
        <v>25</v>
      </c>
      <c r="I336" s="6">
        <v>44501</v>
      </c>
      <c r="J336" s="4">
        <v>0</v>
      </c>
      <c r="K336" s="4">
        <v>0</v>
      </c>
      <c r="L336" s="4">
        <v>0.91800000000000004</v>
      </c>
      <c r="M336" s="4">
        <v>0.91800000000000004</v>
      </c>
      <c r="N336" s="4">
        <v>0.91800000000000004</v>
      </c>
      <c r="O336" s="4">
        <v>0.91800000000000004</v>
      </c>
      <c r="P336" s="4">
        <v>10</v>
      </c>
      <c r="Q336" s="3" t="s">
        <v>26</v>
      </c>
      <c r="R336" s="3">
        <v>0</v>
      </c>
      <c r="S336" s="3" t="s">
        <v>205</v>
      </c>
      <c r="T336" s="3" t="s">
        <v>330</v>
      </c>
      <c r="U336" s="3">
        <v>0</v>
      </c>
      <c r="V336" s="3">
        <v>26</v>
      </c>
      <c r="W336" s="3">
        <v>73</v>
      </c>
    </row>
    <row r="337" spans="1:23" ht="11.25" customHeight="1" x14ac:dyDescent="0.25">
      <c r="A337" s="3" t="s">
        <v>21</v>
      </c>
      <c r="B337" s="3" t="s">
        <v>22</v>
      </c>
      <c r="C337" s="3" t="s">
        <v>23</v>
      </c>
      <c r="D337" s="3" t="s">
        <v>24</v>
      </c>
      <c r="E337" s="3" t="s">
        <v>31</v>
      </c>
      <c r="F337" s="3" t="s">
        <v>25</v>
      </c>
      <c r="G337" s="3" t="s">
        <v>25</v>
      </c>
      <c r="H337" s="3" t="s">
        <v>25</v>
      </c>
      <c r="I337" s="6">
        <v>44531</v>
      </c>
      <c r="J337" s="4">
        <v>0</v>
      </c>
      <c r="K337" s="4">
        <v>0</v>
      </c>
      <c r="L337" s="4">
        <v>1.099</v>
      </c>
      <c r="M337" s="4">
        <v>1.099</v>
      </c>
      <c r="N337" s="4">
        <v>1.099</v>
      </c>
      <c r="O337" s="4">
        <v>1.099</v>
      </c>
      <c r="P337" s="4">
        <v>10</v>
      </c>
      <c r="Q337" s="3" t="s">
        <v>26</v>
      </c>
      <c r="R337" s="3">
        <v>0</v>
      </c>
      <c r="S337" s="3" t="s">
        <v>206</v>
      </c>
      <c r="T337" s="3" t="s">
        <v>331</v>
      </c>
      <c r="U337" s="3">
        <v>0</v>
      </c>
      <c r="V337" s="3">
        <v>26</v>
      </c>
      <c r="W337" s="3">
        <v>73</v>
      </c>
    </row>
    <row r="338" spans="1:23" ht="11.25" customHeight="1" x14ac:dyDescent="0.25">
      <c r="A338" s="3" t="s">
        <v>21</v>
      </c>
      <c r="B338" s="3" t="s">
        <v>22</v>
      </c>
      <c r="C338" s="3" t="s">
        <v>23</v>
      </c>
      <c r="D338" s="3" t="s">
        <v>24</v>
      </c>
      <c r="E338" s="3" t="s">
        <v>31</v>
      </c>
      <c r="F338" s="3" t="s">
        <v>25</v>
      </c>
      <c r="G338" s="3" t="s">
        <v>25</v>
      </c>
      <c r="H338" s="3" t="s">
        <v>25</v>
      </c>
      <c r="I338" s="6">
        <v>44562</v>
      </c>
      <c r="J338" s="4">
        <v>0</v>
      </c>
      <c r="K338" s="4">
        <v>0</v>
      </c>
      <c r="L338" s="4">
        <v>1.78</v>
      </c>
      <c r="M338" s="4">
        <v>1.78</v>
      </c>
      <c r="N338" s="4">
        <v>1.78</v>
      </c>
      <c r="O338" s="4">
        <v>1.78</v>
      </c>
      <c r="P338" s="4">
        <v>18</v>
      </c>
      <c r="Q338" s="3" t="s">
        <v>26</v>
      </c>
      <c r="R338" s="3">
        <v>0</v>
      </c>
      <c r="S338" s="3" t="s">
        <v>207</v>
      </c>
      <c r="T338" s="3" t="s">
        <v>332</v>
      </c>
      <c r="U338" s="3">
        <v>0</v>
      </c>
      <c r="V338" s="3">
        <v>26</v>
      </c>
      <c r="W338" s="3">
        <v>73</v>
      </c>
    </row>
    <row r="339" spans="1:23" ht="11.25" customHeight="1" x14ac:dyDescent="0.25">
      <c r="A339" s="3" t="s">
        <v>21</v>
      </c>
      <c r="B339" s="3" t="s">
        <v>22</v>
      </c>
      <c r="C339" s="3" t="s">
        <v>23</v>
      </c>
      <c r="D339" s="3" t="s">
        <v>24</v>
      </c>
      <c r="E339" s="3" t="s">
        <v>31</v>
      </c>
      <c r="F339" s="3" t="s">
        <v>25</v>
      </c>
      <c r="G339" s="3" t="s">
        <v>25</v>
      </c>
      <c r="H339" s="3" t="s">
        <v>25</v>
      </c>
      <c r="I339" s="6">
        <v>44593</v>
      </c>
      <c r="J339" s="4">
        <v>0</v>
      </c>
      <c r="K339" s="4">
        <v>0</v>
      </c>
      <c r="L339" s="4">
        <v>6.9859999999999998</v>
      </c>
      <c r="M339" s="4">
        <v>6.9859999999999998</v>
      </c>
      <c r="N339" s="4">
        <v>6.9859999999999998</v>
      </c>
      <c r="O339" s="4">
        <v>6.9859999999999998</v>
      </c>
      <c r="P339" s="4">
        <v>69</v>
      </c>
      <c r="Q339" s="3" t="s">
        <v>26</v>
      </c>
      <c r="R339" s="3">
        <v>0</v>
      </c>
      <c r="S339" s="3" t="s">
        <v>208</v>
      </c>
      <c r="T339" s="3" t="s">
        <v>333</v>
      </c>
      <c r="U339" s="3">
        <v>0</v>
      </c>
      <c r="V339" s="3">
        <v>26</v>
      </c>
      <c r="W339" s="3">
        <v>73</v>
      </c>
    </row>
    <row r="340" spans="1:23" ht="11.25" customHeight="1" x14ac:dyDescent="0.25">
      <c r="A340" s="3" t="s">
        <v>21</v>
      </c>
      <c r="B340" s="3" t="s">
        <v>22</v>
      </c>
      <c r="C340" s="3" t="s">
        <v>23</v>
      </c>
      <c r="D340" s="3" t="s">
        <v>24</v>
      </c>
      <c r="E340" s="3" t="s">
        <v>31</v>
      </c>
      <c r="F340" s="3" t="s">
        <v>25</v>
      </c>
      <c r="G340" s="3" t="s">
        <v>25</v>
      </c>
      <c r="H340" s="3" t="s">
        <v>25</v>
      </c>
      <c r="I340" s="6">
        <v>44621</v>
      </c>
      <c r="J340" s="4">
        <v>0</v>
      </c>
      <c r="K340" s="4">
        <v>0</v>
      </c>
      <c r="L340" s="4">
        <v>9.4109999999999996</v>
      </c>
      <c r="M340" s="4">
        <v>9.4109999999999996</v>
      </c>
      <c r="N340" s="4">
        <v>9.4109999999999996</v>
      </c>
      <c r="O340" s="4">
        <v>9.4109999999999996</v>
      </c>
      <c r="P340" s="4">
        <v>98</v>
      </c>
      <c r="Q340" s="3" t="s">
        <v>26</v>
      </c>
      <c r="R340" s="3">
        <v>0</v>
      </c>
      <c r="S340" s="3" t="s">
        <v>209</v>
      </c>
      <c r="T340" s="3" t="s">
        <v>334</v>
      </c>
      <c r="U340" s="3">
        <v>0</v>
      </c>
      <c r="V340" s="3">
        <v>26</v>
      </c>
      <c r="W340" s="3">
        <v>73</v>
      </c>
    </row>
    <row r="341" spans="1:23" ht="11.25" customHeight="1" x14ac:dyDescent="0.25">
      <c r="A341" s="3" t="s">
        <v>21</v>
      </c>
      <c r="B341" s="3" t="s">
        <v>22</v>
      </c>
      <c r="C341" s="3" t="s">
        <v>23</v>
      </c>
      <c r="D341" s="3" t="s">
        <v>24</v>
      </c>
      <c r="E341" s="3" t="s">
        <v>31</v>
      </c>
      <c r="F341" s="3" t="s">
        <v>25</v>
      </c>
      <c r="G341" s="3" t="s">
        <v>25</v>
      </c>
      <c r="H341" s="3" t="s">
        <v>25</v>
      </c>
      <c r="I341" s="6">
        <v>44652</v>
      </c>
      <c r="J341" s="4">
        <v>0</v>
      </c>
      <c r="K341" s="4">
        <v>0</v>
      </c>
      <c r="L341" s="4">
        <v>9.6950000000000003</v>
      </c>
      <c r="M341" s="4">
        <v>9.6950000000000003</v>
      </c>
      <c r="N341" s="4">
        <v>9.6950000000000003</v>
      </c>
      <c r="O341" s="4">
        <v>9.6950000000000003</v>
      </c>
      <c r="P341" s="4">
        <v>96</v>
      </c>
      <c r="Q341" s="3" t="s">
        <v>26</v>
      </c>
      <c r="R341" s="3">
        <v>0</v>
      </c>
      <c r="S341" s="3" t="s">
        <v>210</v>
      </c>
      <c r="T341" s="3" t="s">
        <v>335</v>
      </c>
      <c r="U341" s="3">
        <v>0</v>
      </c>
      <c r="V341" s="3">
        <v>26</v>
      </c>
      <c r="W341" s="3">
        <v>73</v>
      </c>
    </row>
    <row r="342" spans="1:23" ht="11.25" customHeight="1" x14ac:dyDescent="0.25">
      <c r="A342" s="3" t="s">
        <v>21</v>
      </c>
      <c r="B342" s="3" t="s">
        <v>22</v>
      </c>
      <c r="C342" s="3" t="s">
        <v>23</v>
      </c>
      <c r="D342" s="3" t="s">
        <v>24</v>
      </c>
      <c r="E342" s="3" t="s">
        <v>31</v>
      </c>
      <c r="F342" s="3" t="s">
        <v>25</v>
      </c>
      <c r="G342" s="3" t="s">
        <v>25</v>
      </c>
      <c r="H342" s="3" t="s">
        <v>25</v>
      </c>
      <c r="I342" s="6">
        <v>44682</v>
      </c>
      <c r="J342" s="4">
        <v>0</v>
      </c>
      <c r="K342" s="4">
        <v>0</v>
      </c>
      <c r="L342" s="4">
        <v>2.5819999999999999</v>
      </c>
      <c r="M342" s="4">
        <v>2.5819999999999999</v>
      </c>
      <c r="N342" s="4">
        <v>2.5819999999999999</v>
      </c>
      <c r="O342" s="4">
        <v>2.5819999999999999</v>
      </c>
      <c r="P342" s="4">
        <v>41</v>
      </c>
      <c r="Q342" s="3" t="s">
        <v>26</v>
      </c>
      <c r="R342" s="3">
        <v>0</v>
      </c>
      <c r="S342" s="3" t="s">
        <v>211</v>
      </c>
      <c r="T342" s="3" t="s">
        <v>336</v>
      </c>
      <c r="U342" s="3">
        <v>0</v>
      </c>
      <c r="V342" s="3">
        <v>26</v>
      </c>
      <c r="W342" s="3">
        <v>73</v>
      </c>
    </row>
    <row r="343" spans="1:23" ht="11.25" customHeight="1" x14ac:dyDescent="0.25">
      <c r="A343" s="3" t="s">
        <v>21</v>
      </c>
      <c r="B343" s="3" t="s">
        <v>22</v>
      </c>
      <c r="C343" s="3" t="s">
        <v>23</v>
      </c>
      <c r="D343" s="3" t="s">
        <v>24</v>
      </c>
      <c r="E343" s="3" t="s">
        <v>31</v>
      </c>
      <c r="F343" s="3" t="s">
        <v>25</v>
      </c>
      <c r="G343" s="3" t="s">
        <v>25</v>
      </c>
      <c r="H343" s="3" t="s">
        <v>25</v>
      </c>
      <c r="I343" s="6">
        <v>44713</v>
      </c>
      <c r="J343" s="4">
        <v>0</v>
      </c>
      <c r="K343" s="4">
        <v>0</v>
      </c>
      <c r="L343" s="4">
        <v>3.0760000000000001</v>
      </c>
      <c r="M343" s="4">
        <v>3.0760000000000001</v>
      </c>
      <c r="N343" s="4">
        <v>3.0760000000000001</v>
      </c>
      <c r="O343" s="4">
        <v>3.0760000000000001</v>
      </c>
      <c r="P343" s="4">
        <v>39</v>
      </c>
      <c r="Q343" s="3" t="s">
        <v>26</v>
      </c>
      <c r="R343" s="3">
        <v>0</v>
      </c>
      <c r="S343" s="3" t="s">
        <v>212</v>
      </c>
      <c r="T343" s="3" t="s">
        <v>337</v>
      </c>
      <c r="U343" s="3">
        <v>0</v>
      </c>
      <c r="V343" s="3">
        <v>26</v>
      </c>
      <c r="W343" s="3">
        <v>73</v>
      </c>
    </row>
    <row r="344" spans="1:23" ht="11.25" customHeight="1" x14ac:dyDescent="0.25">
      <c r="A344" s="3" t="s">
        <v>21</v>
      </c>
      <c r="B344" s="3" t="s">
        <v>22</v>
      </c>
      <c r="C344" s="3" t="s">
        <v>23</v>
      </c>
      <c r="D344" s="3" t="s">
        <v>24</v>
      </c>
      <c r="E344" s="3" t="s">
        <v>32</v>
      </c>
      <c r="F344" s="3" t="s">
        <v>25</v>
      </c>
      <c r="G344" s="3" t="s">
        <v>25</v>
      </c>
      <c r="H344" s="3" t="s">
        <v>25</v>
      </c>
      <c r="I344" s="6">
        <v>44378</v>
      </c>
      <c r="J344" s="4">
        <v>0</v>
      </c>
      <c r="K344" s="4">
        <v>0</v>
      </c>
      <c r="L344" s="4">
        <v>0.153</v>
      </c>
      <c r="M344" s="4">
        <v>0.153</v>
      </c>
      <c r="N344" s="4">
        <v>0.153</v>
      </c>
      <c r="O344" s="4">
        <v>0.153</v>
      </c>
      <c r="P344" s="4">
        <v>2</v>
      </c>
      <c r="Q344" s="3" t="s">
        <v>26</v>
      </c>
      <c r="R344" s="3">
        <v>0</v>
      </c>
      <c r="S344" s="3" t="s">
        <v>213</v>
      </c>
      <c r="T344" s="3" t="s">
        <v>338</v>
      </c>
      <c r="U344" s="3">
        <v>0</v>
      </c>
      <c r="V344" s="3">
        <v>18</v>
      </c>
      <c r="W344" s="3">
        <v>52</v>
      </c>
    </row>
    <row r="345" spans="1:23" ht="11.25" customHeight="1" x14ac:dyDescent="0.25">
      <c r="A345" s="3" t="s">
        <v>21</v>
      </c>
      <c r="B345" s="3" t="s">
        <v>22</v>
      </c>
      <c r="C345" s="3" t="s">
        <v>23</v>
      </c>
      <c r="D345" s="3" t="s">
        <v>24</v>
      </c>
      <c r="E345" s="3" t="s">
        <v>32</v>
      </c>
      <c r="F345" s="3" t="s">
        <v>25</v>
      </c>
      <c r="G345" s="3" t="s">
        <v>25</v>
      </c>
      <c r="H345" s="3" t="s">
        <v>25</v>
      </c>
      <c r="I345" s="6">
        <v>44409</v>
      </c>
      <c r="J345" s="4">
        <v>0</v>
      </c>
      <c r="K345" s="4">
        <v>0</v>
      </c>
      <c r="L345" s="4">
        <v>0.64600000000000002</v>
      </c>
      <c r="M345" s="4">
        <v>0.64600000000000002</v>
      </c>
      <c r="N345" s="4">
        <v>0.64600000000000002</v>
      </c>
      <c r="O345" s="4">
        <v>0.64600000000000002</v>
      </c>
      <c r="P345" s="4">
        <v>4</v>
      </c>
      <c r="Q345" s="3" t="s">
        <v>26</v>
      </c>
      <c r="R345" s="3">
        <v>0</v>
      </c>
      <c r="S345" s="3" t="s">
        <v>214</v>
      </c>
      <c r="T345" s="3" t="s">
        <v>339</v>
      </c>
      <c r="U345" s="3">
        <v>0</v>
      </c>
      <c r="V345" s="3">
        <v>18</v>
      </c>
      <c r="W345" s="3">
        <v>52</v>
      </c>
    </row>
    <row r="346" spans="1:23" ht="11.25" customHeight="1" x14ac:dyDescent="0.25">
      <c r="A346" s="3" t="s">
        <v>21</v>
      </c>
      <c r="B346" s="3" t="s">
        <v>22</v>
      </c>
      <c r="C346" s="3" t="s">
        <v>23</v>
      </c>
      <c r="D346" s="3" t="s">
        <v>24</v>
      </c>
      <c r="E346" s="3" t="s">
        <v>32</v>
      </c>
      <c r="F346" s="3" t="s">
        <v>25</v>
      </c>
      <c r="G346" s="3" t="s">
        <v>25</v>
      </c>
      <c r="H346" s="3" t="s">
        <v>25</v>
      </c>
      <c r="I346" s="6">
        <v>44440</v>
      </c>
      <c r="J346" s="4">
        <v>0</v>
      </c>
      <c r="K346" s="4">
        <v>0</v>
      </c>
      <c r="L346" s="4">
        <v>0.221</v>
      </c>
      <c r="M346" s="4">
        <v>0.221</v>
      </c>
      <c r="N346" s="4">
        <v>0.221</v>
      </c>
      <c r="O346" s="4">
        <v>0.221</v>
      </c>
      <c r="P346" s="4">
        <v>4</v>
      </c>
      <c r="Q346" s="3" t="s">
        <v>26</v>
      </c>
      <c r="R346" s="3">
        <v>0</v>
      </c>
      <c r="S346" s="3" t="s">
        <v>215</v>
      </c>
      <c r="T346" s="3" t="s">
        <v>340</v>
      </c>
      <c r="U346" s="3">
        <v>0</v>
      </c>
      <c r="V346" s="3">
        <v>18</v>
      </c>
      <c r="W346" s="3">
        <v>52</v>
      </c>
    </row>
    <row r="347" spans="1:23" ht="11.25" customHeight="1" x14ac:dyDescent="0.25">
      <c r="A347" s="3" t="s">
        <v>21</v>
      </c>
      <c r="B347" s="3" t="s">
        <v>22</v>
      </c>
      <c r="C347" s="3" t="s">
        <v>23</v>
      </c>
      <c r="D347" s="3" t="s">
        <v>24</v>
      </c>
      <c r="E347" s="3" t="s">
        <v>32</v>
      </c>
      <c r="F347" s="3" t="s">
        <v>25</v>
      </c>
      <c r="G347" s="3" t="s">
        <v>25</v>
      </c>
      <c r="H347" s="3" t="s">
        <v>25</v>
      </c>
      <c r="I347" s="6">
        <v>44470</v>
      </c>
      <c r="J347" s="4">
        <v>0</v>
      </c>
      <c r="K347" s="4">
        <v>0</v>
      </c>
      <c r="L347" s="4">
        <v>0.38200000000000001</v>
      </c>
      <c r="M347" s="4">
        <v>0.38200000000000001</v>
      </c>
      <c r="N347" s="4">
        <v>0.38200000000000001</v>
      </c>
      <c r="O347" s="4">
        <v>0.38200000000000001</v>
      </c>
      <c r="P347" s="4">
        <v>5</v>
      </c>
      <c r="Q347" s="3" t="s">
        <v>26</v>
      </c>
      <c r="R347" s="3">
        <v>0</v>
      </c>
      <c r="S347" s="3" t="s">
        <v>216</v>
      </c>
      <c r="T347" s="3" t="s">
        <v>341</v>
      </c>
      <c r="U347" s="3">
        <v>0</v>
      </c>
      <c r="V347" s="3">
        <v>18</v>
      </c>
      <c r="W347" s="3">
        <v>52</v>
      </c>
    </row>
    <row r="348" spans="1:23" ht="11.25" customHeight="1" x14ac:dyDescent="0.25">
      <c r="A348" s="3" t="s">
        <v>21</v>
      </c>
      <c r="B348" s="3" t="s">
        <v>22</v>
      </c>
      <c r="C348" s="3" t="s">
        <v>23</v>
      </c>
      <c r="D348" s="3" t="s">
        <v>24</v>
      </c>
      <c r="E348" s="3" t="s">
        <v>32</v>
      </c>
      <c r="F348" s="3" t="s">
        <v>25</v>
      </c>
      <c r="G348" s="3" t="s">
        <v>25</v>
      </c>
      <c r="H348" s="3" t="s">
        <v>25</v>
      </c>
      <c r="I348" s="6">
        <v>44501</v>
      </c>
      <c r="J348" s="4">
        <v>0</v>
      </c>
      <c r="K348" s="4">
        <v>0</v>
      </c>
      <c r="L348" s="4">
        <v>0.182</v>
      </c>
      <c r="M348" s="4">
        <v>0.182</v>
      </c>
      <c r="N348" s="4">
        <v>0.182</v>
      </c>
      <c r="O348" s="4">
        <v>0.182</v>
      </c>
      <c r="P348" s="4">
        <v>4</v>
      </c>
      <c r="Q348" s="3" t="s">
        <v>26</v>
      </c>
      <c r="R348" s="3">
        <v>0</v>
      </c>
      <c r="S348" s="3" t="s">
        <v>217</v>
      </c>
      <c r="T348" s="3" t="s">
        <v>342</v>
      </c>
      <c r="U348" s="3">
        <v>0</v>
      </c>
      <c r="V348" s="3">
        <v>18</v>
      </c>
      <c r="W348" s="3">
        <v>52</v>
      </c>
    </row>
    <row r="349" spans="1:23" ht="11.25" customHeight="1" x14ac:dyDescent="0.25">
      <c r="A349" s="3" t="s">
        <v>21</v>
      </c>
      <c r="B349" s="3" t="s">
        <v>22</v>
      </c>
      <c r="C349" s="3" t="s">
        <v>23</v>
      </c>
      <c r="D349" s="3" t="s">
        <v>24</v>
      </c>
      <c r="E349" s="3" t="s">
        <v>32</v>
      </c>
      <c r="F349" s="3" t="s">
        <v>25</v>
      </c>
      <c r="G349" s="3" t="s">
        <v>25</v>
      </c>
      <c r="H349" s="3" t="s">
        <v>25</v>
      </c>
      <c r="I349" s="6">
        <v>44531</v>
      </c>
      <c r="J349" s="4">
        <v>0</v>
      </c>
      <c r="K349" s="4">
        <v>0</v>
      </c>
      <c r="L349" s="4">
        <v>0.24399999999999999</v>
      </c>
      <c r="M349" s="4">
        <v>0.24399999999999999</v>
      </c>
      <c r="N349" s="4">
        <v>0.24399999999999999</v>
      </c>
      <c r="O349" s="4">
        <v>0.24399999999999999</v>
      </c>
      <c r="P349" s="4">
        <v>4</v>
      </c>
      <c r="Q349" s="3" t="s">
        <v>26</v>
      </c>
      <c r="R349" s="3">
        <v>0</v>
      </c>
      <c r="S349" s="3" t="s">
        <v>218</v>
      </c>
      <c r="T349" s="3" t="s">
        <v>343</v>
      </c>
      <c r="U349" s="3">
        <v>0</v>
      </c>
      <c r="V349" s="3">
        <v>18</v>
      </c>
      <c r="W349" s="3">
        <v>52</v>
      </c>
    </row>
    <row r="350" spans="1:23" ht="11.25" customHeight="1" x14ac:dyDescent="0.25">
      <c r="A350" s="3" t="s">
        <v>21</v>
      </c>
      <c r="B350" s="3" t="s">
        <v>22</v>
      </c>
      <c r="C350" s="3" t="s">
        <v>23</v>
      </c>
      <c r="D350" s="3" t="s">
        <v>24</v>
      </c>
      <c r="E350" s="3" t="s">
        <v>32</v>
      </c>
      <c r="F350" s="3" t="s">
        <v>25</v>
      </c>
      <c r="G350" s="3" t="s">
        <v>25</v>
      </c>
      <c r="H350" s="3" t="s">
        <v>25</v>
      </c>
      <c r="I350" s="6">
        <v>44562</v>
      </c>
      <c r="J350" s="4">
        <v>0</v>
      </c>
      <c r="K350" s="4">
        <v>0</v>
      </c>
      <c r="L350" s="4">
        <v>0.30199999999999999</v>
      </c>
      <c r="M350" s="4">
        <v>0.30199999999999999</v>
      </c>
      <c r="N350" s="4">
        <v>0.30199999999999999</v>
      </c>
      <c r="O350" s="4">
        <v>0.30199999999999999</v>
      </c>
      <c r="P350" s="4">
        <v>6</v>
      </c>
      <c r="Q350" s="3" t="s">
        <v>26</v>
      </c>
      <c r="R350" s="3">
        <v>0</v>
      </c>
      <c r="S350" s="3" t="s">
        <v>219</v>
      </c>
      <c r="T350" s="3" t="s">
        <v>344</v>
      </c>
      <c r="U350" s="3">
        <v>0</v>
      </c>
      <c r="V350" s="3">
        <v>18</v>
      </c>
      <c r="W350" s="3">
        <v>52</v>
      </c>
    </row>
    <row r="351" spans="1:23" ht="11.25" customHeight="1" x14ac:dyDescent="0.25">
      <c r="A351" s="3" t="s">
        <v>21</v>
      </c>
      <c r="B351" s="3" t="s">
        <v>22</v>
      </c>
      <c r="C351" s="3" t="s">
        <v>23</v>
      </c>
      <c r="D351" s="3" t="s">
        <v>24</v>
      </c>
      <c r="E351" s="3" t="s">
        <v>32</v>
      </c>
      <c r="F351" s="3" t="s">
        <v>25</v>
      </c>
      <c r="G351" s="3" t="s">
        <v>25</v>
      </c>
      <c r="H351" s="3" t="s">
        <v>25</v>
      </c>
      <c r="I351" s="6">
        <v>44593</v>
      </c>
      <c r="J351" s="4">
        <v>0</v>
      </c>
      <c r="K351" s="4">
        <v>0</v>
      </c>
      <c r="L351" s="4">
        <v>1.462</v>
      </c>
      <c r="M351" s="4">
        <v>1.462</v>
      </c>
      <c r="N351" s="4">
        <v>1.462</v>
      </c>
      <c r="O351" s="4">
        <v>1.462</v>
      </c>
      <c r="P351" s="4">
        <v>29</v>
      </c>
      <c r="Q351" s="3" t="s">
        <v>26</v>
      </c>
      <c r="R351" s="3">
        <v>0</v>
      </c>
      <c r="S351" s="3" t="s">
        <v>220</v>
      </c>
      <c r="T351" s="3" t="s">
        <v>345</v>
      </c>
      <c r="U351" s="3">
        <v>0</v>
      </c>
      <c r="V351" s="3">
        <v>18</v>
      </c>
      <c r="W351" s="3">
        <v>52</v>
      </c>
    </row>
    <row r="352" spans="1:23" ht="11.25" customHeight="1" x14ac:dyDescent="0.25">
      <c r="A352" s="3" t="s">
        <v>21</v>
      </c>
      <c r="B352" s="3" t="s">
        <v>22</v>
      </c>
      <c r="C352" s="3" t="s">
        <v>23</v>
      </c>
      <c r="D352" s="3" t="s">
        <v>24</v>
      </c>
      <c r="E352" s="3" t="s">
        <v>32</v>
      </c>
      <c r="F352" s="3" t="s">
        <v>25</v>
      </c>
      <c r="G352" s="3" t="s">
        <v>25</v>
      </c>
      <c r="H352" s="3" t="s">
        <v>25</v>
      </c>
      <c r="I352" s="6">
        <v>44621</v>
      </c>
      <c r="J352" s="4">
        <v>0</v>
      </c>
      <c r="K352" s="4">
        <v>0</v>
      </c>
      <c r="L352" s="4">
        <v>1.6459999999999999</v>
      </c>
      <c r="M352" s="4">
        <v>1.6459999999999999</v>
      </c>
      <c r="N352" s="4">
        <v>1.6459999999999999</v>
      </c>
      <c r="O352" s="4">
        <v>1.6459999999999999</v>
      </c>
      <c r="P352" s="4">
        <v>34</v>
      </c>
      <c r="Q352" s="3" t="s">
        <v>26</v>
      </c>
      <c r="R352" s="3">
        <v>0</v>
      </c>
      <c r="S352" s="3" t="s">
        <v>221</v>
      </c>
      <c r="T352" s="3" t="s">
        <v>346</v>
      </c>
      <c r="U352" s="3">
        <v>0</v>
      </c>
      <c r="V352" s="3">
        <v>18</v>
      </c>
      <c r="W352" s="3">
        <v>52</v>
      </c>
    </row>
    <row r="353" spans="1:23" ht="11.25" customHeight="1" x14ac:dyDescent="0.25">
      <c r="A353" s="3" t="s">
        <v>21</v>
      </c>
      <c r="B353" s="3" t="s">
        <v>22</v>
      </c>
      <c r="C353" s="3" t="s">
        <v>23</v>
      </c>
      <c r="D353" s="3" t="s">
        <v>24</v>
      </c>
      <c r="E353" s="3" t="s">
        <v>32</v>
      </c>
      <c r="F353" s="3" t="s">
        <v>25</v>
      </c>
      <c r="G353" s="3" t="s">
        <v>25</v>
      </c>
      <c r="H353" s="3" t="s">
        <v>25</v>
      </c>
      <c r="I353" s="6">
        <v>44652</v>
      </c>
      <c r="J353" s="4">
        <v>0</v>
      </c>
      <c r="K353" s="4">
        <v>0</v>
      </c>
      <c r="L353" s="4">
        <v>2.661</v>
      </c>
      <c r="M353" s="4">
        <v>2.661</v>
      </c>
      <c r="N353" s="4">
        <v>2.661</v>
      </c>
      <c r="O353" s="4">
        <v>2.661</v>
      </c>
      <c r="P353" s="4">
        <v>37</v>
      </c>
      <c r="Q353" s="3" t="s">
        <v>26</v>
      </c>
      <c r="R353" s="3">
        <v>0</v>
      </c>
      <c r="S353" s="3" t="s">
        <v>222</v>
      </c>
      <c r="T353" s="3" t="s">
        <v>347</v>
      </c>
      <c r="U353" s="3">
        <v>0</v>
      </c>
      <c r="V353" s="3">
        <v>18</v>
      </c>
      <c r="W353" s="3">
        <v>52</v>
      </c>
    </row>
    <row r="354" spans="1:23" ht="11.25" customHeight="1" x14ac:dyDescent="0.25">
      <c r="A354" s="3" t="s">
        <v>21</v>
      </c>
      <c r="B354" s="3" t="s">
        <v>22</v>
      </c>
      <c r="C354" s="3" t="s">
        <v>23</v>
      </c>
      <c r="D354" s="3" t="s">
        <v>24</v>
      </c>
      <c r="E354" s="3" t="s">
        <v>32</v>
      </c>
      <c r="F354" s="3" t="s">
        <v>25</v>
      </c>
      <c r="G354" s="3" t="s">
        <v>25</v>
      </c>
      <c r="H354" s="3" t="s">
        <v>25</v>
      </c>
      <c r="I354" s="6">
        <v>44682</v>
      </c>
      <c r="J354" s="4">
        <v>0</v>
      </c>
      <c r="K354" s="4">
        <v>0</v>
      </c>
      <c r="L354" s="4">
        <v>0.85499999999999998</v>
      </c>
      <c r="M354" s="4">
        <v>0.85499999999999998</v>
      </c>
      <c r="N354" s="4">
        <v>0.85499999999999998</v>
      </c>
      <c r="O354" s="4">
        <v>0.85499999999999998</v>
      </c>
      <c r="P354" s="4">
        <v>8</v>
      </c>
      <c r="Q354" s="3" t="s">
        <v>26</v>
      </c>
      <c r="R354" s="3">
        <v>0</v>
      </c>
      <c r="S354" s="3" t="s">
        <v>223</v>
      </c>
      <c r="T354" s="3" t="s">
        <v>348</v>
      </c>
      <c r="U354" s="3">
        <v>0</v>
      </c>
      <c r="V354" s="3">
        <v>18</v>
      </c>
      <c r="W354" s="3">
        <v>52</v>
      </c>
    </row>
    <row r="355" spans="1:23" ht="11.25" customHeight="1" x14ac:dyDescent="0.25">
      <c r="A355" s="3" t="s">
        <v>21</v>
      </c>
      <c r="B355" s="3" t="s">
        <v>22</v>
      </c>
      <c r="C355" s="3" t="s">
        <v>23</v>
      </c>
      <c r="D355" s="3" t="s">
        <v>24</v>
      </c>
      <c r="E355" s="3" t="s">
        <v>32</v>
      </c>
      <c r="F355" s="3" t="s">
        <v>25</v>
      </c>
      <c r="G355" s="3" t="s">
        <v>25</v>
      </c>
      <c r="H355" s="3" t="s">
        <v>25</v>
      </c>
      <c r="I355" s="6">
        <v>44713</v>
      </c>
      <c r="J355" s="4">
        <v>0</v>
      </c>
      <c r="K355" s="4">
        <v>0</v>
      </c>
      <c r="L355" s="4">
        <v>1.321</v>
      </c>
      <c r="M355" s="4">
        <v>1.321</v>
      </c>
      <c r="N355" s="4">
        <v>1.321</v>
      </c>
      <c r="O355" s="4">
        <v>1.321</v>
      </c>
      <c r="P355" s="4">
        <v>9</v>
      </c>
      <c r="Q355" s="3" t="s">
        <v>26</v>
      </c>
      <c r="R355" s="3">
        <v>0</v>
      </c>
      <c r="S355" s="3" t="s">
        <v>224</v>
      </c>
      <c r="T355" s="3" t="s">
        <v>349</v>
      </c>
      <c r="U355" s="3">
        <v>0</v>
      </c>
      <c r="V355" s="3">
        <v>18</v>
      </c>
      <c r="W355" s="3">
        <v>52</v>
      </c>
    </row>
    <row r="356" spans="1:23" ht="11.25" customHeight="1" x14ac:dyDescent="0.25">
      <c r="A356" s="3" t="s">
        <v>21</v>
      </c>
      <c r="B356" s="3" t="s">
        <v>41</v>
      </c>
      <c r="C356" s="3" t="s">
        <v>23</v>
      </c>
      <c r="D356" s="3" t="s">
        <v>42</v>
      </c>
      <c r="E356" s="3" t="s">
        <v>49</v>
      </c>
      <c r="F356" s="3" t="s">
        <v>50</v>
      </c>
      <c r="G356" s="3" t="s">
        <v>25</v>
      </c>
      <c r="H356" s="3" t="s">
        <v>25</v>
      </c>
      <c r="I356" s="6">
        <v>44378</v>
      </c>
      <c r="J356" s="4">
        <v>0</v>
      </c>
      <c r="K356" s="4">
        <v>0</v>
      </c>
      <c r="L356" s="4">
        <v>2.1880000000000002</v>
      </c>
      <c r="M356" s="4">
        <v>2.1880000000000002</v>
      </c>
      <c r="N356" s="4">
        <v>2.1880000000000002</v>
      </c>
      <c r="O356" s="4">
        <v>2.1880000000000002</v>
      </c>
      <c r="P356" s="4">
        <v>0</v>
      </c>
      <c r="Q356" s="3" t="s">
        <v>26</v>
      </c>
      <c r="R356" s="3">
        <v>0</v>
      </c>
      <c r="S356" s="3" t="s">
        <v>225</v>
      </c>
      <c r="T356" s="3" t="s">
        <v>350</v>
      </c>
      <c r="U356" s="3">
        <v>0</v>
      </c>
      <c r="V356" s="3">
        <v>29</v>
      </c>
      <c r="W356" s="3">
        <v>63</v>
      </c>
    </row>
    <row r="357" spans="1:23" ht="11.25" customHeight="1" x14ac:dyDescent="0.25">
      <c r="A357" s="3" t="s">
        <v>28</v>
      </c>
      <c r="B357" s="3" t="s">
        <v>41</v>
      </c>
      <c r="C357" s="3" t="s">
        <v>23</v>
      </c>
      <c r="D357" s="3" t="s">
        <v>42</v>
      </c>
      <c r="E357" s="3" t="s">
        <v>49</v>
      </c>
      <c r="F357" s="3" t="s">
        <v>50</v>
      </c>
      <c r="G357" s="3" t="s">
        <v>25</v>
      </c>
      <c r="H357" s="3" t="s">
        <v>25</v>
      </c>
      <c r="I357" s="6">
        <v>44378</v>
      </c>
      <c r="J357" s="4">
        <v>0</v>
      </c>
      <c r="K357" s="4">
        <v>0</v>
      </c>
      <c r="L357" s="4">
        <v>0.2</v>
      </c>
      <c r="M357" s="4">
        <v>0.2</v>
      </c>
      <c r="N357" s="4">
        <v>0.2</v>
      </c>
      <c r="O357" s="4">
        <v>0.2</v>
      </c>
      <c r="P357" s="4">
        <v>0</v>
      </c>
      <c r="Q357" s="3" t="s">
        <v>26</v>
      </c>
      <c r="R357" s="3">
        <v>0</v>
      </c>
      <c r="S357" s="3" t="s">
        <v>225</v>
      </c>
      <c r="T357" s="3" t="s">
        <v>350</v>
      </c>
      <c r="U357" s="3">
        <v>0</v>
      </c>
      <c r="V357" s="3">
        <v>29</v>
      </c>
      <c r="W357" s="3">
        <v>63</v>
      </c>
    </row>
    <row r="358" spans="1:23" ht="11.25" customHeight="1" x14ac:dyDescent="0.25">
      <c r="A358" s="3" t="s">
        <v>21</v>
      </c>
      <c r="B358" s="3" t="s">
        <v>41</v>
      </c>
      <c r="C358" s="3" t="s">
        <v>23</v>
      </c>
      <c r="D358" s="3" t="s">
        <v>42</v>
      </c>
      <c r="E358" s="3" t="s">
        <v>49</v>
      </c>
      <c r="F358" s="3" t="s">
        <v>50</v>
      </c>
      <c r="G358" s="3" t="s">
        <v>25</v>
      </c>
      <c r="H358" s="3" t="s">
        <v>25</v>
      </c>
      <c r="I358" s="6">
        <v>44409</v>
      </c>
      <c r="J358" s="4">
        <v>0</v>
      </c>
      <c r="K358" s="4">
        <v>0</v>
      </c>
      <c r="L358" s="4">
        <v>3.657</v>
      </c>
      <c r="M358" s="4">
        <v>3.657</v>
      </c>
      <c r="N358" s="4">
        <v>3.657</v>
      </c>
      <c r="O358" s="4">
        <v>3.657</v>
      </c>
      <c r="P358" s="4">
        <v>0</v>
      </c>
      <c r="Q358" s="3" t="s">
        <v>26</v>
      </c>
      <c r="R358" s="3">
        <v>0</v>
      </c>
      <c r="S358" s="3" t="s">
        <v>226</v>
      </c>
      <c r="T358" s="3" t="s">
        <v>351</v>
      </c>
      <c r="U358" s="3">
        <v>0</v>
      </c>
      <c r="V358" s="3">
        <v>29</v>
      </c>
      <c r="W358" s="3">
        <v>63</v>
      </c>
    </row>
    <row r="359" spans="1:23" ht="11.25" customHeight="1" x14ac:dyDescent="0.25">
      <c r="A359" s="3" t="s">
        <v>21</v>
      </c>
      <c r="B359" s="3" t="s">
        <v>41</v>
      </c>
      <c r="C359" s="3" t="s">
        <v>23</v>
      </c>
      <c r="D359" s="3" t="s">
        <v>42</v>
      </c>
      <c r="E359" s="3" t="s">
        <v>49</v>
      </c>
      <c r="F359" s="3" t="s">
        <v>50</v>
      </c>
      <c r="G359" s="3" t="s">
        <v>25</v>
      </c>
      <c r="H359" s="3" t="s">
        <v>25</v>
      </c>
      <c r="I359" s="6">
        <v>44440</v>
      </c>
      <c r="J359" s="4">
        <v>0</v>
      </c>
      <c r="K359" s="4">
        <v>0</v>
      </c>
      <c r="L359" s="4">
        <v>3.3420000000000001</v>
      </c>
      <c r="M359" s="4">
        <v>3.3420000000000001</v>
      </c>
      <c r="N359" s="4">
        <v>3.3420000000000001</v>
      </c>
      <c r="O359" s="4">
        <v>3.3420000000000001</v>
      </c>
      <c r="P359" s="4">
        <v>0</v>
      </c>
      <c r="Q359" s="3" t="s">
        <v>26</v>
      </c>
      <c r="R359" s="3">
        <v>0</v>
      </c>
      <c r="S359" s="3" t="s">
        <v>227</v>
      </c>
      <c r="T359" s="3" t="s">
        <v>352</v>
      </c>
      <c r="U359" s="3">
        <v>0</v>
      </c>
      <c r="V359" s="3">
        <v>29</v>
      </c>
      <c r="W359" s="3">
        <v>63</v>
      </c>
    </row>
    <row r="360" spans="1:23" ht="11.25" customHeight="1" x14ac:dyDescent="0.25">
      <c r="A360" s="3" t="s">
        <v>28</v>
      </c>
      <c r="B360" s="3" t="s">
        <v>41</v>
      </c>
      <c r="C360" s="3" t="s">
        <v>23</v>
      </c>
      <c r="D360" s="3" t="s">
        <v>42</v>
      </c>
      <c r="E360" s="3" t="s">
        <v>49</v>
      </c>
      <c r="F360" s="3" t="s">
        <v>50</v>
      </c>
      <c r="G360" s="3" t="s">
        <v>25</v>
      </c>
      <c r="H360" s="3" t="s">
        <v>25</v>
      </c>
      <c r="I360" s="6">
        <v>44440</v>
      </c>
      <c r="J360" s="4">
        <v>0</v>
      </c>
      <c r="K360" s="4">
        <v>0</v>
      </c>
      <c r="L360" s="4">
        <v>0.25</v>
      </c>
      <c r="M360" s="4">
        <v>0.25</v>
      </c>
      <c r="N360" s="4">
        <v>0.25</v>
      </c>
      <c r="O360" s="4">
        <v>0.25</v>
      </c>
      <c r="P360" s="4">
        <v>0</v>
      </c>
      <c r="Q360" s="3" t="s">
        <v>26</v>
      </c>
      <c r="R360" s="3">
        <v>0</v>
      </c>
      <c r="S360" s="3" t="s">
        <v>227</v>
      </c>
      <c r="T360" s="3" t="s">
        <v>352</v>
      </c>
      <c r="U360" s="3">
        <v>0</v>
      </c>
      <c r="V360" s="3">
        <v>29</v>
      </c>
      <c r="W360" s="3">
        <v>63</v>
      </c>
    </row>
    <row r="361" spans="1:23" ht="11.25" customHeight="1" x14ac:dyDescent="0.25">
      <c r="A361" s="3" t="s">
        <v>21</v>
      </c>
      <c r="B361" s="3" t="s">
        <v>41</v>
      </c>
      <c r="C361" s="3" t="s">
        <v>23</v>
      </c>
      <c r="D361" s="3" t="s">
        <v>42</v>
      </c>
      <c r="E361" s="3" t="s">
        <v>49</v>
      </c>
      <c r="F361" s="3" t="s">
        <v>50</v>
      </c>
      <c r="G361" s="3" t="s">
        <v>25</v>
      </c>
      <c r="H361" s="3" t="s">
        <v>25</v>
      </c>
      <c r="I361" s="6">
        <v>44470</v>
      </c>
      <c r="J361" s="4">
        <v>0</v>
      </c>
      <c r="K361" s="4">
        <v>0</v>
      </c>
      <c r="L361" s="4">
        <v>1.994</v>
      </c>
      <c r="M361" s="4">
        <v>1.994</v>
      </c>
      <c r="N361" s="4">
        <v>1.994</v>
      </c>
      <c r="O361" s="4">
        <v>1.994</v>
      </c>
      <c r="P361" s="4">
        <v>0</v>
      </c>
      <c r="Q361" s="3" t="s">
        <v>26</v>
      </c>
      <c r="R361" s="3">
        <v>0</v>
      </c>
      <c r="S361" s="3" t="s">
        <v>228</v>
      </c>
      <c r="T361" s="3" t="s">
        <v>353</v>
      </c>
      <c r="U361" s="3">
        <v>0</v>
      </c>
      <c r="V361" s="3">
        <v>29</v>
      </c>
      <c r="W361" s="3">
        <v>63</v>
      </c>
    </row>
    <row r="362" spans="1:23" ht="11.25" customHeight="1" x14ac:dyDescent="0.25">
      <c r="A362" s="3" t="s">
        <v>28</v>
      </c>
      <c r="B362" s="3" t="s">
        <v>41</v>
      </c>
      <c r="C362" s="3" t="s">
        <v>23</v>
      </c>
      <c r="D362" s="3" t="s">
        <v>42</v>
      </c>
      <c r="E362" s="3" t="s">
        <v>49</v>
      </c>
      <c r="F362" s="3" t="s">
        <v>50</v>
      </c>
      <c r="G362" s="3" t="s">
        <v>25</v>
      </c>
      <c r="H362" s="3" t="s">
        <v>25</v>
      </c>
      <c r="I362" s="6">
        <v>44470</v>
      </c>
      <c r="J362" s="4">
        <v>0</v>
      </c>
      <c r="K362" s="4">
        <v>0</v>
      </c>
      <c r="L362" s="4">
        <v>0.439</v>
      </c>
      <c r="M362" s="4">
        <v>0.439</v>
      </c>
      <c r="N362" s="4">
        <v>0.439</v>
      </c>
      <c r="O362" s="4">
        <v>0.439</v>
      </c>
      <c r="P362" s="4">
        <v>0</v>
      </c>
      <c r="Q362" s="3" t="s">
        <v>26</v>
      </c>
      <c r="R362" s="3">
        <v>0</v>
      </c>
      <c r="S362" s="3" t="s">
        <v>228</v>
      </c>
      <c r="T362" s="3" t="s">
        <v>353</v>
      </c>
      <c r="U362" s="3">
        <v>0</v>
      </c>
      <c r="V362" s="3">
        <v>29</v>
      </c>
      <c r="W362" s="3">
        <v>63</v>
      </c>
    </row>
    <row r="363" spans="1:23" ht="11.25" customHeight="1" x14ac:dyDescent="0.25">
      <c r="A363" s="3" t="s">
        <v>21</v>
      </c>
      <c r="B363" s="3" t="s">
        <v>41</v>
      </c>
      <c r="C363" s="3" t="s">
        <v>23</v>
      </c>
      <c r="D363" s="3" t="s">
        <v>42</v>
      </c>
      <c r="E363" s="3" t="s">
        <v>49</v>
      </c>
      <c r="F363" s="3" t="s">
        <v>50</v>
      </c>
      <c r="G363" s="3" t="s">
        <v>25</v>
      </c>
      <c r="H363" s="3" t="s">
        <v>25</v>
      </c>
      <c r="I363" s="6">
        <v>44501</v>
      </c>
      <c r="J363" s="4">
        <v>0</v>
      </c>
      <c r="K363" s="4">
        <v>0</v>
      </c>
      <c r="L363" s="4">
        <v>21.58</v>
      </c>
      <c r="M363" s="4">
        <v>21.58</v>
      </c>
      <c r="N363" s="4">
        <v>21.58</v>
      </c>
      <c r="O363" s="4">
        <v>21.58</v>
      </c>
      <c r="P363" s="4">
        <v>0</v>
      </c>
      <c r="Q363" s="3" t="s">
        <v>26</v>
      </c>
      <c r="R363" s="3">
        <v>0</v>
      </c>
      <c r="S363" s="3" t="s">
        <v>229</v>
      </c>
      <c r="T363" s="3" t="s">
        <v>354</v>
      </c>
      <c r="U363" s="3">
        <v>0</v>
      </c>
      <c r="V363" s="3">
        <v>29</v>
      </c>
      <c r="W363" s="3">
        <v>63</v>
      </c>
    </row>
    <row r="364" spans="1:23" ht="11.25" customHeight="1" x14ac:dyDescent="0.25">
      <c r="A364" s="3" t="s">
        <v>28</v>
      </c>
      <c r="B364" s="3" t="s">
        <v>41</v>
      </c>
      <c r="C364" s="3" t="s">
        <v>23</v>
      </c>
      <c r="D364" s="3" t="s">
        <v>42</v>
      </c>
      <c r="E364" s="3" t="s">
        <v>49</v>
      </c>
      <c r="F364" s="3" t="s">
        <v>50</v>
      </c>
      <c r="G364" s="3" t="s">
        <v>25</v>
      </c>
      <c r="H364" s="3" t="s">
        <v>25</v>
      </c>
      <c r="I364" s="6">
        <v>44501</v>
      </c>
      <c r="J364" s="4">
        <v>0</v>
      </c>
      <c r="K364" s="4">
        <v>0</v>
      </c>
      <c r="L364" s="4">
        <v>0.77</v>
      </c>
      <c r="M364" s="4">
        <v>0.77</v>
      </c>
      <c r="N364" s="4">
        <v>0.77</v>
      </c>
      <c r="O364" s="4">
        <v>0.77</v>
      </c>
      <c r="P364" s="4">
        <v>0</v>
      </c>
      <c r="Q364" s="3" t="s">
        <v>26</v>
      </c>
      <c r="R364" s="3">
        <v>0</v>
      </c>
      <c r="S364" s="3" t="s">
        <v>229</v>
      </c>
      <c r="T364" s="3" t="s">
        <v>354</v>
      </c>
      <c r="U364" s="3">
        <v>0</v>
      </c>
      <c r="V364" s="3">
        <v>29</v>
      </c>
      <c r="W364" s="3">
        <v>63</v>
      </c>
    </row>
    <row r="365" spans="1:23" ht="11.25" customHeight="1" x14ac:dyDescent="0.25">
      <c r="A365" s="3" t="s">
        <v>21</v>
      </c>
      <c r="B365" s="3" t="s">
        <v>41</v>
      </c>
      <c r="C365" s="3" t="s">
        <v>23</v>
      </c>
      <c r="D365" s="3" t="s">
        <v>42</v>
      </c>
      <c r="E365" s="3" t="s">
        <v>49</v>
      </c>
      <c r="F365" s="3" t="s">
        <v>50</v>
      </c>
      <c r="G365" s="3" t="s">
        <v>25</v>
      </c>
      <c r="H365" s="3" t="s">
        <v>25</v>
      </c>
      <c r="I365" s="6">
        <v>44531</v>
      </c>
      <c r="J365" s="4">
        <v>0</v>
      </c>
      <c r="K365" s="4">
        <v>0</v>
      </c>
      <c r="L365" s="4">
        <v>54.412999999999997</v>
      </c>
      <c r="M365" s="4">
        <v>54.412999999999997</v>
      </c>
      <c r="N365" s="4">
        <v>54.412999999999997</v>
      </c>
      <c r="O365" s="4">
        <v>54.412999999999997</v>
      </c>
      <c r="P365" s="4">
        <v>0</v>
      </c>
      <c r="Q365" s="3" t="s">
        <v>26</v>
      </c>
      <c r="R365" s="3">
        <v>0</v>
      </c>
      <c r="S365" s="3" t="s">
        <v>230</v>
      </c>
      <c r="T365" s="3" t="s">
        <v>355</v>
      </c>
      <c r="U365" s="3">
        <v>0</v>
      </c>
      <c r="V365" s="3">
        <v>29</v>
      </c>
      <c r="W365" s="3">
        <v>63</v>
      </c>
    </row>
    <row r="366" spans="1:23" ht="11.25" customHeight="1" x14ac:dyDescent="0.25">
      <c r="A366" s="3" t="s">
        <v>28</v>
      </c>
      <c r="B366" s="3" t="s">
        <v>41</v>
      </c>
      <c r="C366" s="3" t="s">
        <v>23</v>
      </c>
      <c r="D366" s="3" t="s">
        <v>42</v>
      </c>
      <c r="E366" s="3" t="s">
        <v>49</v>
      </c>
      <c r="F366" s="3" t="s">
        <v>50</v>
      </c>
      <c r="G366" s="3" t="s">
        <v>25</v>
      </c>
      <c r="H366" s="3" t="s">
        <v>25</v>
      </c>
      <c r="I366" s="6">
        <v>44531</v>
      </c>
      <c r="J366" s="4">
        <v>0</v>
      </c>
      <c r="K366" s="4">
        <v>0</v>
      </c>
      <c r="L366" s="4">
        <v>0.59099999999999997</v>
      </c>
      <c r="M366" s="4">
        <v>0.59099999999999997</v>
      </c>
      <c r="N366" s="4">
        <v>0.59099999999999997</v>
      </c>
      <c r="O366" s="4">
        <v>0.59099999999999997</v>
      </c>
      <c r="P366" s="4">
        <v>0</v>
      </c>
      <c r="Q366" s="3" t="s">
        <v>26</v>
      </c>
      <c r="R366" s="3">
        <v>0</v>
      </c>
      <c r="S366" s="3" t="s">
        <v>230</v>
      </c>
      <c r="T366" s="3" t="s">
        <v>355</v>
      </c>
      <c r="U366" s="3">
        <v>0</v>
      </c>
      <c r="V366" s="3">
        <v>29</v>
      </c>
      <c r="W366" s="3">
        <v>63</v>
      </c>
    </row>
    <row r="367" spans="1:23" ht="11.25" customHeight="1" x14ac:dyDescent="0.25">
      <c r="A367" s="3" t="s">
        <v>21</v>
      </c>
      <c r="B367" s="3" t="s">
        <v>41</v>
      </c>
      <c r="C367" s="3" t="s">
        <v>23</v>
      </c>
      <c r="D367" s="3" t="s">
        <v>42</v>
      </c>
      <c r="E367" s="3" t="s">
        <v>49</v>
      </c>
      <c r="F367" s="3" t="s">
        <v>50</v>
      </c>
      <c r="G367" s="3" t="s">
        <v>25</v>
      </c>
      <c r="H367" s="3" t="s">
        <v>25</v>
      </c>
      <c r="I367" s="6">
        <v>44562</v>
      </c>
      <c r="J367" s="4">
        <v>0</v>
      </c>
      <c r="K367" s="4">
        <v>0</v>
      </c>
      <c r="L367" s="4">
        <v>37.627000000000002</v>
      </c>
      <c r="M367" s="4">
        <v>37.627000000000002</v>
      </c>
      <c r="N367" s="4">
        <v>37.627000000000002</v>
      </c>
      <c r="O367" s="4">
        <v>37.627000000000002</v>
      </c>
      <c r="P367" s="4">
        <v>0</v>
      </c>
      <c r="Q367" s="3" t="s">
        <v>26</v>
      </c>
      <c r="R367" s="3">
        <v>0</v>
      </c>
      <c r="S367" s="3" t="s">
        <v>231</v>
      </c>
      <c r="T367" s="3" t="s">
        <v>356</v>
      </c>
      <c r="U367" s="3">
        <v>0</v>
      </c>
      <c r="V367" s="3">
        <v>29</v>
      </c>
      <c r="W367" s="3">
        <v>63</v>
      </c>
    </row>
    <row r="368" spans="1:23" ht="11.25" customHeight="1" x14ac:dyDescent="0.25">
      <c r="A368" s="3" t="s">
        <v>28</v>
      </c>
      <c r="B368" s="3" t="s">
        <v>41</v>
      </c>
      <c r="C368" s="3" t="s">
        <v>23</v>
      </c>
      <c r="D368" s="3" t="s">
        <v>42</v>
      </c>
      <c r="E368" s="3" t="s">
        <v>49</v>
      </c>
      <c r="F368" s="3" t="s">
        <v>50</v>
      </c>
      <c r="G368" s="3" t="s">
        <v>25</v>
      </c>
      <c r="H368" s="3" t="s">
        <v>25</v>
      </c>
      <c r="I368" s="6">
        <v>44562</v>
      </c>
      <c r="J368" s="4">
        <v>0</v>
      </c>
      <c r="K368" s="4">
        <v>0</v>
      </c>
      <c r="L368" s="4">
        <v>1.292</v>
      </c>
      <c r="M368" s="4">
        <v>1.292</v>
      </c>
      <c r="N368" s="4">
        <v>1.292</v>
      </c>
      <c r="O368" s="4">
        <v>1.292</v>
      </c>
      <c r="P368" s="4">
        <v>0</v>
      </c>
      <c r="Q368" s="3" t="s">
        <v>26</v>
      </c>
      <c r="R368" s="3">
        <v>0</v>
      </c>
      <c r="S368" s="3" t="s">
        <v>231</v>
      </c>
      <c r="T368" s="3" t="s">
        <v>356</v>
      </c>
      <c r="U368" s="3">
        <v>0</v>
      </c>
      <c r="V368" s="3">
        <v>29</v>
      </c>
      <c r="W368" s="3">
        <v>63</v>
      </c>
    </row>
    <row r="369" spans="1:23" ht="11.25" customHeight="1" x14ac:dyDescent="0.25">
      <c r="A369" s="3" t="s">
        <v>21</v>
      </c>
      <c r="B369" s="3" t="s">
        <v>41</v>
      </c>
      <c r="C369" s="3" t="s">
        <v>23</v>
      </c>
      <c r="D369" s="3" t="s">
        <v>42</v>
      </c>
      <c r="E369" s="3" t="s">
        <v>49</v>
      </c>
      <c r="F369" s="3" t="s">
        <v>50</v>
      </c>
      <c r="G369" s="3" t="s">
        <v>25</v>
      </c>
      <c r="H369" s="3" t="s">
        <v>25</v>
      </c>
      <c r="I369" s="6">
        <v>44593</v>
      </c>
      <c r="J369" s="4">
        <v>0</v>
      </c>
      <c r="K369" s="4">
        <v>0</v>
      </c>
      <c r="L369" s="4">
        <v>31.638999999999999</v>
      </c>
      <c r="M369" s="4">
        <v>31.638999999999999</v>
      </c>
      <c r="N369" s="4">
        <v>31.638999999999999</v>
      </c>
      <c r="O369" s="4">
        <v>31.638999999999999</v>
      </c>
      <c r="P369" s="4">
        <v>0</v>
      </c>
      <c r="Q369" s="3" t="s">
        <v>26</v>
      </c>
      <c r="R369" s="3">
        <v>0</v>
      </c>
      <c r="S369" s="3" t="s">
        <v>232</v>
      </c>
      <c r="T369" s="3" t="s">
        <v>357</v>
      </c>
      <c r="U369" s="3">
        <v>0</v>
      </c>
      <c r="V369" s="3">
        <v>29</v>
      </c>
      <c r="W369" s="3">
        <v>63</v>
      </c>
    </row>
    <row r="370" spans="1:23" ht="11.25" customHeight="1" x14ac:dyDescent="0.25">
      <c r="A370" s="3" t="s">
        <v>28</v>
      </c>
      <c r="B370" s="3" t="s">
        <v>41</v>
      </c>
      <c r="C370" s="3" t="s">
        <v>23</v>
      </c>
      <c r="D370" s="3" t="s">
        <v>42</v>
      </c>
      <c r="E370" s="3" t="s">
        <v>49</v>
      </c>
      <c r="F370" s="3" t="s">
        <v>50</v>
      </c>
      <c r="G370" s="3" t="s">
        <v>25</v>
      </c>
      <c r="H370" s="3" t="s">
        <v>25</v>
      </c>
      <c r="I370" s="6">
        <v>44593</v>
      </c>
      <c r="J370" s="4">
        <v>0</v>
      </c>
      <c r="K370" s="4">
        <v>0</v>
      </c>
      <c r="L370" s="4">
        <v>0.05</v>
      </c>
      <c r="M370" s="4">
        <v>0.05</v>
      </c>
      <c r="N370" s="4">
        <v>0.05</v>
      </c>
      <c r="O370" s="4">
        <v>0.05</v>
      </c>
      <c r="P370" s="4">
        <v>0</v>
      </c>
      <c r="Q370" s="3" t="s">
        <v>26</v>
      </c>
      <c r="R370" s="3">
        <v>0</v>
      </c>
      <c r="S370" s="3" t="s">
        <v>232</v>
      </c>
      <c r="T370" s="3" t="s">
        <v>357</v>
      </c>
      <c r="U370" s="3">
        <v>0</v>
      </c>
      <c r="V370" s="3">
        <v>29</v>
      </c>
      <c r="W370" s="3">
        <v>63</v>
      </c>
    </row>
    <row r="371" spans="1:23" ht="11.25" customHeight="1" x14ac:dyDescent="0.25">
      <c r="A371" s="3" t="s">
        <v>21</v>
      </c>
      <c r="B371" s="3" t="s">
        <v>41</v>
      </c>
      <c r="C371" s="3" t="s">
        <v>23</v>
      </c>
      <c r="D371" s="3" t="s">
        <v>42</v>
      </c>
      <c r="E371" s="3" t="s">
        <v>49</v>
      </c>
      <c r="F371" s="3" t="s">
        <v>50</v>
      </c>
      <c r="G371" s="3" t="s">
        <v>25</v>
      </c>
      <c r="H371" s="3" t="s">
        <v>25</v>
      </c>
      <c r="I371" s="6">
        <v>44621</v>
      </c>
      <c r="J371" s="4">
        <v>0</v>
      </c>
      <c r="K371" s="4">
        <v>0</v>
      </c>
      <c r="L371" s="4">
        <v>47.743000000000002</v>
      </c>
      <c r="M371" s="4">
        <v>47.743000000000002</v>
      </c>
      <c r="N371" s="4">
        <v>47.743000000000002</v>
      </c>
      <c r="O371" s="4">
        <v>47.743000000000002</v>
      </c>
      <c r="P371" s="4">
        <v>0</v>
      </c>
      <c r="Q371" s="3" t="s">
        <v>26</v>
      </c>
      <c r="R371" s="3">
        <v>0</v>
      </c>
      <c r="S371" s="3" t="s">
        <v>233</v>
      </c>
      <c r="T371" s="3" t="s">
        <v>358</v>
      </c>
      <c r="U371" s="3">
        <v>0</v>
      </c>
      <c r="V371" s="3">
        <v>29</v>
      </c>
      <c r="W371" s="3">
        <v>63</v>
      </c>
    </row>
    <row r="372" spans="1:23" ht="11.25" customHeight="1" x14ac:dyDescent="0.25">
      <c r="A372" s="3" t="s">
        <v>27</v>
      </c>
      <c r="B372" s="3" t="s">
        <v>41</v>
      </c>
      <c r="C372" s="3" t="s">
        <v>23</v>
      </c>
      <c r="D372" s="3" t="s">
        <v>42</v>
      </c>
      <c r="E372" s="3" t="s">
        <v>49</v>
      </c>
      <c r="F372" s="3" t="s">
        <v>50</v>
      </c>
      <c r="G372" s="3" t="s">
        <v>25</v>
      </c>
      <c r="H372" s="3" t="s">
        <v>25</v>
      </c>
      <c r="I372" s="6">
        <v>44621</v>
      </c>
      <c r="J372" s="4">
        <v>0</v>
      </c>
      <c r="K372" s="4">
        <v>0</v>
      </c>
      <c r="L372" s="4">
        <v>-5.843</v>
      </c>
      <c r="M372" s="4">
        <v>-5.843</v>
      </c>
      <c r="N372" s="4">
        <v>-5.843</v>
      </c>
      <c r="O372" s="4">
        <v>-5.843</v>
      </c>
      <c r="P372" s="4">
        <v>0</v>
      </c>
      <c r="Q372" s="3" t="s">
        <v>26</v>
      </c>
      <c r="R372" s="3">
        <v>0</v>
      </c>
      <c r="S372" s="3" t="s">
        <v>233</v>
      </c>
      <c r="T372" s="3" t="s">
        <v>358</v>
      </c>
      <c r="U372" s="3">
        <v>0</v>
      </c>
      <c r="V372" s="3">
        <v>29</v>
      </c>
      <c r="W372" s="3">
        <v>63</v>
      </c>
    </row>
    <row r="373" spans="1:23" ht="11.25" customHeight="1" x14ac:dyDescent="0.25">
      <c r="A373" s="3" t="s">
        <v>28</v>
      </c>
      <c r="B373" s="3" t="s">
        <v>41</v>
      </c>
      <c r="C373" s="3" t="s">
        <v>23</v>
      </c>
      <c r="D373" s="3" t="s">
        <v>42</v>
      </c>
      <c r="E373" s="3" t="s">
        <v>49</v>
      </c>
      <c r="F373" s="3" t="s">
        <v>50</v>
      </c>
      <c r="G373" s="3" t="s">
        <v>25</v>
      </c>
      <c r="H373" s="3" t="s">
        <v>25</v>
      </c>
      <c r="I373" s="6">
        <v>44621</v>
      </c>
      <c r="J373" s="4">
        <v>0</v>
      </c>
      <c r="K373" s="4">
        <v>0</v>
      </c>
      <c r="L373" s="4">
        <v>0.05</v>
      </c>
      <c r="M373" s="4">
        <v>0.05</v>
      </c>
      <c r="N373" s="4">
        <v>0.05</v>
      </c>
      <c r="O373" s="4">
        <v>0.05</v>
      </c>
      <c r="P373" s="4">
        <v>0</v>
      </c>
      <c r="Q373" s="3" t="s">
        <v>26</v>
      </c>
      <c r="R373" s="3">
        <v>0</v>
      </c>
      <c r="S373" s="3" t="s">
        <v>233</v>
      </c>
      <c r="T373" s="3" t="s">
        <v>358</v>
      </c>
      <c r="U373" s="3">
        <v>0</v>
      </c>
      <c r="V373" s="3">
        <v>29</v>
      </c>
      <c r="W373" s="3">
        <v>63</v>
      </c>
    </row>
    <row r="374" spans="1:23" ht="11.25" customHeight="1" x14ac:dyDescent="0.25">
      <c r="A374" s="3" t="s">
        <v>21</v>
      </c>
      <c r="B374" s="3" t="s">
        <v>41</v>
      </c>
      <c r="C374" s="3" t="s">
        <v>23</v>
      </c>
      <c r="D374" s="3" t="s">
        <v>42</v>
      </c>
      <c r="E374" s="3" t="s">
        <v>49</v>
      </c>
      <c r="F374" s="3" t="s">
        <v>50</v>
      </c>
      <c r="G374" s="3" t="s">
        <v>25</v>
      </c>
      <c r="H374" s="3" t="s">
        <v>25</v>
      </c>
      <c r="I374" s="6">
        <v>44652</v>
      </c>
      <c r="J374" s="4">
        <v>0</v>
      </c>
      <c r="K374" s="4">
        <v>0</v>
      </c>
      <c r="L374" s="4">
        <v>2.0830000000000002</v>
      </c>
      <c r="M374" s="4">
        <v>2.0830000000000002</v>
      </c>
      <c r="N374" s="4">
        <v>2.0830000000000002</v>
      </c>
      <c r="O374" s="4">
        <v>2.0830000000000002</v>
      </c>
      <c r="P374" s="4">
        <v>0</v>
      </c>
      <c r="Q374" s="3" t="s">
        <v>26</v>
      </c>
      <c r="R374" s="3">
        <v>0</v>
      </c>
      <c r="S374" s="3" t="s">
        <v>234</v>
      </c>
      <c r="T374" s="3" t="s">
        <v>359</v>
      </c>
      <c r="U374" s="3">
        <v>0</v>
      </c>
      <c r="V374" s="3">
        <v>29</v>
      </c>
      <c r="W374" s="3">
        <v>63</v>
      </c>
    </row>
    <row r="375" spans="1:23" ht="11.25" customHeight="1" x14ac:dyDescent="0.25">
      <c r="A375" s="3" t="s">
        <v>27</v>
      </c>
      <c r="B375" s="3" t="s">
        <v>41</v>
      </c>
      <c r="C375" s="3" t="s">
        <v>23</v>
      </c>
      <c r="D375" s="3" t="s">
        <v>42</v>
      </c>
      <c r="E375" s="3" t="s">
        <v>49</v>
      </c>
      <c r="F375" s="3" t="s">
        <v>50</v>
      </c>
      <c r="G375" s="3" t="s">
        <v>25</v>
      </c>
      <c r="H375" s="3" t="s">
        <v>25</v>
      </c>
      <c r="I375" s="6">
        <v>44652</v>
      </c>
      <c r="J375" s="4">
        <v>0</v>
      </c>
      <c r="K375" s="4">
        <v>0</v>
      </c>
      <c r="L375" s="4">
        <v>-30.838999999999999</v>
      </c>
      <c r="M375" s="4">
        <v>-30.838999999999999</v>
      </c>
      <c r="N375" s="4">
        <v>-30.838999999999999</v>
      </c>
      <c r="O375" s="4">
        <v>-30.838999999999999</v>
      </c>
      <c r="P375" s="4">
        <v>0</v>
      </c>
      <c r="Q375" s="3" t="s">
        <v>26</v>
      </c>
      <c r="R375" s="3">
        <v>0</v>
      </c>
      <c r="S375" s="3" t="s">
        <v>234</v>
      </c>
      <c r="T375" s="3" t="s">
        <v>359</v>
      </c>
      <c r="U375" s="3">
        <v>0</v>
      </c>
      <c r="V375" s="3">
        <v>29</v>
      </c>
      <c r="W375" s="3">
        <v>63</v>
      </c>
    </row>
    <row r="376" spans="1:23" ht="11.25" customHeight="1" x14ac:dyDescent="0.25">
      <c r="A376" s="3" t="s">
        <v>28</v>
      </c>
      <c r="B376" s="3" t="s">
        <v>41</v>
      </c>
      <c r="C376" s="3" t="s">
        <v>23</v>
      </c>
      <c r="D376" s="3" t="s">
        <v>42</v>
      </c>
      <c r="E376" s="3" t="s">
        <v>49</v>
      </c>
      <c r="F376" s="3" t="s">
        <v>50</v>
      </c>
      <c r="G376" s="3" t="s">
        <v>25</v>
      </c>
      <c r="H376" s="3" t="s">
        <v>25</v>
      </c>
      <c r="I376" s="6">
        <v>44652</v>
      </c>
      <c r="J376" s="4">
        <v>0</v>
      </c>
      <c r="K376" s="4">
        <v>0</v>
      </c>
      <c r="L376" s="4">
        <v>0.05</v>
      </c>
      <c r="M376" s="4">
        <v>0.05</v>
      </c>
      <c r="N376" s="4">
        <v>0.05</v>
      </c>
      <c r="O376" s="4">
        <v>0.05</v>
      </c>
      <c r="P376" s="4">
        <v>0</v>
      </c>
      <c r="Q376" s="3" t="s">
        <v>26</v>
      </c>
      <c r="R376" s="3">
        <v>0</v>
      </c>
      <c r="S376" s="3" t="s">
        <v>234</v>
      </c>
      <c r="T376" s="3" t="s">
        <v>359</v>
      </c>
      <c r="U376" s="3">
        <v>0</v>
      </c>
      <c r="V376" s="3">
        <v>29</v>
      </c>
      <c r="W376" s="3">
        <v>63</v>
      </c>
    </row>
    <row r="377" spans="1:23" ht="11.25" customHeight="1" x14ac:dyDescent="0.25">
      <c r="A377" s="3" t="s">
        <v>21</v>
      </c>
      <c r="B377" s="3" t="s">
        <v>41</v>
      </c>
      <c r="C377" s="3" t="s">
        <v>23</v>
      </c>
      <c r="D377" s="3" t="s">
        <v>42</v>
      </c>
      <c r="E377" s="3" t="s">
        <v>49</v>
      </c>
      <c r="F377" s="3" t="s">
        <v>50</v>
      </c>
      <c r="G377" s="3" t="s">
        <v>25</v>
      </c>
      <c r="H377" s="3" t="s">
        <v>25</v>
      </c>
      <c r="I377" s="6">
        <v>44682</v>
      </c>
      <c r="J377" s="4">
        <v>0</v>
      </c>
      <c r="K377" s="4">
        <v>0</v>
      </c>
      <c r="L377" s="4">
        <v>1.9770000000000001</v>
      </c>
      <c r="M377" s="4">
        <v>1.9770000000000001</v>
      </c>
      <c r="N377" s="4">
        <v>1.9770000000000001</v>
      </c>
      <c r="O377" s="4">
        <v>1.9770000000000001</v>
      </c>
      <c r="P377" s="4">
        <v>0</v>
      </c>
      <c r="Q377" s="3" t="s">
        <v>26</v>
      </c>
      <c r="R377" s="3">
        <v>0</v>
      </c>
      <c r="S377" s="3" t="s">
        <v>235</v>
      </c>
      <c r="T377" s="3" t="s">
        <v>360</v>
      </c>
      <c r="U377" s="3">
        <v>0</v>
      </c>
      <c r="V377" s="3">
        <v>29</v>
      </c>
      <c r="W377" s="3">
        <v>63</v>
      </c>
    </row>
    <row r="378" spans="1:23" ht="11.25" customHeight="1" x14ac:dyDescent="0.25">
      <c r="A378" s="3" t="s">
        <v>28</v>
      </c>
      <c r="B378" s="3" t="s">
        <v>41</v>
      </c>
      <c r="C378" s="3" t="s">
        <v>23</v>
      </c>
      <c r="D378" s="3" t="s">
        <v>42</v>
      </c>
      <c r="E378" s="3" t="s">
        <v>49</v>
      </c>
      <c r="F378" s="3" t="s">
        <v>50</v>
      </c>
      <c r="G378" s="3" t="s">
        <v>25</v>
      </c>
      <c r="H378" s="3" t="s">
        <v>25</v>
      </c>
      <c r="I378" s="6">
        <v>44682</v>
      </c>
      <c r="J378" s="4">
        <v>0</v>
      </c>
      <c r="K378" s="4">
        <v>0</v>
      </c>
      <c r="L378" s="4">
        <v>3.1E-2</v>
      </c>
      <c r="M378" s="4">
        <v>3.1E-2</v>
      </c>
      <c r="N378" s="4">
        <v>3.1E-2</v>
      </c>
      <c r="O378" s="4">
        <v>3.1E-2</v>
      </c>
      <c r="P378" s="4">
        <v>0</v>
      </c>
      <c r="Q378" s="3" t="s">
        <v>26</v>
      </c>
      <c r="R378" s="3">
        <v>0</v>
      </c>
      <c r="S378" s="3" t="s">
        <v>235</v>
      </c>
      <c r="T378" s="3" t="s">
        <v>360</v>
      </c>
      <c r="U378" s="3">
        <v>0</v>
      </c>
      <c r="V378" s="3">
        <v>29</v>
      </c>
      <c r="W378" s="3">
        <v>63</v>
      </c>
    </row>
    <row r="379" spans="1:23" ht="11.25" customHeight="1" x14ac:dyDescent="0.25">
      <c r="A379" s="3" t="s">
        <v>21</v>
      </c>
      <c r="B379" s="3" t="s">
        <v>41</v>
      </c>
      <c r="C379" s="3" t="s">
        <v>23</v>
      </c>
      <c r="D379" s="3" t="s">
        <v>42</v>
      </c>
      <c r="E379" s="3" t="s">
        <v>49</v>
      </c>
      <c r="F379" s="3" t="s">
        <v>50</v>
      </c>
      <c r="G379" s="3" t="s">
        <v>25</v>
      </c>
      <c r="H379" s="3" t="s">
        <v>25</v>
      </c>
      <c r="I379" s="6">
        <v>44713</v>
      </c>
      <c r="J379" s="4">
        <v>0</v>
      </c>
      <c r="K379" s="4">
        <v>0</v>
      </c>
      <c r="L379" s="4">
        <v>1.9339999999999999</v>
      </c>
      <c r="M379" s="4">
        <v>1.9339999999999999</v>
      </c>
      <c r="N379" s="4">
        <v>1.9339999999999999</v>
      </c>
      <c r="O379" s="4">
        <v>1.9339999999999999</v>
      </c>
      <c r="P379" s="4">
        <v>0</v>
      </c>
      <c r="Q379" s="3" t="s">
        <v>26</v>
      </c>
      <c r="R379" s="3">
        <v>0</v>
      </c>
      <c r="S379" s="3" t="s">
        <v>236</v>
      </c>
      <c r="T379" s="3" t="s">
        <v>361</v>
      </c>
      <c r="U379" s="3">
        <v>0</v>
      </c>
      <c r="V379" s="3">
        <v>29</v>
      </c>
      <c r="W379" s="3">
        <v>63</v>
      </c>
    </row>
    <row r="380" spans="1:23" ht="11.25" customHeight="1" x14ac:dyDescent="0.25">
      <c r="A380" s="3" t="s">
        <v>28</v>
      </c>
      <c r="B380" s="3" t="s">
        <v>41</v>
      </c>
      <c r="C380" s="3" t="s">
        <v>23</v>
      </c>
      <c r="D380" s="3" t="s">
        <v>42</v>
      </c>
      <c r="E380" s="3" t="s">
        <v>49</v>
      </c>
      <c r="F380" s="3" t="s">
        <v>50</v>
      </c>
      <c r="G380" s="3" t="s">
        <v>25</v>
      </c>
      <c r="H380" s="3" t="s">
        <v>25</v>
      </c>
      <c r="I380" s="6">
        <v>44713</v>
      </c>
      <c r="J380" s="4">
        <v>0</v>
      </c>
      <c r="K380" s="4">
        <v>0</v>
      </c>
      <c r="L380" s="4">
        <v>0.1</v>
      </c>
      <c r="M380" s="4">
        <v>0.1</v>
      </c>
      <c r="N380" s="4">
        <v>0.1</v>
      </c>
      <c r="O380" s="4">
        <v>0.1</v>
      </c>
      <c r="P380" s="4">
        <v>0</v>
      </c>
      <c r="Q380" s="3" t="s">
        <v>26</v>
      </c>
      <c r="R380" s="3">
        <v>0</v>
      </c>
      <c r="S380" s="3" t="s">
        <v>236</v>
      </c>
      <c r="T380" s="3" t="s">
        <v>361</v>
      </c>
      <c r="U380" s="3">
        <v>0</v>
      </c>
      <c r="V380" s="3">
        <v>29</v>
      </c>
      <c r="W380" s="3">
        <v>63</v>
      </c>
    </row>
    <row r="381" spans="1:23" ht="11.25" customHeight="1" x14ac:dyDescent="0.25">
      <c r="A381" s="3" t="s">
        <v>21</v>
      </c>
      <c r="B381" s="3" t="s">
        <v>41</v>
      </c>
      <c r="C381" s="3" t="s">
        <v>23</v>
      </c>
      <c r="D381" s="3" t="s">
        <v>42</v>
      </c>
      <c r="E381" s="3" t="s">
        <v>49</v>
      </c>
      <c r="F381" s="3" t="s">
        <v>51</v>
      </c>
      <c r="G381" s="3" t="s">
        <v>25</v>
      </c>
      <c r="H381" s="3" t="s">
        <v>25</v>
      </c>
      <c r="I381" s="6">
        <v>44378</v>
      </c>
      <c r="J381" s="4">
        <v>0</v>
      </c>
      <c r="K381" s="4">
        <v>0</v>
      </c>
      <c r="L381" s="4">
        <v>1.831</v>
      </c>
      <c r="M381" s="4">
        <v>0.73240000000000005</v>
      </c>
      <c r="N381" s="4">
        <v>1.831</v>
      </c>
      <c r="O381" s="4">
        <v>0.73240000000000005</v>
      </c>
      <c r="P381" s="4">
        <v>0</v>
      </c>
      <c r="Q381" s="3" t="s">
        <v>26</v>
      </c>
      <c r="R381" s="3">
        <v>0</v>
      </c>
      <c r="S381" s="3" t="s">
        <v>225</v>
      </c>
      <c r="T381" s="3" t="s">
        <v>350</v>
      </c>
      <c r="U381" s="3">
        <v>0</v>
      </c>
      <c r="V381" s="3">
        <v>29</v>
      </c>
      <c r="W381" s="3">
        <v>63</v>
      </c>
    </row>
    <row r="382" spans="1:23" ht="11.25" customHeight="1" x14ac:dyDescent="0.25">
      <c r="A382" s="3" t="s">
        <v>21</v>
      </c>
      <c r="B382" s="3" t="s">
        <v>41</v>
      </c>
      <c r="C382" s="3" t="s">
        <v>23</v>
      </c>
      <c r="D382" s="3" t="s">
        <v>42</v>
      </c>
      <c r="E382" s="3" t="s">
        <v>49</v>
      </c>
      <c r="F382" s="3" t="s">
        <v>51</v>
      </c>
      <c r="G382" s="3" t="s">
        <v>25</v>
      </c>
      <c r="H382" s="3" t="s">
        <v>25</v>
      </c>
      <c r="I382" s="6">
        <v>44409</v>
      </c>
      <c r="J382" s="4">
        <v>0</v>
      </c>
      <c r="K382" s="4">
        <v>0</v>
      </c>
      <c r="L382" s="4">
        <v>4.3730000000000002</v>
      </c>
      <c r="M382" s="4">
        <v>1.7492000000000001</v>
      </c>
      <c r="N382" s="4">
        <v>4.3730000000000002</v>
      </c>
      <c r="O382" s="4">
        <v>1.7492000000000001</v>
      </c>
      <c r="P382" s="4">
        <v>0</v>
      </c>
      <c r="Q382" s="3" t="s">
        <v>26</v>
      </c>
      <c r="R382" s="3">
        <v>0</v>
      </c>
      <c r="S382" s="3" t="s">
        <v>226</v>
      </c>
      <c r="T382" s="3" t="s">
        <v>351</v>
      </c>
      <c r="U382" s="3">
        <v>0</v>
      </c>
      <c r="V382" s="3">
        <v>29</v>
      </c>
      <c r="W382" s="3">
        <v>63</v>
      </c>
    </row>
    <row r="383" spans="1:23" ht="11.25" customHeight="1" x14ac:dyDescent="0.25">
      <c r="A383" s="3" t="s">
        <v>21</v>
      </c>
      <c r="B383" s="3" t="s">
        <v>41</v>
      </c>
      <c r="C383" s="3" t="s">
        <v>23</v>
      </c>
      <c r="D383" s="3" t="s">
        <v>42</v>
      </c>
      <c r="E383" s="3" t="s">
        <v>49</v>
      </c>
      <c r="F383" s="3" t="s">
        <v>51</v>
      </c>
      <c r="G383" s="3" t="s">
        <v>25</v>
      </c>
      <c r="H383" s="3" t="s">
        <v>25</v>
      </c>
      <c r="I383" s="6">
        <v>44440</v>
      </c>
      <c r="J383" s="4">
        <v>0</v>
      </c>
      <c r="K383" s="4">
        <v>0</v>
      </c>
      <c r="L383" s="4">
        <v>5.4829999999999997</v>
      </c>
      <c r="M383" s="4">
        <v>2.1932</v>
      </c>
      <c r="N383" s="4">
        <v>5.4829999999999997</v>
      </c>
      <c r="O383" s="4">
        <v>2.1932</v>
      </c>
      <c r="P383" s="4">
        <v>0</v>
      </c>
      <c r="Q383" s="3" t="s">
        <v>26</v>
      </c>
      <c r="R383" s="3">
        <v>0</v>
      </c>
      <c r="S383" s="3" t="s">
        <v>227</v>
      </c>
      <c r="T383" s="3" t="s">
        <v>352</v>
      </c>
      <c r="U383" s="3">
        <v>0</v>
      </c>
      <c r="V383" s="3">
        <v>29</v>
      </c>
      <c r="W383" s="3">
        <v>63</v>
      </c>
    </row>
    <row r="384" spans="1:23" ht="11.25" customHeight="1" x14ac:dyDescent="0.25">
      <c r="A384" s="3" t="s">
        <v>21</v>
      </c>
      <c r="B384" s="3" t="s">
        <v>41</v>
      </c>
      <c r="C384" s="3" t="s">
        <v>23</v>
      </c>
      <c r="D384" s="3" t="s">
        <v>42</v>
      </c>
      <c r="E384" s="3" t="s">
        <v>49</v>
      </c>
      <c r="F384" s="3" t="s">
        <v>51</v>
      </c>
      <c r="G384" s="3" t="s">
        <v>25</v>
      </c>
      <c r="H384" s="3" t="s">
        <v>25</v>
      </c>
      <c r="I384" s="6">
        <v>44470</v>
      </c>
      <c r="J384" s="4">
        <v>0</v>
      </c>
      <c r="K384" s="4">
        <v>0</v>
      </c>
      <c r="L384" s="4">
        <v>1.776</v>
      </c>
      <c r="M384" s="4">
        <v>0.71040000000000003</v>
      </c>
      <c r="N384" s="4">
        <v>1.776</v>
      </c>
      <c r="O384" s="4">
        <v>0.71040000000000003</v>
      </c>
      <c r="P384" s="4">
        <v>0</v>
      </c>
      <c r="Q384" s="3" t="s">
        <v>26</v>
      </c>
      <c r="R384" s="3">
        <v>0</v>
      </c>
      <c r="S384" s="3" t="s">
        <v>228</v>
      </c>
      <c r="T384" s="3" t="s">
        <v>353</v>
      </c>
      <c r="U384" s="3">
        <v>0</v>
      </c>
      <c r="V384" s="3">
        <v>29</v>
      </c>
      <c r="W384" s="3">
        <v>63</v>
      </c>
    </row>
    <row r="385" spans="1:23" ht="11.25" customHeight="1" x14ac:dyDescent="0.25">
      <c r="A385" s="3" t="s">
        <v>28</v>
      </c>
      <c r="B385" s="3" t="s">
        <v>41</v>
      </c>
      <c r="C385" s="3" t="s">
        <v>23</v>
      </c>
      <c r="D385" s="3" t="s">
        <v>42</v>
      </c>
      <c r="E385" s="3" t="s">
        <v>49</v>
      </c>
      <c r="F385" s="3" t="s">
        <v>51</v>
      </c>
      <c r="G385" s="3" t="s">
        <v>25</v>
      </c>
      <c r="H385" s="3" t="s">
        <v>25</v>
      </c>
      <c r="I385" s="6">
        <v>44470</v>
      </c>
      <c r="J385" s="4">
        <v>0</v>
      </c>
      <c r="K385" s="4">
        <v>0</v>
      </c>
      <c r="L385" s="4">
        <v>4.0000000000000001E-3</v>
      </c>
      <c r="M385" s="4">
        <v>4.0000000000000001E-3</v>
      </c>
      <c r="N385" s="4">
        <v>4.0000000000000001E-3</v>
      </c>
      <c r="O385" s="4">
        <v>4.0000000000000001E-3</v>
      </c>
      <c r="P385" s="4">
        <v>0</v>
      </c>
      <c r="Q385" s="3" t="s">
        <v>26</v>
      </c>
      <c r="R385" s="3">
        <v>0</v>
      </c>
      <c r="S385" s="3" t="s">
        <v>228</v>
      </c>
      <c r="T385" s="3" t="s">
        <v>353</v>
      </c>
      <c r="U385" s="3">
        <v>0</v>
      </c>
      <c r="V385" s="3">
        <v>29</v>
      </c>
      <c r="W385" s="3">
        <v>63</v>
      </c>
    </row>
    <row r="386" spans="1:23" ht="11.25" customHeight="1" x14ac:dyDescent="0.25">
      <c r="A386" s="3" t="s">
        <v>21</v>
      </c>
      <c r="B386" s="3" t="s">
        <v>41</v>
      </c>
      <c r="C386" s="3" t="s">
        <v>23</v>
      </c>
      <c r="D386" s="3" t="s">
        <v>42</v>
      </c>
      <c r="E386" s="3" t="s">
        <v>49</v>
      </c>
      <c r="F386" s="3" t="s">
        <v>51</v>
      </c>
      <c r="G386" s="3" t="s">
        <v>25</v>
      </c>
      <c r="H386" s="3" t="s">
        <v>25</v>
      </c>
      <c r="I386" s="6">
        <v>44501</v>
      </c>
      <c r="J386" s="4">
        <v>0</v>
      </c>
      <c r="K386" s="4">
        <v>0</v>
      </c>
      <c r="L386" s="4">
        <v>48.173999999999999</v>
      </c>
      <c r="M386" s="4">
        <v>19.269600000000001</v>
      </c>
      <c r="N386" s="4">
        <v>48.173999999999999</v>
      </c>
      <c r="O386" s="4">
        <v>19.269600000000001</v>
      </c>
      <c r="P386" s="4">
        <v>0</v>
      </c>
      <c r="Q386" s="3" t="s">
        <v>26</v>
      </c>
      <c r="R386" s="3">
        <v>0</v>
      </c>
      <c r="S386" s="3" t="s">
        <v>229</v>
      </c>
      <c r="T386" s="3" t="s">
        <v>354</v>
      </c>
      <c r="U386" s="3">
        <v>0</v>
      </c>
      <c r="V386" s="3">
        <v>29</v>
      </c>
      <c r="W386" s="3">
        <v>63</v>
      </c>
    </row>
    <row r="387" spans="1:23" ht="11.25" customHeight="1" x14ac:dyDescent="0.25">
      <c r="A387" s="3" t="s">
        <v>28</v>
      </c>
      <c r="B387" s="3" t="s">
        <v>41</v>
      </c>
      <c r="C387" s="3" t="s">
        <v>23</v>
      </c>
      <c r="D387" s="3" t="s">
        <v>42</v>
      </c>
      <c r="E387" s="3" t="s">
        <v>49</v>
      </c>
      <c r="F387" s="3" t="s">
        <v>51</v>
      </c>
      <c r="G387" s="3" t="s">
        <v>25</v>
      </c>
      <c r="H387" s="3" t="s">
        <v>25</v>
      </c>
      <c r="I387" s="6">
        <v>44501</v>
      </c>
      <c r="J387" s="4">
        <v>0</v>
      </c>
      <c r="K387" s="4">
        <v>0</v>
      </c>
      <c r="L387" s="4">
        <v>6.6000000000000003E-2</v>
      </c>
      <c r="M387" s="4">
        <v>6.6000000000000003E-2</v>
      </c>
      <c r="N387" s="4">
        <v>6.6000000000000003E-2</v>
      </c>
      <c r="O387" s="4">
        <v>6.6000000000000003E-2</v>
      </c>
      <c r="P387" s="4">
        <v>0</v>
      </c>
      <c r="Q387" s="3" t="s">
        <v>26</v>
      </c>
      <c r="R387" s="3">
        <v>0</v>
      </c>
      <c r="S387" s="3" t="s">
        <v>229</v>
      </c>
      <c r="T387" s="3" t="s">
        <v>354</v>
      </c>
      <c r="U387" s="3">
        <v>0</v>
      </c>
      <c r="V387" s="3">
        <v>29</v>
      </c>
      <c r="W387" s="3">
        <v>63</v>
      </c>
    </row>
    <row r="388" spans="1:23" ht="11.25" customHeight="1" x14ac:dyDescent="0.25">
      <c r="A388" s="3" t="s">
        <v>21</v>
      </c>
      <c r="B388" s="3" t="s">
        <v>41</v>
      </c>
      <c r="C388" s="3" t="s">
        <v>23</v>
      </c>
      <c r="D388" s="3" t="s">
        <v>42</v>
      </c>
      <c r="E388" s="3" t="s">
        <v>49</v>
      </c>
      <c r="F388" s="3" t="s">
        <v>51</v>
      </c>
      <c r="G388" s="3" t="s">
        <v>25</v>
      </c>
      <c r="H388" s="3" t="s">
        <v>25</v>
      </c>
      <c r="I388" s="6">
        <v>44531</v>
      </c>
      <c r="J388" s="4">
        <v>0</v>
      </c>
      <c r="K388" s="4">
        <v>0</v>
      </c>
      <c r="L388" s="4">
        <v>81.238</v>
      </c>
      <c r="M388" s="4">
        <v>32.495199999999997</v>
      </c>
      <c r="N388" s="4">
        <v>81.238</v>
      </c>
      <c r="O388" s="4">
        <v>32.495199999999997</v>
      </c>
      <c r="P388" s="4">
        <v>0</v>
      </c>
      <c r="Q388" s="3" t="s">
        <v>26</v>
      </c>
      <c r="R388" s="3">
        <v>0</v>
      </c>
      <c r="S388" s="3" t="s">
        <v>230</v>
      </c>
      <c r="T388" s="3" t="s">
        <v>355</v>
      </c>
      <c r="U388" s="3">
        <v>0</v>
      </c>
      <c r="V388" s="3">
        <v>29</v>
      </c>
      <c r="W388" s="3">
        <v>63</v>
      </c>
    </row>
    <row r="389" spans="1:23" ht="11.25" customHeight="1" x14ac:dyDescent="0.25">
      <c r="A389" s="3" t="s">
        <v>28</v>
      </c>
      <c r="B389" s="3" t="s">
        <v>41</v>
      </c>
      <c r="C389" s="3" t="s">
        <v>23</v>
      </c>
      <c r="D389" s="3" t="s">
        <v>42</v>
      </c>
      <c r="E389" s="3" t="s">
        <v>49</v>
      </c>
      <c r="F389" s="3" t="s">
        <v>51</v>
      </c>
      <c r="G389" s="3" t="s">
        <v>25</v>
      </c>
      <c r="H389" s="3" t="s">
        <v>25</v>
      </c>
      <c r="I389" s="6">
        <v>44531</v>
      </c>
      <c r="J389" s="4">
        <v>0</v>
      </c>
      <c r="K389" s="4">
        <v>0</v>
      </c>
      <c r="L389" s="4">
        <v>0.126</v>
      </c>
      <c r="M389" s="4">
        <v>0.126</v>
      </c>
      <c r="N389" s="4">
        <v>0.126</v>
      </c>
      <c r="O389" s="4">
        <v>0.126</v>
      </c>
      <c r="P389" s="4">
        <v>0</v>
      </c>
      <c r="Q389" s="3" t="s">
        <v>26</v>
      </c>
      <c r="R389" s="3">
        <v>0</v>
      </c>
      <c r="S389" s="3" t="s">
        <v>230</v>
      </c>
      <c r="T389" s="3" t="s">
        <v>355</v>
      </c>
      <c r="U389" s="3">
        <v>0</v>
      </c>
      <c r="V389" s="3">
        <v>29</v>
      </c>
      <c r="W389" s="3">
        <v>63</v>
      </c>
    </row>
    <row r="390" spans="1:23" ht="11.25" customHeight="1" x14ac:dyDescent="0.25">
      <c r="A390" s="3" t="s">
        <v>21</v>
      </c>
      <c r="B390" s="3" t="s">
        <v>41</v>
      </c>
      <c r="C390" s="3" t="s">
        <v>23</v>
      </c>
      <c r="D390" s="3" t="s">
        <v>42</v>
      </c>
      <c r="E390" s="3" t="s">
        <v>49</v>
      </c>
      <c r="F390" s="3" t="s">
        <v>51</v>
      </c>
      <c r="G390" s="3" t="s">
        <v>25</v>
      </c>
      <c r="H390" s="3" t="s">
        <v>25</v>
      </c>
      <c r="I390" s="6">
        <v>44562</v>
      </c>
      <c r="J390" s="4">
        <v>0</v>
      </c>
      <c r="K390" s="4">
        <v>0</v>
      </c>
      <c r="L390" s="4">
        <v>52.499000000000002</v>
      </c>
      <c r="M390" s="4">
        <v>20.999600000000001</v>
      </c>
      <c r="N390" s="4">
        <v>52.499000000000002</v>
      </c>
      <c r="O390" s="4">
        <v>20.999600000000001</v>
      </c>
      <c r="P390" s="4">
        <v>0</v>
      </c>
      <c r="Q390" s="3" t="s">
        <v>26</v>
      </c>
      <c r="R390" s="3">
        <v>0</v>
      </c>
      <c r="S390" s="3" t="s">
        <v>231</v>
      </c>
      <c r="T390" s="3" t="s">
        <v>356</v>
      </c>
      <c r="U390" s="3">
        <v>0</v>
      </c>
      <c r="V390" s="3">
        <v>29</v>
      </c>
      <c r="W390" s="3">
        <v>63</v>
      </c>
    </row>
    <row r="391" spans="1:23" ht="11.25" customHeight="1" x14ac:dyDescent="0.25">
      <c r="A391" s="3" t="s">
        <v>28</v>
      </c>
      <c r="B391" s="3" t="s">
        <v>41</v>
      </c>
      <c r="C391" s="3" t="s">
        <v>23</v>
      </c>
      <c r="D391" s="3" t="s">
        <v>42</v>
      </c>
      <c r="E391" s="3" t="s">
        <v>49</v>
      </c>
      <c r="F391" s="3" t="s">
        <v>51</v>
      </c>
      <c r="G391" s="3" t="s">
        <v>25</v>
      </c>
      <c r="H391" s="3" t="s">
        <v>25</v>
      </c>
      <c r="I391" s="6">
        <v>44562</v>
      </c>
      <c r="J391" s="4">
        <v>0</v>
      </c>
      <c r="K391" s="4">
        <v>0</v>
      </c>
      <c r="L391" s="4">
        <v>0.86899999999999999</v>
      </c>
      <c r="M391" s="4">
        <v>0.86899999999999999</v>
      </c>
      <c r="N391" s="4">
        <v>0.86899999999999999</v>
      </c>
      <c r="O391" s="4">
        <v>0.86899999999999999</v>
      </c>
      <c r="P391" s="4">
        <v>0</v>
      </c>
      <c r="Q391" s="3" t="s">
        <v>26</v>
      </c>
      <c r="R391" s="3">
        <v>0</v>
      </c>
      <c r="S391" s="3" t="s">
        <v>231</v>
      </c>
      <c r="T391" s="3" t="s">
        <v>356</v>
      </c>
      <c r="U391" s="3">
        <v>0</v>
      </c>
      <c r="V391" s="3">
        <v>29</v>
      </c>
      <c r="W391" s="3">
        <v>63</v>
      </c>
    </row>
    <row r="392" spans="1:23" ht="11.25" customHeight="1" x14ac:dyDescent="0.25">
      <c r="A392" s="3" t="s">
        <v>21</v>
      </c>
      <c r="B392" s="3" t="s">
        <v>41</v>
      </c>
      <c r="C392" s="3" t="s">
        <v>23</v>
      </c>
      <c r="D392" s="3" t="s">
        <v>42</v>
      </c>
      <c r="E392" s="3" t="s">
        <v>49</v>
      </c>
      <c r="F392" s="3" t="s">
        <v>51</v>
      </c>
      <c r="G392" s="3" t="s">
        <v>25</v>
      </c>
      <c r="H392" s="3" t="s">
        <v>25</v>
      </c>
      <c r="I392" s="6">
        <v>44593</v>
      </c>
      <c r="J392" s="4">
        <v>0</v>
      </c>
      <c r="K392" s="4">
        <v>0</v>
      </c>
      <c r="L392" s="4">
        <v>28.091000000000001</v>
      </c>
      <c r="M392" s="4">
        <v>11.2364</v>
      </c>
      <c r="N392" s="4">
        <v>28.091000000000001</v>
      </c>
      <c r="O392" s="4">
        <v>11.2364</v>
      </c>
      <c r="P392" s="4">
        <v>0</v>
      </c>
      <c r="Q392" s="3" t="s">
        <v>26</v>
      </c>
      <c r="R392" s="3">
        <v>0</v>
      </c>
      <c r="S392" s="3" t="s">
        <v>232</v>
      </c>
      <c r="T392" s="3" t="s">
        <v>357</v>
      </c>
      <c r="U392" s="3">
        <v>0</v>
      </c>
      <c r="V392" s="3">
        <v>29</v>
      </c>
      <c r="W392" s="3">
        <v>63</v>
      </c>
    </row>
    <row r="393" spans="1:23" ht="11.25" customHeight="1" x14ac:dyDescent="0.25">
      <c r="A393" s="3" t="s">
        <v>21</v>
      </c>
      <c r="B393" s="3" t="s">
        <v>41</v>
      </c>
      <c r="C393" s="3" t="s">
        <v>23</v>
      </c>
      <c r="D393" s="3" t="s">
        <v>42</v>
      </c>
      <c r="E393" s="3" t="s">
        <v>49</v>
      </c>
      <c r="F393" s="3" t="s">
        <v>51</v>
      </c>
      <c r="G393" s="3" t="s">
        <v>25</v>
      </c>
      <c r="H393" s="3" t="s">
        <v>25</v>
      </c>
      <c r="I393" s="6">
        <v>44621</v>
      </c>
      <c r="J393" s="4">
        <v>0</v>
      </c>
      <c r="K393" s="4">
        <v>0</v>
      </c>
      <c r="L393" s="4">
        <v>22.385999999999999</v>
      </c>
      <c r="M393" s="4">
        <v>8.9543999999999997</v>
      </c>
      <c r="N393" s="4">
        <v>22.385999999999999</v>
      </c>
      <c r="O393" s="4">
        <v>8.9543999999999997</v>
      </c>
      <c r="P393" s="4">
        <v>0</v>
      </c>
      <c r="Q393" s="3" t="s">
        <v>26</v>
      </c>
      <c r="R393" s="3">
        <v>0</v>
      </c>
      <c r="S393" s="3" t="s">
        <v>233</v>
      </c>
      <c r="T393" s="3" t="s">
        <v>358</v>
      </c>
      <c r="U393" s="3">
        <v>0</v>
      </c>
      <c r="V393" s="3">
        <v>29</v>
      </c>
      <c r="W393" s="3">
        <v>63</v>
      </c>
    </row>
    <row r="394" spans="1:23" ht="11.25" customHeight="1" x14ac:dyDescent="0.25">
      <c r="A394" s="3" t="s">
        <v>21</v>
      </c>
      <c r="B394" s="3" t="s">
        <v>41</v>
      </c>
      <c r="C394" s="3" t="s">
        <v>23</v>
      </c>
      <c r="D394" s="3" t="s">
        <v>42</v>
      </c>
      <c r="E394" s="3" t="s">
        <v>49</v>
      </c>
      <c r="F394" s="3" t="s">
        <v>51</v>
      </c>
      <c r="G394" s="3" t="s">
        <v>25</v>
      </c>
      <c r="H394" s="3" t="s">
        <v>25</v>
      </c>
      <c r="I394" s="6">
        <v>44652</v>
      </c>
      <c r="J394" s="4">
        <v>0</v>
      </c>
      <c r="K394" s="4">
        <v>0</v>
      </c>
      <c r="L394" s="4">
        <v>0.58399999999999996</v>
      </c>
      <c r="M394" s="4">
        <v>0.2336</v>
      </c>
      <c r="N394" s="4">
        <v>0.58399999999999996</v>
      </c>
      <c r="O394" s="4">
        <v>0.2336</v>
      </c>
      <c r="P394" s="4">
        <v>0</v>
      </c>
      <c r="Q394" s="3" t="s">
        <v>26</v>
      </c>
      <c r="R394" s="3">
        <v>0</v>
      </c>
      <c r="S394" s="3" t="s">
        <v>234</v>
      </c>
      <c r="T394" s="3" t="s">
        <v>359</v>
      </c>
      <c r="U394" s="3">
        <v>0</v>
      </c>
      <c r="V394" s="3">
        <v>29</v>
      </c>
      <c r="W394" s="3">
        <v>63</v>
      </c>
    </row>
    <row r="395" spans="1:23" ht="11.25" customHeight="1" x14ac:dyDescent="0.25">
      <c r="A395" s="3" t="s">
        <v>27</v>
      </c>
      <c r="B395" s="3" t="s">
        <v>41</v>
      </c>
      <c r="C395" s="3" t="s">
        <v>23</v>
      </c>
      <c r="D395" s="3" t="s">
        <v>42</v>
      </c>
      <c r="E395" s="3" t="s">
        <v>49</v>
      </c>
      <c r="F395" s="3" t="s">
        <v>51</v>
      </c>
      <c r="G395" s="3" t="s">
        <v>25</v>
      </c>
      <c r="H395" s="3" t="s">
        <v>25</v>
      </c>
      <c r="I395" s="6">
        <v>44652</v>
      </c>
      <c r="J395" s="4">
        <v>0</v>
      </c>
      <c r="K395" s="4">
        <v>0</v>
      </c>
      <c r="L395" s="4">
        <v>-2.7109999999999999</v>
      </c>
      <c r="M395" s="4">
        <v>-1.0844</v>
      </c>
      <c r="N395" s="4">
        <v>-2.7109999999999999</v>
      </c>
      <c r="O395" s="4">
        <v>-1.0844</v>
      </c>
      <c r="P395" s="4">
        <v>0</v>
      </c>
      <c r="Q395" s="3" t="s">
        <v>26</v>
      </c>
      <c r="R395" s="3">
        <v>0</v>
      </c>
      <c r="S395" s="3" t="s">
        <v>234</v>
      </c>
      <c r="T395" s="3" t="s">
        <v>359</v>
      </c>
      <c r="U395" s="3">
        <v>0</v>
      </c>
      <c r="V395" s="3">
        <v>29</v>
      </c>
      <c r="W395" s="3">
        <v>63</v>
      </c>
    </row>
    <row r="396" spans="1:23" ht="11.25" customHeight="1" x14ac:dyDescent="0.25">
      <c r="A396" s="3" t="s">
        <v>21</v>
      </c>
      <c r="B396" s="3" t="s">
        <v>41</v>
      </c>
      <c r="C396" s="3" t="s">
        <v>23</v>
      </c>
      <c r="D396" s="3" t="s">
        <v>42</v>
      </c>
      <c r="E396" s="3" t="s">
        <v>49</v>
      </c>
      <c r="F396" s="3" t="s">
        <v>51</v>
      </c>
      <c r="G396" s="3" t="s">
        <v>25</v>
      </c>
      <c r="H396" s="3" t="s">
        <v>25</v>
      </c>
      <c r="I396" s="6">
        <v>44682</v>
      </c>
      <c r="J396" s="4">
        <v>0</v>
      </c>
      <c r="K396" s="4">
        <v>0</v>
      </c>
      <c r="L396" s="4">
        <v>0.55700000000000005</v>
      </c>
      <c r="M396" s="4">
        <v>0.2228</v>
      </c>
      <c r="N396" s="4">
        <v>0.55700000000000005</v>
      </c>
      <c r="O396" s="4">
        <v>0.2228</v>
      </c>
      <c r="P396" s="4">
        <v>0</v>
      </c>
      <c r="Q396" s="3" t="s">
        <v>26</v>
      </c>
      <c r="R396" s="3">
        <v>0</v>
      </c>
      <c r="S396" s="3" t="s">
        <v>235</v>
      </c>
      <c r="T396" s="3" t="s">
        <v>360</v>
      </c>
      <c r="U396" s="3">
        <v>0</v>
      </c>
      <c r="V396" s="3">
        <v>29</v>
      </c>
      <c r="W396" s="3">
        <v>63</v>
      </c>
    </row>
    <row r="397" spans="1:23" ht="11.25" customHeight="1" x14ac:dyDescent="0.25">
      <c r="A397" s="3" t="s">
        <v>28</v>
      </c>
      <c r="B397" s="3" t="s">
        <v>41</v>
      </c>
      <c r="C397" s="3" t="s">
        <v>23</v>
      </c>
      <c r="D397" s="3" t="s">
        <v>42</v>
      </c>
      <c r="E397" s="3" t="s">
        <v>49</v>
      </c>
      <c r="F397" s="3" t="s">
        <v>51</v>
      </c>
      <c r="G397" s="3" t="s">
        <v>25</v>
      </c>
      <c r="H397" s="3" t="s">
        <v>25</v>
      </c>
      <c r="I397" s="6">
        <v>44682</v>
      </c>
      <c r="J397" s="4">
        <v>0</v>
      </c>
      <c r="K397" s="4">
        <v>0</v>
      </c>
      <c r="L397" s="4">
        <v>1.9E-2</v>
      </c>
      <c r="M397" s="4">
        <v>1.9E-2</v>
      </c>
      <c r="N397" s="4">
        <v>1.9E-2</v>
      </c>
      <c r="O397" s="4">
        <v>1.9E-2</v>
      </c>
      <c r="P397" s="4">
        <v>0</v>
      </c>
      <c r="Q397" s="3" t="s">
        <v>26</v>
      </c>
      <c r="R397" s="3">
        <v>0</v>
      </c>
      <c r="S397" s="3" t="s">
        <v>235</v>
      </c>
      <c r="T397" s="3" t="s">
        <v>360</v>
      </c>
      <c r="U397" s="3">
        <v>0</v>
      </c>
      <c r="V397" s="3">
        <v>29</v>
      </c>
      <c r="W397" s="3">
        <v>63</v>
      </c>
    </row>
    <row r="398" spans="1:23" ht="11.25" customHeight="1" x14ac:dyDescent="0.25">
      <c r="A398" s="3" t="s">
        <v>21</v>
      </c>
      <c r="B398" s="3" t="s">
        <v>41</v>
      </c>
      <c r="C398" s="3" t="s">
        <v>23</v>
      </c>
      <c r="D398" s="3" t="s">
        <v>42</v>
      </c>
      <c r="E398" s="3" t="s">
        <v>49</v>
      </c>
      <c r="F398" s="3" t="s">
        <v>51</v>
      </c>
      <c r="G398" s="3" t="s">
        <v>25</v>
      </c>
      <c r="H398" s="3" t="s">
        <v>25</v>
      </c>
      <c r="I398" s="6">
        <v>44713</v>
      </c>
      <c r="J398" s="4">
        <v>0</v>
      </c>
      <c r="K398" s="4">
        <v>0</v>
      </c>
      <c r="L398" s="4">
        <v>0.32600000000000001</v>
      </c>
      <c r="M398" s="4">
        <v>0.13039999999999999</v>
      </c>
      <c r="N398" s="4">
        <v>0.32600000000000001</v>
      </c>
      <c r="O398" s="4">
        <v>0.13039999999999999</v>
      </c>
      <c r="P398" s="4">
        <v>0</v>
      </c>
      <c r="Q398" s="3" t="s">
        <v>26</v>
      </c>
      <c r="R398" s="3">
        <v>0</v>
      </c>
      <c r="S398" s="3" t="s">
        <v>236</v>
      </c>
      <c r="T398" s="3" t="s">
        <v>361</v>
      </c>
      <c r="U398" s="3">
        <v>0</v>
      </c>
      <c r="V398" s="3">
        <v>29</v>
      </c>
      <c r="W398" s="3">
        <v>63</v>
      </c>
    </row>
    <row r="399" spans="1:23" ht="11.25" customHeight="1" x14ac:dyDescent="0.25">
      <c r="A399" s="3" t="s">
        <v>21</v>
      </c>
      <c r="B399" s="3" t="s">
        <v>41</v>
      </c>
      <c r="C399" s="3" t="s">
        <v>23</v>
      </c>
      <c r="D399" s="3" t="s">
        <v>42</v>
      </c>
      <c r="E399" s="3" t="s">
        <v>52</v>
      </c>
      <c r="F399" s="3" t="s">
        <v>50</v>
      </c>
      <c r="G399" s="3" t="s">
        <v>25</v>
      </c>
      <c r="H399" s="3" t="s">
        <v>25</v>
      </c>
      <c r="I399" s="6">
        <v>44378</v>
      </c>
      <c r="J399" s="4">
        <v>0</v>
      </c>
      <c r="K399" s="4">
        <v>0</v>
      </c>
      <c r="L399" s="4">
        <v>2.1739999999999999</v>
      </c>
      <c r="M399" s="4">
        <v>2.1739999999999999</v>
      </c>
      <c r="N399" s="4">
        <v>2.1739999999999999</v>
      </c>
      <c r="O399" s="4">
        <v>2.1739999999999999</v>
      </c>
      <c r="P399" s="4">
        <v>0</v>
      </c>
      <c r="Q399" s="3" t="s">
        <v>26</v>
      </c>
      <c r="R399" s="3">
        <v>0</v>
      </c>
      <c r="S399" s="3" t="s">
        <v>225</v>
      </c>
      <c r="T399" s="3" t="s">
        <v>350</v>
      </c>
      <c r="U399" s="3">
        <v>0</v>
      </c>
      <c r="V399" s="3">
        <v>29</v>
      </c>
      <c r="W399" s="3">
        <v>63</v>
      </c>
    </row>
    <row r="400" spans="1:23" ht="11.25" customHeight="1" x14ac:dyDescent="0.25">
      <c r="A400" s="3" t="s">
        <v>21</v>
      </c>
      <c r="B400" s="3" t="s">
        <v>41</v>
      </c>
      <c r="C400" s="3" t="s">
        <v>23</v>
      </c>
      <c r="D400" s="3" t="s">
        <v>42</v>
      </c>
      <c r="E400" s="3" t="s">
        <v>52</v>
      </c>
      <c r="F400" s="3" t="s">
        <v>50</v>
      </c>
      <c r="G400" s="3" t="s">
        <v>25</v>
      </c>
      <c r="H400" s="3" t="s">
        <v>25</v>
      </c>
      <c r="I400" s="6">
        <v>44409</v>
      </c>
      <c r="J400" s="4">
        <v>0</v>
      </c>
      <c r="K400" s="4">
        <v>0</v>
      </c>
      <c r="L400" s="4">
        <v>1.0649999999999999</v>
      </c>
      <c r="M400" s="4">
        <v>1.0649999999999999</v>
      </c>
      <c r="N400" s="4">
        <v>1.0649999999999999</v>
      </c>
      <c r="O400" s="4">
        <v>1.0649999999999999</v>
      </c>
      <c r="P400" s="4">
        <v>0</v>
      </c>
      <c r="Q400" s="3" t="s">
        <v>26</v>
      </c>
      <c r="R400" s="3">
        <v>0</v>
      </c>
      <c r="S400" s="3" t="s">
        <v>226</v>
      </c>
      <c r="T400" s="3" t="s">
        <v>351</v>
      </c>
      <c r="U400" s="3">
        <v>0</v>
      </c>
      <c r="V400" s="3">
        <v>29</v>
      </c>
      <c r="W400" s="3">
        <v>63</v>
      </c>
    </row>
    <row r="401" spans="1:23" ht="11.25" customHeight="1" x14ac:dyDescent="0.25">
      <c r="A401" s="3" t="s">
        <v>21</v>
      </c>
      <c r="B401" s="3" t="s">
        <v>41</v>
      </c>
      <c r="C401" s="3" t="s">
        <v>23</v>
      </c>
      <c r="D401" s="3" t="s">
        <v>42</v>
      </c>
      <c r="E401" s="3" t="s">
        <v>52</v>
      </c>
      <c r="F401" s="3" t="s">
        <v>50</v>
      </c>
      <c r="G401" s="3" t="s">
        <v>25</v>
      </c>
      <c r="H401" s="3" t="s">
        <v>25</v>
      </c>
      <c r="I401" s="6">
        <v>44440</v>
      </c>
      <c r="J401" s="4">
        <v>0</v>
      </c>
      <c r="K401" s="4">
        <v>0</v>
      </c>
      <c r="L401" s="4">
        <v>0.32900000000000001</v>
      </c>
      <c r="M401" s="4">
        <v>0.32900000000000001</v>
      </c>
      <c r="N401" s="4">
        <v>0.32900000000000001</v>
      </c>
      <c r="O401" s="4">
        <v>0.32900000000000001</v>
      </c>
      <c r="P401" s="4">
        <v>0</v>
      </c>
      <c r="Q401" s="3" t="s">
        <v>26</v>
      </c>
      <c r="R401" s="3">
        <v>0</v>
      </c>
      <c r="S401" s="3" t="s">
        <v>227</v>
      </c>
      <c r="T401" s="3" t="s">
        <v>352</v>
      </c>
      <c r="U401" s="3">
        <v>0</v>
      </c>
      <c r="V401" s="3">
        <v>29</v>
      </c>
      <c r="W401" s="3">
        <v>63</v>
      </c>
    </row>
    <row r="402" spans="1:23" ht="11.25" customHeight="1" x14ac:dyDescent="0.25">
      <c r="A402" s="3" t="s">
        <v>21</v>
      </c>
      <c r="B402" s="3" t="s">
        <v>41</v>
      </c>
      <c r="C402" s="3" t="s">
        <v>23</v>
      </c>
      <c r="D402" s="3" t="s">
        <v>42</v>
      </c>
      <c r="E402" s="3" t="s">
        <v>52</v>
      </c>
      <c r="F402" s="3" t="s">
        <v>50</v>
      </c>
      <c r="G402" s="3" t="s">
        <v>25</v>
      </c>
      <c r="H402" s="3" t="s">
        <v>25</v>
      </c>
      <c r="I402" s="6">
        <v>44470</v>
      </c>
      <c r="J402" s="4">
        <v>0</v>
      </c>
      <c r="K402" s="4">
        <v>0</v>
      </c>
      <c r="L402" s="4">
        <v>0.58799999999999997</v>
      </c>
      <c r="M402" s="4">
        <v>0.58799999999999997</v>
      </c>
      <c r="N402" s="4">
        <v>0.58799999999999997</v>
      </c>
      <c r="O402" s="4">
        <v>0.58799999999999997</v>
      </c>
      <c r="P402" s="4">
        <v>0</v>
      </c>
      <c r="Q402" s="3" t="s">
        <v>26</v>
      </c>
      <c r="R402" s="3">
        <v>0</v>
      </c>
      <c r="S402" s="3" t="s">
        <v>228</v>
      </c>
      <c r="T402" s="3" t="s">
        <v>353</v>
      </c>
      <c r="U402" s="3">
        <v>0</v>
      </c>
      <c r="V402" s="3">
        <v>29</v>
      </c>
      <c r="W402" s="3">
        <v>63</v>
      </c>
    </row>
    <row r="403" spans="1:23" ht="11.25" customHeight="1" x14ac:dyDescent="0.25">
      <c r="A403" s="3" t="s">
        <v>21</v>
      </c>
      <c r="B403" s="3" t="s">
        <v>41</v>
      </c>
      <c r="C403" s="3" t="s">
        <v>23</v>
      </c>
      <c r="D403" s="3" t="s">
        <v>42</v>
      </c>
      <c r="E403" s="3" t="s">
        <v>52</v>
      </c>
      <c r="F403" s="3" t="s">
        <v>50</v>
      </c>
      <c r="G403" s="3" t="s">
        <v>25</v>
      </c>
      <c r="H403" s="3" t="s">
        <v>25</v>
      </c>
      <c r="I403" s="6">
        <v>44501</v>
      </c>
      <c r="J403" s="4">
        <v>0</v>
      </c>
      <c r="K403" s="4">
        <v>0</v>
      </c>
      <c r="L403" s="4">
        <v>0.88300000000000001</v>
      </c>
      <c r="M403" s="4">
        <v>0.88300000000000001</v>
      </c>
      <c r="N403" s="4">
        <v>0.88300000000000001</v>
      </c>
      <c r="O403" s="4">
        <v>0.88300000000000001</v>
      </c>
      <c r="P403" s="4">
        <v>0</v>
      </c>
      <c r="Q403" s="3" t="s">
        <v>26</v>
      </c>
      <c r="R403" s="3">
        <v>0</v>
      </c>
      <c r="S403" s="3" t="s">
        <v>229</v>
      </c>
      <c r="T403" s="3" t="s">
        <v>354</v>
      </c>
      <c r="U403" s="3">
        <v>0</v>
      </c>
      <c r="V403" s="3">
        <v>29</v>
      </c>
      <c r="W403" s="3">
        <v>63</v>
      </c>
    </row>
    <row r="404" spans="1:23" ht="11.25" customHeight="1" x14ac:dyDescent="0.25">
      <c r="A404" s="3" t="s">
        <v>21</v>
      </c>
      <c r="B404" s="3" t="s">
        <v>41</v>
      </c>
      <c r="C404" s="3" t="s">
        <v>23</v>
      </c>
      <c r="D404" s="3" t="s">
        <v>42</v>
      </c>
      <c r="E404" s="3" t="s">
        <v>52</v>
      </c>
      <c r="F404" s="3" t="s">
        <v>50</v>
      </c>
      <c r="G404" s="3" t="s">
        <v>25</v>
      </c>
      <c r="H404" s="3" t="s">
        <v>25</v>
      </c>
      <c r="I404" s="6">
        <v>44531</v>
      </c>
      <c r="J404" s="4">
        <v>0</v>
      </c>
      <c r="K404" s="4">
        <v>0</v>
      </c>
      <c r="L404" s="4">
        <v>0.71299999999999997</v>
      </c>
      <c r="M404" s="4">
        <v>0.71299999999999997</v>
      </c>
      <c r="N404" s="4">
        <v>0.71299999999999997</v>
      </c>
      <c r="O404" s="4">
        <v>0.71299999999999997</v>
      </c>
      <c r="P404" s="4">
        <v>0</v>
      </c>
      <c r="Q404" s="3" t="s">
        <v>26</v>
      </c>
      <c r="R404" s="3">
        <v>0</v>
      </c>
      <c r="S404" s="3" t="s">
        <v>230</v>
      </c>
      <c r="T404" s="3" t="s">
        <v>355</v>
      </c>
      <c r="U404" s="3">
        <v>0</v>
      </c>
      <c r="V404" s="3">
        <v>29</v>
      </c>
      <c r="W404" s="3">
        <v>63</v>
      </c>
    </row>
    <row r="405" spans="1:23" ht="11.25" customHeight="1" x14ac:dyDescent="0.25">
      <c r="A405" s="3" t="s">
        <v>21</v>
      </c>
      <c r="B405" s="3" t="s">
        <v>41</v>
      </c>
      <c r="C405" s="3" t="s">
        <v>23</v>
      </c>
      <c r="D405" s="3" t="s">
        <v>42</v>
      </c>
      <c r="E405" s="3" t="s">
        <v>52</v>
      </c>
      <c r="F405" s="3" t="s">
        <v>50</v>
      </c>
      <c r="G405" s="3" t="s">
        <v>25</v>
      </c>
      <c r="H405" s="3" t="s">
        <v>25</v>
      </c>
      <c r="I405" s="6">
        <v>44562</v>
      </c>
      <c r="J405" s="4">
        <v>0</v>
      </c>
      <c r="K405" s="4">
        <v>0</v>
      </c>
      <c r="L405" s="4">
        <v>1.84</v>
      </c>
      <c r="M405" s="4">
        <v>1.84</v>
      </c>
      <c r="N405" s="4">
        <v>1.84</v>
      </c>
      <c r="O405" s="4">
        <v>1.84</v>
      </c>
      <c r="P405" s="4">
        <v>0</v>
      </c>
      <c r="Q405" s="3" t="s">
        <v>26</v>
      </c>
      <c r="R405" s="3">
        <v>0</v>
      </c>
      <c r="S405" s="3" t="s">
        <v>231</v>
      </c>
      <c r="T405" s="3" t="s">
        <v>356</v>
      </c>
      <c r="U405" s="3">
        <v>0</v>
      </c>
      <c r="V405" s="3">
        <v>29</v>
      </c>
      <c r="W405" s="3">
        <v>63</v>
      </c>
    </row>
    <row r="406" spans="1:23" ht="11.25" customHeight="1" x14ac:dyDescent="0.25">
      <c r="A406" s="3" t="s">
        <v>21</v>
      </c>
      <c r="B406" s="3" t="s">
        <v>41</v>
      </c>
      <c r="C406" s="3" t="s">
        <v>23</v>
      </c>
      <c r="D406" s="3" t="s">
        <v>42</v>
      </c>
      <c r="E406" s="3" t="s">
        <v>52</v>
      </c>
      <c r="F406" s="3" t="s">
        <v>50</v>
      </c>
      <c r="G406" s="3" t="s">
        <v>25</v>
      </c>
      <c r="H406" s="3" t="s">
        <v>25</v>
      </c>
      <c r="I406" s="6">
        <v>44593</v>
      </c>
      <c r="J406" s="4">
        <v>0</v>
      </c>
      <c r="K406" s="4">
        <v>0</v>
      </c>
      <c r="L406" s="4">
        <v>1.581</v>
      </c>
      <c r="M406" s="4">
        <v>1.581</v>
      </c>
      <c r="N406" s="4">
        <v>1.581</v>
      </c>
      <c r="O406" s="4">
        <v>1.581</v>
      </c>
      <c r="P406" s="4">
        <v>0</v>
      </c>
      <c r="Q406" s="3" t="s">
        <v>26</v>
      </c>
      <c r="R406" s="3">
        <v>0</v>
      </c>
      <c r="S406" s="3" t="s">
        <v>232</v>
      </c>
      <c r="T406" s="3" t="s">
        <v>357</v>
      </c>
      <c r="U406" s="3">
        <v>0</v>
      </c>
      <c r="V406" s="3">
        <v>29</v>
      </c>
      <c r="W406" s="3">
        <v>63</v>
      </c>
    </row>
    <row r="407" spans="1:23" ht="11.25" customHeight="1" x14ac:dyDescent="0.25">
      <c r="A407" s="3" t="s">
        <v>21</v>
      </c>
      <c r="B407" s="3" t="s">
        <v>41</v>
      </c>
      <c r="C407" s="3" t="s">
        <v>23</v>
      </c>
      <c r="D407" s="3" t="s">
        <v>42</v>
      </c>
      <c r="E407" s="3" t="s">
        <v>52</v>
      </c>
      <c r="F407" s="3" t="s">
        <v>50</v>
      </c>
      <c r="G407" s="3" t="s">
        <v>25</v>
      </c>
      <c r="H407" s="3" t="s">
        <v>25</v>
      </c>
      <c r="I407" s="6">
        <v>44621</v>
      </c>
      <c r="J407" s="4">
        <v>0</v>
      </c>
      <c r="K407" s="4">
        <v>0</v>
      </c>
      <c r="L407" s="4">
        <v>1.5129999999999999</v>
      </c>
      <c r="M407" s="4">
        <v>1.5129999999999999</v>
      </c>
      <c r="N407" s="4">
        <v>1.5129999999999999</v>
      </c>
      <c r="O407" s="4">
        <v>1.5129999999999999</v>
      </c>
      <c r="P407" s="4">
        <v>0</v>
      </c>
      <c r="Q407" s="3" t="s">
        <v>26</v>
      </c>
      <c r="R407" s="3">
        <v>0</v>
      </c>
      <c r="S407" s="3" t="s">
        <v>233</v>
      </c>
      <c r="T407" s="3" t="s">
        <v>358</v>
      </c>
      <c r="U407" s="3">
        <v>0</v>
      </c>
      <c r="V407" s="3">
        <v>29</v>
      </c>
      <c r="W407" s="3">
        <v>63</v>
      </c>
    </row>
    <row r="408" spans="1:23" ht="11.25" customHeight="1" x14ac:dyDescent="0.25">
      <c r="A408" s="3" t="s">
        <v>21</v>
      </c>
      <c r="B408" s="3" t="s">
        <v>41</v>
      </c>
      <c r="C408" s="3" t="s">
        <v>23</v>
      </c>
      <c r="D408" s="3" t="s">
        <v>42</v>
      </c>
      <c r="E408" s="3" t="s">
        <v>52</v>
      </c>
      <c r="F408" s="3" t="s">
        <v>50</v>
      </c>
      <c r="G408" s="3" t="s">
        <v>25</v>
      </c>
      <c r="H408" s="3" t="s">
        <v>25</v>
      </c>
      <c r="I408" s="6">
        <v>44652</v>
      </c>
      <c r="J408" s="4">
        <v>0</v>
      </c>
      <c r="K408" s="4">
        <v>0</v>
      </c>
      <c r="L408" s="4">
        <v>0.88800000000000001</v>
      </c>
      <c r="M408" s="4">
        <v>0.88800000000000001</v>
      </c>
      <c r="N408" s="4">
        <v>0.88800000000000001</v>
      </c>
      <c r="O408" s="4">
        <v>0.88800000000000001</v>
      </c>
      <c r="P408" s="4">
        <v>0</v>
      </c>
      <c r="Q408" s="3" t="s">
        <v>26</v>
      </c>
      <c r="R408" s="3">
        <v>0</v>
      </c>
      <c r="S408" s="3" t="s">
        <v>234</v>
      </c>
      <c r="T408" s="3" t="s">
        <v>359</v>
      </c>
      <c r="U408" s="3">
        <v>0</v>
      </c>
      <c r="V408" s="3">
        <v>29</v>
      </c>
      <c r="W408" s="3">
        <v>63</v>
      </c>
    </row>
    <row r="409" spans="1:23" ht="11.25" customHeight="1" x14ac:dyDescent="0.25">
      <c r="A409" s="3" t="s">
        <v>21</v>
      </c>
      <c r="B409" s="3" t="s">
        <v>41</v>
      </c>
      <c r="C409" s="3" t="s">
        <v>23</v>
      </c>
      <c r="D409" s="3" t="s">
        <v>42</v>
      </c>
      <c r="E409" s="3" t="s">
        <v>52</v>
      </c>
      <c r="F409" s="3" t="s">
        <v>50</v>
      </c>
      <c r="G409" s="3" t="s">
        <v>25</v>
      </c>
      <c r="H409" s="3" t="s">
        <v>25</v>
      </c>
      <c r="I409" s="6">
        <v>44682</v>
      </c>
      <c r="J409" s="4">
        <v>0</v>
      </c>
      <c r="K409" s="4">
        <v>0</v>
      </c>
      <c r="L409" s="4">
        <v>9.5000000000000001E-2</v>
      </c>
      <c r="M409" s="4">
        <v>9.5000000000000001E-2</v>
      </c>
      <c r="N409" s="4">
        <v>9.5000000000000001E-2</v>
      </c>
      <c r="O409" s="4">
        <v>9.5000000000000001E-2</v>
      </c>
      <c r="P409" s="4">
        <v>0</v>
      </c>
      <c r="Q409" s="3" t="s">
        <v>26</v>
      </c>
      <c r="R409" s="3">
        <v>0</v>
      </c>
      <c r="S409" s="3" t="s">
        <v>235</v>
      </c>
      <c r="T409" s="3" t="s">
        <v>360</v>
      </c>
      <c r="U409" s="3">
        <v>0</v>
      </c>
      <c r="V409" s="3">
        <v>29</v>
      </c>
      <c r="W409" s="3">
        <v>63</v>
      </c>
    </row>
    <row r="410" spans="1:23" ht="11.25" customHeight="1" x14ac:dyDescent="0.25">
      <c r="A410" s="3" t="s">
        <v>21</v>
      </c>
      <c r="B410" s="3" t="s">
        <v>41</v>
      </c>
      <c r="C410" s="3" t="s">
        <v>23</v>
      </c>
      <c r="D410" s="3" t="s">
        <v>42</v>
      </c>
      <c r="E410" s="3" t="s">
        <v>52</v>
      </c>
      <c r="F410" s="3" t="s">
        <v>50</v>
      </c>
      <c r="G410" s="3" t="s">
        <v>25</v>
      </c>
      <c r="H410" s="3" t="s">
        <v>25</v>
      </c>
      <c r="I410" s="6">
        <v>44713</v>
      </c>
      <c r="J410" s="4">
        <v>0</v>
      </c>
      <c r="K410" s="4">
        <v>0</v>
      </c>
      <c r="L410" s="4">
        <v>0.32600000000000001</v>
      </c>
      <c r="M410" s="4">
        <v>0.32600000000000001</v>
      </c>
      <c r="N410" s="4">
        <v>0.32600000000000001</v>
      </c>
      <c r="O410" s="4">
        <v>0.32600000000000001</v>
      </c>
      <c r="P410" s="4">
        <v>0</v>
      </c>
      <c r="Q410" s="3" t="s">
        <v>26</v>
      </c>
      <c r="R410" s="3">
        <v>0</v>
      </c>
      <c r="S410" s="3" t="s">
        <v>236</v>
      </c>
      <c r="T410" s="3" t="s">
        <v>361</v>
      </c>
      <c r="U410" s="3">
        <v>0</v>
      </c>
      <c r="V410" s="3">
        <v>29</v>
      </c>
      <c r="W410" s="3">
        <v>63</v>
      </c>
    </row>
    <row r="411" spans="1:23" ht="11.25" customHeight="1" x14ac:dyDescent="0.25">
      <c r="A411" s="3" t="s">
        <v>21</v>
      </c>
      <c r="B411" s="3" t="s">
        <v>41</v>
      </c>
      <c r="C411" s="3" t="s">
        <v>23</v>
      </c>
      <c r="D411" s="3" t="s">
        <v>42</v>
      </c>
      <c r="E411" s="3" t="s">
        <v>52</v>
      </c>
      <c r="F411" s="3" t="s">
        <v>51</v>
      </c>
      <c r="G411" s="3" t="s">
        <v>25</v>
      </c>
      <c r="H411" s="3" t="s">
        <v>25</v>
      </c>
      <c r="I411" s="6">
        <v>44378</v>
      </c>
      <c r="J411" s="4">
        <v>0</v>
      </c>
      <c r="K411" s="4">
        <v>0</v>
      </c>
      <c r="L411" s="4">
        <v>2.5979999999999999</v>
      </c>
      <c r="M411" s="4">
        <v>1.0391999999999999</v>
      </c>
      <c r="N411" s="4">
        <v>2.5979999999999999</v>
      </c>
      <c r="O411" s="4">
        <v>1.0391999999999999</v>
      </c>
      <c r="P411" s="4">
        <v>0</v>
      </c>
      <c r="Q411" s="3" t="s">
        <v>26</v>
      </c>
      <c r="R411" s="3">
        <v>0</v>
      </c>
      <c r="S411" s="3" t="s">
        <v>225</v>
      </c>
      <c r="T411" s="3" t="s">
        <v>350</v>
      </c>
      <c r="U411" s="3">
        <v>0</v>
      </c>
      <c r="V411" s="3">
        <v>29</v>
      </c>
      <c r="W411" s="3">
        <v>63</v>
      </c>
    </row>
    <row r="412" spans="1:23" ht="11.25" customHeight="1" x14ac:dyDescent="0.25">
      <c r="A412" s="3" t="s">
        <v>21</v>
      </c>
      <c r="B412" s="3" t="s">
        <v>41</v>
      </c>
      <c r="C412" s="3" t="s">
        <v>23</v>
      </c>
      <c r="D412" s="3" t="s">
        <v>42</v>
      </c>
      <c r="E412" s="3" t="s">
        <v>52</v>
      </c>
      <c r="F412" s="3" t="s">
        <v>51</v>
      </c>
      <c r="G412" s="3" t="s">
        <v>25</v>
      </c>
      <c r="H412" s="3" t="s">
        <v>25</v>
      </c>
      <c r="I412" s="6">
        <v>44409</v>
      </c>
      <c r="J412" s="4">
        <v>0</v>
      </c>
      <c r="K412" s="4">
        <v>0</v>
      </c>
      <c r="L412" s="4">
        <v>0.88400000000000001</v>
      </c>
      <c r="M412" s="4">
        <v>0.35360000000000003</v>
      </c>
      <c r="N412" s="4">
        <v>0.88400000000000001</v>
      </c>
      <c r="O412" s="4">
        <v>0.35360000000000003</v>
      </c>
      <c r="P412" s="4">
        <v>0</v>
      </c>
      <c r="Q412" s="3" t="s">
        <v>26</v>
      </c>
      <c r="R412" s="3">
        <v>0</v>
      </c>
      <c r="S412" s="3" t="s">
        <v>226</v>
      </c>
      <c r="T412" s="3" t="s">
        <v>351</v>
      </c>
      <c r="U412" s="3">
        <v>0</v>
      </c>
      <c r="V412" s="3">
        <v>29</v>
      </c>
      <c r="W412" s="3">
        <v>63</v>
      </c>
    </row>
    <row r="413" spans="1:23" ht="11.25" customHeight="1" x14ac:dyDescent="0.25">
      <c r="A413" s="3" t="s">
        <v>21</v>
      </c>
      <c r="B413" s="3" t="s">
        <v>41</v>
      </c>
      <c r="C413" s="3" t="s">
        <v>23</v>
      </c>
      <c r="D413" s="3" t="s">
        <v>42</v>
      </c>
      <c r="E413" s="3" t="s">
        <v>52</v>
      </c>
      <c r="F413" s="3" t="s">
        <v>51</v>
      </c>
      <c r="G413" s="3" t="s">
        <v>25</v>
      </c>
      <c r="H413" s="3" t="s">
        <v>25</v>
      </c>
      <c r="I413" s="6">
        <v>44440</v>
      </c>
      <c r="J413" s="4">
        <v>0</v>
      </c>
      <c r="K413" s="4">
        <v>0</v>
      </c>
      <c r="L413" s="4">
        <v>0.621</v>
      </c>
      <c r="M413" s="4">
        <v>0.24840000000000001</v>
      </c>
      <c r="N413" s="4">
        <v>0.621</v>
      </c>
      <c r="O413" s="4">
        <v>0.24840000000000001</v>
      </c>
      <c r="P413" s="4">
        <v>0</v>
      </c>
      <c r="Q413" s="3" t="s">
        <v>26</v>
      </c>
      <c r="R413" s="3">
        <v>0</v>
      </c>
      <c r="S413" s="3" t="s">
        <v>227</v>
      </c>
      <c r="T413" s="3" t="s">
        <v>352</v>
      </c>
      <c r="U413" s="3">
        <v>0</v>
      </c>
      <c r="V413" s="3">
        <v>29</v>
      </c>
      <c r="W413" s="3">
        <v>63</v>
      </c>
    </row>
    <row r="414" spans="1:23" ht="11.25" customHeight="1" x14ac:dyDescent="0.25">
      <c r="A414" s="3" t="s">
        <v>21</v>
      </c>
      <c r="B414" s="3" t="s">
        <v>41</v>
      </c>
      <c r="C414" s="3" t="s">
        <v>23</v>
      </c>
      <c r="D414" s="3" t="s">
        <v>42</v>
      </c>
      <c r="E414" s="3" t="s">
        <v>52</v>
      </c>
      <c r="F414" s="3" t="s">
        <v>51</v>
      </c>
      <c r="G414" s="3" t="s">
        <v>25</v>
      </c>
      <c r="H414" s="3" t="s">
        <v>25</v>
      </c>
      <c r="I414" s="6">
        <v>44470</v>
      </c>
      <c r="J414" s="4">
        <v>0</v>
      </c>
      <c r="K414" s="4">
        <v>0</v>
      </c>
      <c r="L414" s="4">
        <v>0.85699999999999998</v>
      </c>
      <c r="M414" s="4">
        <v>0.34279999999999999</v>
      </c>
      <c r="N414" s="4">
        <v>0.85699999999999998</v>
      </c>
      <c r="O414" s="4">
        <v>0.34279999999999999</v>
      </c>
      <c r="P414" s="4">
        <v>0</v>
      </c>
      <c r="Q414" s="3" t="s">
        <v>26</v>
      </c>
      <c r="R414" s="3">
        <v>0</v>
      </c>
      <c r="S414" s="3" t="s">
        <v>228</v>
      </c>
      <c r="T414" s="3" t="s">
        <v>353</v>
      </c>
      <c r="U414" s="3">
        <v>0</v>
      </c>
      <c r="V414" s="3">
        <v>29</v>
      </c>
      <c r="W414" s="3">
        <v>63</v>
      </c>
    </row>
    <row r="415" spans="1:23" ht="11.25" customHeight="1" x14ac:dyDescent="0.25">
      <c r="A415" s="3" t="s">
        <v>21</v>
      </c>
      <c r="B415" s="3" t="s">
        <v>41</v>
      </c>
      <c r="C415" s="3" t="s">
        <v>23</v>
      </c>
      <c r="D415" s="3" t="s">
        <v>42</v>
      </c>
      <c r="E415" s="3" t="s">
        <v>52</v>
      </c>
      <c r="F415" s="3" t="s">
        <v>51</v>
      </c>
      <c r="G415" s="3" t="s">
        <v>25</v>
      </c>
      <c r="H415" s="3" t="s">
        <v>25</v>
      </c>
      <c r="I415" s="6">
        <v>44501</v>
      </c>
      <c r="J415" s="4">
        <v>0</v>
      </c>
      <c r="K415" s="4">
        <v>0</v>
      </c>
      <c r="L415" s="4">
        <v>1.806</v>
      </c>
      <c r="M415" s="4">
        <v>0.72240000000000004</v>
      </c>
      <c r="N415" s="4">
        <v>1.806</v>
      </c>
      <c r="O415" s="4">
        <v>0.72240000000000004</v>
      </c>
      <c r="P415" s="4">
        <v>0</v>
      </c>
      <c r="Q415" s="3" t="s">
        <v>26</v>
      </c>
      <c r="R415" s="3">
        <v>0</v>
      </c>
      <c r="S415" s="3" t="s">
        <v>229</v>
      </c>
      <c r="T415" s="3" t="s">
        <v>354</v>
      </c>
      <c r="U415" s="3">
        <v>0</v>
      </c>
      <c r="V415" s="3">
        <v>29</v>
      </c>
      <c r="W415" s="3">
        <v>63</v>
      </c>
    </row>
    <row r="416" spans="1:23" ht="11.25" customHeight="1" x14ac:dyDescent="0.25">
      <c r="A416" s="3" t="s">
        <v>21</v>
      </c>
      <c r="B416" s="3" t="s">
        <v>41</v>
      </c>
      <c r="C416" s="3" t="s">
        <v>23</v>
      </c>
      <c r="D416" s="3" t="s">
        <v>42</v>
      </c>
      <c r="E416" s="3" t="s">
        <v>52</v>
      </c>
      <c r="F416" s="3" t="s">
        <v>51</v>
      </c>
      <c r="G416" s="3" t="s">
        <v>25</v>
      </c>
      <c r="H416" s="3" t="s">
        <v>25</v>
      </c>
      <c r="I416" s="6">
        <v>44531</v>
      </c>
      <c r="J416" s="4">
        <v>0</v>
      </c>
      <c r="K416" s="4">
        <v>0</v>
      </c>
      <c r="L416" s="4">
        <v>2.024</v>
      </c>
      <c r="M416" s="4">
        <v>0.80959999999999999</v>
      </c>
      <c r="N416" s="4">
        <v>2.024</v>
      </c>
      <c r="O416" s="4">
        <v>0.80959999999999999</v>
      </c>
      <c r="P416" s="4">
        <v>0</v>
      </c>
      <c r="Q416" s="3" t="s">
        <v>26</v>
      </c>
      <c r="R416" s="3">
        <v>0</v>
      </c>
      <c r="S416" s="3" t="s">
        <v>230</v>
      </c>
      <c r="T416" s="3" t="s">
        <v>355</v>
      </c>
      <c r="U416" s="3">
        <v>0</v>
      </c>
      <c r="V416" s="3">
        <v>29</v>
      </c>
      <c r="W416" s="3">
        <v>63</v>
      </c>
    </row>
    <row r="417" spans="1:23" ht="11.25" customHeight="1" x14ac:dyDescent="0.25">
      <c r="A417" s="3" t="s">
        <v>21</v>
      </c>
      <c r="B417" s="3" t="s">
        <v>41</v>
      </c>
      <c r="C417" s="3" t="s">
        <v>23</v>
      </c>
      <c r="D417" s="3" t="s">
        <v>42</v>
      </c>
      <c r="E417" s="3" t="s">
        <v>52</v>
      </c>
      <c r="F417" s="3" t="s">
        <v>51</v>
      </c>
      <c r="G417" s="3" t="s">
        <v>25</v>
      </c>
      <c r="H417" s="3" t="s">
        <v>25</v>
      </c>
      <c r="I417" s="6">
        <v>44562</v>
      </c>
      <c r="J417" s="4">
        <v>0</v>
      </c>
      <c r="K417" s="4">
        <v>0</v>
      </c>
      <c r="L417" s="4">
        <v>1.6990000000000001</v>
      </c>
      <c r="M417" s="4">
        <v>0.67959999999999998</v>
      </c>
      <c r="N417" s="4">
        <v>1.6990000000000001</v>
      </c>
      <c r="O417" s="4">
        <v>0.67959999999999998</v>
      </c>
      <c r="P417" s="4">
        <v>0</v>
      </c>
      <c r="Q417" s="3" t="s">
        <v>26</v>
      </c>
      <c r="R417" s="3">
        <v>0</v>
      </c>
      <c r="S417" s="3" t="s">
        <v>231</v>
      </c>
      <c r="T417" s="3" t="s">
        <v>356</v>
      </c>
      <c r="U417" s="3">
        <v>0</v>
      </c>
      <c r="V417" s="3">
        <v>29</v>
      </c>
      <c r="W417" s="3">
        <v>63</v>
      </c>
    </row>
    <row r="418" spans="1:23" ht="11.25" customHeight="1" x14ac:dyDescent="0.25">
      <c r="A418" s="3" t="s">
        <v>21</v>
      </c>
      <c r="B418" s="3" t="s">
        <v>41</v>
      </c>
      <c r="C418" s="3" t="s">
        <v>23</v>
      </c>
      <c r="D418" s="3" t="s">
        <v>42</v>
      </c>
      <c r="E418" s="3" t="s">
        <v>52</v>
      </c>
      <c r="F418" s="3" t="s">
        <v>51</v>
      </c>
      <c r="G418" s="3" t="s">
        <v>25</v>
      </c>
      <c r="H418" s="3" t="s">
        <v>25</v>
      </c>
      <c r="I418" s="6">
        <v>44593</v>
      </c>
      <c r="J418" s="4">
        <v>0</v>
      </c>
      <c r="K418" s="4">
        <v>0</v>
      </c>
      <c r="L418" s="4">
        <v>3.52</v>
      </c>
      <c r="M418" s="4">
        <v>1.4079999999999999</v>
      </c>
      <c r="N418" s="4">
        <v>3.52</v>
      </c>
      <c r="O418" s="4">
        <v>1.4079999999999999</v>
      </c>
      <c r="P418" s="4">
        <v>0</v>
      </c>
      <c r="Q418" s="3" t="s">
        <v>26</v>
      </c>
      <c r="R418" s="3">
        <v>0</v>
      </c>
      <c r="S418" s="3" t="s">
        <v>232</v>
      </c>
      <c r="T418" s="3" t="s">
        <v>357</v>
      </c>
      <c r="U418" s="3">
        <v>0</v>
      </c>
      <c r="V418" s="3">
        <v>29</v>
      </c>
      <c r="W418" s="3">
        <v>63</v>
      </c>
    </row>
    <row r="419" spans="1:23" ht="11.25" customHeight="1" x14ac:dyDescent="0.25">
      <c r="A419" s="3" t="s">
        <v>21</v>
      </c>
      <c r="B419" s="3" t="s">
        <v>41</v>
      </c>
      <c r="C419" s="3" t="s">
        <v>23</v>
      </c>
      <c r="D419" s="3" t="s">
        <v>42</v>
      </c>
      <c r="E419" s="3" t="s">
        <v>52</v>
      </c>
      <c r="F419" s="3" t="s">
        <v>51</v>
      </c>
      <c r="G419" s="3" t="s">
        <v>25</v>
      </c>
      <c r="H419" s="3" t="s">
        <v>25</v>
      </c>
      <c r="I419" s="6">
        <v>44621</v>
      </c>
      <c r="J419" s="4">
        <v>0</v>
      </c>
      <c r="K419" s="4">
        <v>0</v>
      </c>
      <c r="L419" s="4">
        <v>1.5629999999999999</v>
      </c>
      <c r="M419" s="4">
        <v>0.62519999999999998</v>
      </c>
      <c r="N419" s="4">
        <v>1.5629999999999999</v>
      </c>
      <c r="O419" s="4">
        <v>0.62519999999999998</v>
      </c>
      <c r="P419" s="4">
        <v>0</v>
      </c>
      <c r="Q419" s="3" t="s">
        <v>26</v>
      </c>
      <c r="R419" s="3">
        <v>0</v>
      </c>
      <c r="S419" s="3" t="s">
        <v>233</v>
      </c>
      <c r="T419" s="3" t="s">
        <v>358</v>
      </c>
      <c r="U419" s="3">
        <v>0</v>
      </c>
      <c r="V419" s="3">
        <v>29</v>
      </c>
      <c r="W419" s="3">
        <v>63</v>
      </c>
    </row>
    <row r="420" spans="1:23" ht="11.25" customHeight="1" x14ac:dyDescent="0.25">
      <c r="A420" s="3" t="s">
        <v>21</v>
      </c>
      <c r="B420" s="3" t="s">
        <v>41</v>
      </c>
      <c r="C420" s="3" t="s">
        <v>23</v>
      </c>
      <c r="D420" s="3" t="s">
        <v>42</v>
      </c>
      <c r="E420" s="3" t="s">
        <v>52</v>
      </c>
      <c r="F420" s="3" t="s">
        <v>51</v>
      </c>
      <c r="G420" s="3" t="s">
        <v>25</v>
      </c>
      <c r="H420" s="3" t="s">
        <v>25</v>
      </c>
      <c r="I420" s="6">
        <v>44652</v>
      </c>
      <c r="J420" s="4">
        <v>0</v>
      </c>
      <c r="K420" s="4">
        <v>0</v>
      </c>
      <c r="L420" s="4">
        <v>0.68300000000000005</v>
      </c>
      <c r="M420" s="4">
        <v>0.2732</v>
      </c>
      <c r="N420" s="4">
        <v>0.68300000000000005</v>
      </c>
      <c r="O420" s="4">
        <v>0.2732</v>
      </c>
      <c r="P420" s="4">
        <v>0</v>
      </c>
      <c r="Q420" s="3" t="s">
        <v>26</v>
      </c>
      <c r="R420" s="3">
        <v>0</v>
      </c>
      <c r="S420" s="3" t="s">
        <v>234</v>
      </c>
      <c r="T420" s="3" t="s">
        <v>359</v>
      </c>
      <c r="U420" s="3">
        <v>0</v>
      </c>
      <c r="V420" s="3">
        <v>29</v>
      </c>
      <c r="W420" s="3">
        <v>63</v>
      </c>
    </row>
    <row r="421" spans="1:23" ht="11.25" customHeight="1" x14ac:dyDescent="0.25">
      <c r="A421" s="3" t="s">
        <v>21</v>
      </c>
      <c r="B421" s="3" t="s">
        <v>41</v>
      </c>
      <c r="C421" s="3" t="s">
        <v>23</v>
      </c>
      <c r="D421" s="3" t="s">
        <v>42</v>
      </c>
      <c r="E421" s="3" t="s">
        <v>52</v>
      </c>
      <c r="F421" s="3" t="s">
        <v>51</v>
      </c>
      <c r="G421" s="3" t="s">
        <v>25</v>
      </c>
      <c r="H421" s="3" t="s">
        <v>25</v>
      </c>
      <c r="I421" s="6">
        <v>44682</v>
      </c>
      <c r="J421" s="4">
        <v>0</v>
      </c>
      <c r="K421" s="4">
        <v>0</v>
      </c>
      <c r="L421" s="4">
        <v>8.7999999999999995E-2</v>
      </c>
      <c r="M421" s="4">
        <v>3.5200000000000002E-2</v>
      </c>
      <c r="N421" s="4">
        <v>8.7999999999999995E-2</v>
      </c>
      <c r="O421" s="4">
        <v>3.5200000000000002E-2</v>
      </c>
      <c r="P421" s="4">
        <v>0</v>
      </c>
      <c r="Q421" s="3" t="s">
        <v>26</v>
      </c>
      <c r="R421" s="3">
        <v>0</v>
      </c>
      <c r="S421" s="3" t="s">
        <v>235</v>
      </c>
      <c r="T421" s="3" t="s">
        <v>360</v>
      </c>
      <c r="U421" s="3">
        <v>0</v>
      </c>
      <c r="V421" s="3">
        <v>29</v>
      </c>
      <c r="W421" s="3">
        <v>63</v>
      </c>
    </row>
    <row r="422" spans="1:23" ht="11.25" customHeight="1" x14ac:dyDescent="0.25">
      <c r="A422" s="3" t="s">
        <v>21</v>
      </c>
      <c r="B422" s="3" t="s">
        <v>41</v>
      </c>
      <c r="C422" s="3" t="s">
        <v>23</v>
      </c>
      <c r="D422" s="3" t="s">
        <v>42</v>
      </c>
      <c r="E422" s="3" t="s">
        <v>52</v>
      </c>
      <c r="F422" s="3" t="s">
        <v>51</v>
      </c>
      <c r="G422" s="3" t="s">
        <v>25</v>
      </c>
      <c r="H422" s="3" t="s">
        <v>25</v>
      </c>
      <c r="I422" s="6">
        <v>44713</v>
      </c>
      <c r="J422" s="4">
        <v>0</v>
      </c>
      <c r="K422" s="4">
        <v>0</v>
      </c>
      <c r="L422" s="4">
        <v>0.16900000000000001</v>
      </c>
      <c r="M422" s="4">
        <v>6.7599999999999993E-2</v>
      </c>
      <c r="N422" s="4">
        <v>0.16900000000000001</v>
      </c>
      <c r="O422" s="4">
        <v>6.7599999999999993E-2</v>
      </c>
      <c r="P422" s="4">
        <v>0</v>
      </c>
      <c r="Q422" s="3" t="s">
        <v>26</v>
      </c>
      <c r="R422" s="3">
        <v>0</v>
      </c>
      <c r="S422" s="3" t="s">
        <v>236</v>
      </c>
      <c r="T422" s="3" t="s">
        <v>361</v>
      </c>
      <c r="U422" s="3">
        <v>0</v>
      </c>
      <c r="V422" s="3">
        <v>29</v>
      </c>
      <c r="W422" s="3">
        <v>63</v>
      </c>
    </row>
    <row r="423" spans="1:23" ht="11.25" customHeight="1" x14ac:dyDescent="0.25">
      <c r="A423" s="3" t="s">
        <v>21</v>
      </c>
      <c r="B423" s="3" t="s">
        <v>41</v>
      </c>
      <c r="C423" s="3" t="s">
        <v>23</v>
      </c>
      <c r="D423" s="3" t="s">
        <v>42</v>
      </c>
      <c r="E423" s="3" t="s">
        <v>25</v>
      </c>
      <c r="F423" s="3" t="s">
        <v>25</v>
      </c>
      <c r="G423" s="3" t="s">
        <v>25</v>
      </c>
      <c r="H423" s="3" t="s">
        <v>25</v>
      </c>
      <c r="I423" s="6">
        <v>44378</v>
      </c>
      <c r="J423" s="4">
        <v>0</v>
      </c>
      <c r="K423" s="4">
        <v>0</v>
      </c>
      <c r="L423" s="4">
        <v>1474.364</v>
      </c>
      <c r="M423" s="4">
        <v>1474.364</v>
      </c>
      <c r="N423" s="4">
        <v>1474.364</v>
      </c>
      <c r="O423" s="4">
        <v>1474.364</v>
      </c>
      <c r="P423" s="4">
        <v>4633</v>
      </c>
      <c r="Q423" s="3" t="s">
        <v>26</v>
      </c>
      <c r="R423" s="3">
        <v>0</v>
      </c>
      <c r="S423" s="3" t="s">
        <v>225</v>
      </c>
      <c r="T423" s="3" t="s">
        <v>350</v>
      </c>
      <c r="U423" s="3">
        <v>0</v>
      </c>
      <c r="V423" s="3">
        <v>42</v>
      </c>
      <c r="W423" s="3">
        <v>63</v>
      </c>
    </row>
    <row r="424" spans="1:23" ht="11.25" customHeight="1" x14ac:dyDescent="0.25">
      <c r="A424" s="3" t="s">
        <v>27</v>
      </c>
      <c r="B424" s="3" t="s">
        <v>41</v>
      </c>
      <c r="C424" s="3" t="s">
        <v>23</v>
      </c>
      <c r="D424" s="3" t="s">
        <v>42</v>
      </c>
      <c r="E424" s="3" t="s">
        <v>25</v>
      </c>
      <c r="F424" s="3" t="s">
        <v>25</v>
      </c>
      <c r="G424" s="3" t="s">
        <v>25</v>
      </c>
      <c r="H424" s="3" t="s">
        <v>25</v>
      </c>
      <c r="I424" s="6">
        <v>44378</v>
      </c>
      <c r="J424" s="4">
        <v>0</v>
      </c>
      <c r="K424" s="4">
        <v>0</v>
      </c>
      <c r="L424" s="4">
        <v>-1.758</v>
      </c>
      <c r="M424" s="4">
        <v>-1.758</v>
      </c>
      <c r="N424" s="4">
        <v>-1.758</v>
      </c>
      <c r="O424" s="4">
        <v>-1.758</v>
      </c>
      <c r="P424" s="4">
        <v>0</v>
      </c>
      <c r="Q424" s="3" t="s">
        <v>26</v>
      </c>
      <c r="R424" s="3">
        <v>0</v>
      </c>
      <c r="S424" s="3" t="s">
        <v>225</v>
      </c>
      <c r="T424" s="3" t="s">
        <v>350</v>
      </c>
      <c r="U424" s="3">
        <v>0</v>
      </c>
      <c r="V424" s="3">
        <v>42</v>
      </c>
      <c r="W424" s="3">
        <v>63</v>
      </c>
    </row>
    <row r="425" spans="1:23" ht="11.25" customHeight="1" x14ac:dyDescent="0.25">
      <c r="A425" s="3" t="s">
        <v>28</v>
      </c>
      <c r="B425" s="3" t="s">
        <v>41</v>
      </c>
      <c r="C425" s="3" t="s">
        <v>23</v>
      </c>
      <c r="D425" s="3" t="s">
        <v>42</v>
      </c>
      <c r="E425" s="3" t="s">
        <v>25</v>
      </c>
      <c r="F425" s="3" t="s">
        <v>25</v>
      </c>
      <c r="G425" s="3" t="s">
        <v>25</v>
      </c>
      <c r="H425" s="3" t="s">
        <v>25</v>
      </c>
      <c r="I425" s="6">
        <v>44378</v>
      </c>
      <c r="J425" s="4">
        <v>0</v>
      </c>
      <c r="K425" s="4">
        <v>0</v>
      </c>
      <c r="L425" s="4">
        <v>125.97199999999999</v>
      </c>
      <c r="M425" s="4">
        <v>125.97199999999999</v>
      </c>
      <c r="N425" s="4">
        <v>125.97199999999999</v>
      </c>
      <c r="O425" s="4">
        <v>125.97199999999999</v>
      </c>
      <c r="P425" s="4">
        <v>126</v>
      </c>
      <c r="Q425" s="3" t="s">
        <v>26</v>
      </c>
      <c r="R425" s="3">
        <v>0</v>
      </c>
      <c r="S425" s="3" t="s">
        <v>225</v>
      </c>
      <c r="T425" s="3" t="s">
        <v>350</v>
      </c>
      <c r="U425" s="3">
        <v>0</v>
      </c>
      <c r="V425" s="3">
        <v>42</v>
      </c>
      <c r="W425" s="3">
        <v>63</v>
      </c>
    </row>
    <row r="426" spans="1:23" ht="11.25" customHeight="1" x14ac:dyDescent="0.25">
      <c r="A426" s="3" t="s">
        <v>21</v>
      </c>
      <c r="B426" s="3" t="s">
        <v>41</v>
      </c>
      <c r="C426" s="3" t="s">
        <v>23</v>
      </c>
      <c r="D426" s="3" t="s">
        <v>42</v>
      </c>
      <c r="E426" s="3" t="s">
        <v>25</v>
      </c>
      <c r="F426" s="3" t="s">
        <v>25</v>
      </c>
      <c r="G426" s="3" t="s">
        <v>25</v>
      </c>
      <c r="H426" s="3" t="s">
        <v>25</v>
      </c>
      <c r="I426" s="6">
        <v>44409</v>
      </c>
      <c r="J426" s="4">
        <v>0</v>
      </c>
      <c r="K426" s="4">
        <v>0</v>
      </c>
      <c r="L426" s="4">
        <v>1562.838</v>
      </c>
      <c r="M426" s="4">
        <v>1562.838</v>
      </c>
      <c r="N426" s="4">
        <v>1562.838</v>
      </c>
      <c r="O426" s="4">
        <v>1562.838</v>
      </c>
      <c r="P426" s="4">
        <v>4613</v>
      </c>
      <c r="Q426" s="3" t="s">
        <v>26</v>
      </c>
      <c r="R426" s="3">
        <v>0</v>
      </c>
      <c r="S426" s="3" t="s">
        <v>226</v>
      </c>
      <c r="T426" s="3" t="s">
        <v>351</v>
      </c>
      <c r="U426" s="3">
        <v>0</v>
      </c>
      <c r="V426" s="3">
        <v>42</v>
      </c>
      <c r="W426" s="3">
        <v>63</v>
      </c>
    </row>
    <row r="427" spans="1:23" ht="11.25" customHeight="1" x14ac:dyDescent="0.25">
      <c r="A427" s="3" t="s">
        <v>27</v>
      </c>
      <c r="B427" s="3" t="s">
        <v>41</v>
      </c>
      <c r="C427" s="3" t="s">
        <v>23</v>
      </c>
      <c r="D427" s="3" t="s">
        <v>42</v>
      </c>
      <c r="E427" s="3" t="s">
        <v>25</v>
      </c>
      <c r="F427" s="3" t="s">
        <v>25</v>
      </c>
      <c r="G427" s="3" t="s">
        <v>25</v>
      </c>
      <c r="H427" s="3" t="s">
        <v>25</v>
      </c>
      <c r="I427" s="6">
        <v>44409</v>
      </c>
      <c r="J427" s="4">
        <v>0</v>
      </c>
      <c r="K427" s="4">
        <v>0</v>
      </c>
      <c r="L427" s="4">
        <v>-9.1920000000000002</v>
      </c>
      <c r="M427" s="4">
        <v>-9.1920000000000002</v>
      </c>
      <c r="N427" s="4">
        <v>-9.1920000000000002</v>
      </c>
      <c r="O427" s="4">
        <v>-9.1920000000000002</v>
      </c>
      <c r="P427" s="4">
        <v>0</v>
      </c>
      <c r="Q427" s="3" t="s">
        <v>26</v>
      </c>
      <c r="R427" s="3">
        <v>0</v>
      </c>
      <c r="S427" s="3" t="s">
        <v>226</v>
      </c>
      <c r="T427" s="3" t="s">
        <v>351</v>
      </c>
      <c r="U427" s="3">
        <v>0</v>
      </c>
      <c r="V427" s="3">
        <v>42</v>
      </c>
      <c r="W427" s="3">
        <v>63</v>
      </c>
    </row>
    <row r="428" spans="1:23" ht="11.25" customHeight="1" x14ac:dyDescent="0.25">
      <c r="A428" s="3" t="s">
        <v>21</v>
      </c>
      <c r="B428" s="3" t="s">
        <v>41</v>
      </c>
      <c r="C428" s="3" t="s">
        <v>23</v>
      </c>
      <c r="D428" s="3" t="s">
        <v>42</v>
      </c>
      <c r="E428" s="3" t="s">
        <v>25</v>
      </c>
      <c r="F428" s="3" t="s">
        <v>25</v>
      </c>
      <c r="G428" s="3" t="s">
        <v>25</v>
      </c>
      <c r="H428" s="3" t="s">
        <v>25</v>
      </c>
      <c r="I428" s="6">
        <v>44440</v>
      </c>
      <c r="J428" s="4">
        <v>0</v>
      </c>
      <c r="K428" s="4">
        <v>0</v>
      </c>
      <c r="L428" s="4">
        <v>1585.94</v>
      </c>
      <c r="M428" s="4">
        <v>1585.94</v>
      </c>
      <c r="N428" s="4">
        <v>1585.94</v>
      </c>
      <c r="O428" s="4">
        <v>1585.94</v>
      </c>
      <c r="P428" s="4">
        <v>4622</v>
      </c>
      <c r="Q428" s="3" t="s">
        <v>26</v>
      </c>
      <c r="R428" s="3">
        <v>0</v>
      </c>
      <c r="S428" s="3" t="s">
        <v>227</v>
      </c>
      <c r="T428" s="3" t="s">
        <v>352</v>
      </c>
      <c r="U428" s="3">
        <v>0</v>
      </c>
      <c r="V428" s="3">
        <v>42</v>
      </c>
      <c r="W428" s="3">
        <v>63</v>
      </c>
    </row>
    <row r="429" spans="1:23" ht="11.25" customHeight="1" x14ac:dyDescent="0.25">
      <c r="A429" s="3" t="s">
        <v>27</v>
      </c>
      <c r="B429" s="3" t="s">
        <v>41</v>
      </c>
      <c r="C429" s="3" t="s">
        <v>23</v>
      </c>
      <c r="D429" s="3" t="s">
        <v>42</v>
      </c>
      <c r="E429" s="3" t="s">
        <v>25</v>
      </c>
      <c r="F429" s="3" t="s">
        <v>25</v>
      </c>
      <c r="G429" s="3" t="s">
        <v>25</v>
      </c>
      <c r="H429" s="3" t="s">
        <v>25</v>
      </c>
      <c r="I429" s="6">
        <v>44440</v>
      </c>
      <c r="J429" s="4">
        <v>0</v>
      </c>
      <c r="K429" s="4">
        <v>0</v>
      </c>
      <c r="L429" s="4">
        <v>-6.4260000000000002</v>
      </c>
      <c r="M429" s="4">
        <v>-6.4260000000000002</v>
      </c>
      <c r="N429" s="4">
        <v>-6.4260000000000002</v>
      </c>
      <c r="O429" s="4">
        <v>-6.4260000000000002</v>
      </c>
      <c r="P429" s="4">
        <v>0</v>
      </c>
      <c r="Q429" s="3" t="s">
        <v>26</v>
      </c>
      <c r="R429" s="3">
        <v>0</v>
      </c>
      <c r="S429" s="3" t="s">
        <v>227</v>
      </c>
      <c r="T429" s="3" t="s">
        <v>352</v>
      </c>
      <c r="U429" s="3">
        <v>0</v>
      </c>
      <c r="V429" s="3">
        <v>42</v>
      </c>
      <c r="W429" s="3">
        <v>63</v>
      </c>
    </row>
    <row r="430" spans="1:23" ht="11.25" customHeight="1" x14ac:dyDescent="0.25">
      <c r="A430" s="3" t="s">
        <v>28</v>
      </c>
      <c r="B430" s="3" t="s">
        <v>41</v>
      </c>
      <c r="C430" s="3" t="s">
        <v>23</v>
      </c>
      <c r="D430" s="3" t="s">
        <v>42</v>
      </c>
      <c r="E430" s="3" t="s">
        <v>25</v>
      </c>
      <c r="F430" s="3" t="s">
        <v>25</v>
      </c>
      <c r="G430" s="3" t="s">
        <v>25</v>
      </c>
      <c r="H430" s="3" t="s">
        <v>25</v>
      </c>
      <c r="I430" s="6">
        <v>44440</v>
      </c>
      <c r="J430" s="4">
        <v>0</v>
      </c>
      <c r="K430" s="4">
        <v>0</v>
      </c>
      <c r="L430" s="4">
        <v>78.552999999999997</v>
      </c>
      <c r="M430" s="4">
        <v>78.552999999999997</v>
      </c>
      <c r="N430" s="4">
        <v>78.552999999999997</v>
      </c>
      <c r="O430" s="4">
        <v>78.552999999999997</v>
      </c>
      <c r="P430" s="4">
        <v>131</v>
      </c>
      <c r="Q430" s="3" t="s">
        <v>26</v>
      </c>
      <c r="R430" s="3">
        <v>0</v>
      </c>
      <c r="S430" s="3" t="s">
        <v>227</v>
      </c>
      <c r="T430" s="3" t="s">
        <v>352</v>
      </c>
      <c r="U430" s="3">
        <v>0</v>
      </c>
      <c r="V430" s="3">
        <v>42</v>
      </c>
      <c r="W430" s="3">
        <v>63</v>
      </c>
    </row>
    <row r="431" spans="1:23" ht="11.25" customHeight="1" x14ac:dyDescent="0.25">
      <c r="A431" s="3" t="s">
        <v>21</v>
      </c>
      <c r="B431" s="3" t="s">
        <v>41</v>
      </c>
      <c r="C431" s="3" t="s">
        <v>23</v>
      </c>
      <c r="D431" s="3" t="s">
        <v>42</v>
      </c>
      <c r="E431" s="3" t="s">
        <v>25</v>
      </c>
      <c r="F431" s="3" t="s">
        <v>25</v>
      </c>
      <c r="G431" s="3" t="s">
        <v>25</v>
      </c>
      <c r="H431" s="3" t="s">
        <v>25</v>
      </c>
      <c r="I431" s="6">
        <v>44470</v>
      </c>
      <c r="J431" s="4">
        <v>0</v>
      </c>
      <c r="K431" s="4">
        <v>0</v>
      </c>
      <c r="L431" s="4">
        <v>1566.079</v>
      </c>
      <c r="M431" s="4">
        <v>1566.079</v>
      </c>
      <c r="N431" s="4">
        <v>1566.079</v>
      </c>
      <c r="O431" s="4">
        <v>1566.079</v>
      </c>
      <c r="P431" s="4">
        <v>4616</v>
      </c>
      <c r="Q431" s="3" t="s">
        <v>26</v>
      </c>
      <c r="R431" s="3">
        <v>0</v>
      </c>
      <c r="S431" s="3" t="s">
        <v>228</v>
      </c>
      <c r="T431" s="3" t="s">
        <v>353</v>
      </c>
      <c r="U431" s="3">
        <v>0</v>
      </c>
      <c r="V431" s="3">
        <v>42</v>
      </c>
      <c r="W431" s="3">
        <v>63</v>
      </c>
    </row>
    <row r="432" spans="1:23" ht="11.25" customHeight="1" x14ac:dyDescent="0.25">
      <c r="A432" s="3" t="s">
        <v>27</v>
      </c>
      <c r="B432" s="3" t="s">
        <v>41</v>
      </c>
      <c r="C432" s="3" t="s">
        <v>23</v>
      </c>
      <c r="D432" s="3" t="s">
        <v>42</v>
      </c>
      <c r="E432" s="3" t="s">
        <v>25</v>
      </c>
      <c r="F432" s="3" t="s">
        <v>25</v>
      </c>
      <c r="G432" s="3" t="s">
        <v>25</v>
      </c>
      <c r="H432" s="3" t="s">
        <v>25</v>
      </c>
      <c r="I432" s="6">
        <v>44470</v>
      </c>
      <c r="J432" s="4">
        <v>0</v>
      </c>
      <c r="K432" s="4">
        <v>0</v>
      </c>
      <c r="L432" s="4">
        <v>-6.51</v>
      </c>
      <c r="M432" s="4">
        <v>-6.51</v>
      </c>
      <c r="N432" s="4">
        <v>-6.51</v>
      </c>
      <c r="O432" s="4">
        <v>-6.51</v>
      </c>
      <c r="P432" s="4">
        <v>0</v>
      </c>
      <c r="Q432" s="3" t="s">
        <v>26</v>
      </c>
      <c r="R432" s="3">
        <v>0</v>
      </c>
      <c r="S432" s="3" t="s">
        <v>228</v>
      </c>
      <c r="T432" s="3" t="s">
        <v>353</v>
      </c>
      <c r="U432" s="3">
        <v>0</v>
      </c>
      <c r="V432" s="3">
        <v>42</v>
      </c>
      <c r="W432" s="3">
        <v>63</v>
      </c>
    </row>
    <row r="433" spans="1:23" ht="11.25" customHeight="1" x14ac:dyDescent="0.25">
      <c r="A433" s="3" t="s">
        <v>28</v>
      </c>
      <c r="B433" s="3" t="s">
        <v>41</v>
      </c>
      <c r="C433" s="3" t="s">
        <v>23</v>
      </c>
      <c r="D433" s="3" t="s">
        <v>42</v>
      </c>
      <c r="E433" s="3" t="s">
        <v>25</v>
      </c>
      <c r="F433" s="3" t="s">
        <v>25</v>
      </c>
      <c r="G433" s="3" t="s">
        <v>25</v>
      </c>
      <c r="H433" s="3" t="s">
        <v>25</v>
      </c>
      <c r="I433" s="6">
        <v>44470</v>
      </c>
      <c r="J433" s="4">
        <v>0</v>
      </c>
      <c r="K433" s="4">
        <v>0</v>
      </c>
      <c r="L433" s="4">
        <v>90.212000000000003</v>
      </c>
      <c r="M433" s="4">
        <v>90.212000000000003</v>
      </c>
      <c r="N433" s="4">
        <v>90.212000000000003</v>
      </c>
      <c r="O433" s="4">
        <v>90.212000000000003</v>
      </c>
      <c r="P433" s="4">
        <v>136</v>
      </c>
      <c r="Q433" s="3" t="s">
        <v>26</v>
      </c>
      <c r="R433" s="3">
        <v>0</v>
      </c>
      <c r="S433" s="3" t="s">
        <v>228</v>
      </c>
      <c r="T433" s="3" t="s">
        <v>353</v>
      </c>
      <c r="U433" s="3">
        <v>0</v>
      </c>
      <c r="V433" s="3">
        <v>42</v>
      </c>
      <c r="W433" s="3">
        <v>63</v>
      </c>
    </row>
    <row r="434" spans="1:23" ht="11.25" customHeight="1" x14ac:dyDescent="0.25">
      <c r="A434" s="3" t="s">
        <v>21</v>
      </c>
      <c r="B434" s="3" t="s">
        <v>41</v>
      </c>
      <c r="C434" s="3" t="s">
        <v>23</v>
      </c>
      <c r="D434" s="3" t="s">
        <v>42</v>
      </c>
      <c r="E434" s="3" t="s">
        <v>25</v>
      </c>
      <c r="F434" s="3" t="s">
        <v>25</v>
      </c>
      <c r="G434" s="3" t="s">
        <v>25</v>
      </c>
      <c r="H434" s="3" t="s">
        <v>25</v>
      </c>
      <c r="I434" s="6">
        <v>44501</v>
      </c>
      <c r="J434" s="4">
        <v>0</v>
      </c>
      <c r="K434" s="4">
        <v>0</v>
      </c>
      <c r="L434" s="4">
        <v>1656.521</v>
      </c>
      <c r="M434" s="4">
        <v>1656.521</v>
      </c>
      <c r="N434" s="4">
        <v>1656.521</v>
      </c>
      <c r="O434" s="4">
        <v>1656.521</v>
      </c>
      <c r="P434" s="4">
        <v>4603</v>
      </c>
      <c r="Q434" s="3" t="s">
        <v>26</v>
      </c>
      <c r="R434" s="3">
        <v>0</v>
      </c>
      <c r="S434" s="3" t="s">
        <v>229</v>
      </c>
      <c r="T434" s="3" t="s">
        <v>354</v>
      </c>
      <c r="U434" s="3">
        <v>0</v>
      </c>
      <c r="V434" s="3">
        <v>42</v>
      </c>
      <c r="W434" s="3">
        <v>63</v>
      </c>
    </row>
    <row r="435" spans="1:23" ht="11.25" customHeight="1" x14ac:dyDescent="0.25">
      <c r="A435" s="3" t="s">
        <v>27</v>
      </c>
      <c r="B435" s="3" t="s">
        <v>41</v>
      </c>
      <c r="C435" s="3" t="s">
        <v>23</v>
      </c>
      <c r="D435" s="3" t="s">
        <v>42</v>
      </c>
      <c r="E435" s="3" t="s">
        <v>25</v>
      </c>
      <c r="F435" s="3" t="s">
        <v>25</v>
      </c>
      <c r="G435" s="3" t="s">
        <v>25</v>
      </c>
      <c r="H435" s="3" t="s">
        <v>25</v>
      </c>
      <c r="I435" s="6">
        <v>44501</v>
      </c>
      <c r="J435" s="4">
        <v>0</v>
      </c>
      <c r="K435" s="4">
        <v>0</v>
      </c>
      <c r="L435" s="4">
        <v>-2.605</v>
      </c>
      <c r="M435" s="4">
        <v>-2.605</v>
      </c>
      <c r="N435" s="4">
        <v>-2.605</v>
      </c>
      <c r="O435" s="4">
        <v>-2.605</v>
      </c>
      <c r="P435" s="4">
        <v>0</v>
      </c>
      <c r="Q435" s="3" t="s">
        <v>26</v>
      </c>
      <c r="R435" s="3">
        <v>0</v>
      </c>
      <c r="S435" s="3" t="s">
        <v>229</v>
      </c>
      <c r="T435" s="3" t="s">
        <v>354</v>
      </c>
      <c r="U435" s="3">
        <v>0</v>
      </c>
      <c r="V435" s="3">
        <v>42</v>
      </c>
      <c r="W435" s="3">
        <v>63</v>
      </c>
    </row>
    <row r="436" spans="1:23" ht="11.25" customHeight="1" x14ac:dyDescent="0.25">
      <c r="A436" s="3" t="s">
        <v>28</v>
      </c>
      <c r="B436" s="3" t="s">
        <v>41</v>
      </c>
      <c r="C436" s="3" t="s">
        <v>23</v>
      </c>
      <c r="D436" s="3" t="s">
        <v>42</v>
      </c>
      <c r="E436" s="3" t="s">
        <v>25</v>
      </c>
      <c r="F436" s="3" t="s">
        <v>25</v>
      </c>
      <c r="G436" s="3" t="s">
        <v>25</v>
      </c>
      <c r="H436" s="3" t="s">
        <v>25</v>
      </c>
      <c r="I436" s="6">
        <v>44501</v>
      </c>
      <c r="J436" s="4">
        <v>0</v>
      </c>
      <c r="K436" s="4">
        <v>0</v>
      </c>
      <c r="L436" s="4">
        <v>59.811999999999998</v>
      </c>
      <c r="M436" s="4">
        <v>59.811999999999998</v>
      </c>
      <c r="N436" s="4">
        <v>59.811999999999998</v>
      </c>
      <c r="O436" s="4">
        <v>59.811999999999998</v>
      </c>
      <c r="P436" s="4">
        <v>0</v>
      </c>
      <c r="Q436" s="3" t="s">
        <v>26</v>
      </c>
      <c r="R436" s="3">
        <v>0</v>
      </c>
      <c r="S436" s="3" t="s">
        <v>229</v>
      </c>
      <c r="T436" s="3" t="s">
        <v>354</v>
      </c>
      <c r="U436" s="3">
        <v>0</v>
      </c>
      <c r="V436" s="3">
        <v>42</v>
      </c>
      <c r="W436" s="3">
        <v>63</v>
      </c>
    </row>
    <row r="437" spans="1:23" ht="11.25" customHeight="1" x14ac:dyDescent="0.25">
      <c r="A437" s="3" t="s">
        <v>21</v>
      </c>
      <c r="B437" s="3" t="s">
        <v>41</v>
      </c>
      <c r="C437" s="3" t="s">
        <v>23</v>
      </c>
      <c r="D437" s="3" t="s">
        <v>42</v>
      </c>
      <c r="E437" s="3" t="s">
        <v>25</v>
      </c>
      <c r="F437" s="3" t="s">
        <v>25</v>
      </c>
      <c r="G437" s="3" t="s">
        <v>25</v>
      </c>
      <c r="H437" s="3" t="s">
        <v>25</v>
      </c>
      <c r="I437" s="6">
        <v>44531</v>
      </c>
      <c r="J437" s="4">
        <v>0</v>
      </c>
      <c r="K437" s="4">
        <v>0</v>
      </c>
      <c r="L437" s="4">
        <v>1717.56</v>
      </c>
      <c r="M437" s="4">
        <v>1717.56</v>
      </c>
      <c r="N437" s="4">
        <v>1717.56</v>
      </c>
      <c r="O437" s="4">
        <v>1717.56</v>
      </c>
      <c r="P437" s="4">
        <v>4543</v>
      </c>
      <c r="Q437" s="3" t="s">
        <v>26</v>
      </c>
      <c r="R437" s="3">
        <v>0</v>
      </c>
      <c r="S437" s="3" t="s">
        <v>230</v>
      </c>
      <c r="T437" s="3" t="s">
        <v>355</v>
      </c>
      <c r="U437" s="3">
        <v>0</v>
      </c>
      <c r="V437" s="3">
        <v>42</v>
      </c>
      <c r="W437" s="3">
        <v>63</v>
      </c>
    </row>
    <row r="438" spans="1:23" ht="11.25" customHeight="1" x14ac:dyDescent="0.25">
      <c r="A438" s="3" t="s">
        <v>27</v>
      </c>
      <c r="B438" s="3" t="s">
        <v>41</v>
      </c>
      <c r="C438" s="3" t="s">
        <v>23</v>
      </c>
      <c r="D438" s="3" t="s">
        <v>42</v>
      </c>
      <c r="E438" s="3" t="s">
        <v>25</v>
      </c>
      <c r="F438" s="3" t="s">
        <v>25</v>
      </c>
      <c r="G438" s="3" t="s">
        <v>25</v>
      </c>
      <c r="H438" s="3" t="s">
        <v>25</v>
      </c>
      <c r="I438" s="6">
        <v>44531</v>
      </c>
      <c r="J438" s="4">
        <v>0</v>
      </c>
      <c r="K438" s="4">
        <v>0</v>
      </c>
      <c r="L438" s="4">
        <v>-6.2789999999999999</v>
      </c>
      <c r="M438" s="4">
        <v>-6.2789999999999999</v>
      </c>
      <c r="N438" s="4">
        <v>-6.2789999999999999</v>
      </c>
      <c r="O438" s="4">
        <v>-6.2789999999999999</v>
      </c>
      <c r="P438" s="4">
        <v>0</v>
      </c>
      <c r="Q438" s="3" t="s">
        <v>26</v>
      </c>
      <c r="R438" s="3">
        <v>0</v>
      </c>
      <c r="S438" s="3" t="s">
        <v>230</v>
      </c>
      <c r="T438" s="3" t="s">
        <v>355</v>
      </c>
      <c r="U438" s="3">
        <v>0</v>
      </c>
      <c r="V438" s="3">
        <v>42</v>
      </c>
      <c r="W438" s="3">
        <v>63</v>
      </c>
    </row>
    <row r="439" spans="1:23" ht="11.25" customHeight="1" x14ac:dyDescent="0.25">
      <c r="A439" s="3" t="s">
        <v>28</v>
      </c>
      <c r="B439" s="3" t="s">
        <v>41</v>
      </c>
      <c r="C439" s="3" t="s">
        <v>23</v>
      </c>
      <c r="D439" s="3" t="s">
        <v>42</v>
      </c>
      <c r="E439" s="3" t="s">
        <v>25</v>
      </c>
      <c r="F439" s="3" t="s">
        <v>25</v>
      </c>
      <c r="G439" s="3" t="s">
        <v>25</v>
      </c>
      <c r="H439" s="3" t="s">
        <v>25</v>
      </c>
      <c r="I439" s="6">
        <v>44531</v>
      </c>
      <c r="J439" s="4">
        <v>0</v>
      </c>
      <c r="K439" s="4">
        <v>0</v>
      </c>
      <c r="L439" s="4">
        <v>101.895</v>
      </c>
      <c r="M439" s="4">
        <v>101.895</v>
      </c>
      <c r="N439" s="4">
        <v>101.895</v>
      </c>
      <c r="O439" s="4">
        <v>101.895</v>
      </c>
      <c r="P439" s="4">
        <v>147</v>
      </c>
      <c r="Q439" s="3" t="s">
        <v>26</v>
      </c>
      <c r="R439" s="3">
        <v>0</v>
      </c>
      <c r="S439" s="3" t="s">
        <v>230</v>
      </c>
      <c r="T439" s="3" t="s">
        <v>355</v>
      </c>
      <c r="U439" s="3">
        <v>0</v>
      </c>
      <c r="V439" s="3">
        <v>42</v>
      </c>
      <c r="W439" s="3">
        <v>63</v>
      </c>
    </row>
    <row r="440" spans="1:23" ht="11.25" customHeight="1" x14ac:dyDescent="0.25">
      <c r="A440" s="3" t="s">
        <v>21</v>
      </c>
      <c r="B440" s="3" t="s">
        <v>41</v>
      </c>
      <c r="C440" s="3" t="s">
        <v>23</v>
      </c>
      <c r="D440" s="3" t="s">
        <v>42</v>
      </c>
      <c r="E440" s="3" t="s">
        <v>25</v>
      </c>
      <c r="F440" s="3" t="s">
        <v>25</v>
      </c>
      <c r="G440" s="3" t="s">
        <v>25</v>
      </c>
      <c r="H440" s="3" t="s">
        <v>25</v>
      </c>
      <c r="I440" s="6">
        <v>44562</v>
      </c>
      <c r="J440" s="4">
        <v>0</v>
      </c>
      <c r="K440" s="4">
        <v>0</v>
      </c>
      <c r="L440" s="4">
        <v>1907.8</v>
      </c>
      <c r="M440" s="4">
        <v>1907.8</v>
      </c>
      <c r="N440" s="4">
        <v>1907.8</v>
      </c>
      <c r="O440" s="4">
        <v>1907.8</v>
      </c>
      <c r="P440" s="4">
        <v>4550</v>
      </c>
      <c r="Q440" s="3" t="s">
        <v>26</v>
      </c>
      <c r="R440" s="3">
        <v>0</v>
      </c>
      <c r="S440" s="3" t="s">
        <v>231</v>
      </c>
      <c r="T440" s="3" t="s">
        <v>356</v>
      </c>
      <c r="U440" s="3">
        <v>0</v>
      </c>
      <c r="V440" s="3">
        <v>42</v>
      </c>
      <c r="W440" s="3">
        <v>63</v>
      </c>
    </row>
    <row r="441" spans="1:23" ht="11.25" customHeight="1" x14ac:dyDescent="0.25">
      <c r="A441" s="3" t="s">
        <v>27</v>
      </c>
      <c r="B441" s="3" t="s">
        <v>41</v>
      </c>
      <c r="C441" s="3" t="s">
        <v>23</v>
      </c>
      <c r="D441" s="3" t="s">
        <v>42</v>
      </c>
      <c r="E441" s="3" t="s">
        <v>25</v>
      </c>
      <c r="F441" s="3" t="s">
        <v>25</v>
      </c>
      <c r="G441" s="3" t="s">
        <v>25</v>
      </c>
      <c r="H441" s="3" t="s">
        <v>25</v>
      </c>
      <c r="I441" s="6">
        <v>44562</v>
      </c>
      <c r="J441" s="4">
        <v>0</v>
      </c>
      <c r="K441" s="4">
        <v>0</v>
      </c>
      <c r="L441" s="4">
        <v>-8.6609999999999996</v>
      </c>
      <c r="M441" s="4">
        <v>-8.6609999999999996</v>
      </c>
      <c r="N441" s="4">
        <v>-8.6609999999999996</v>
      </c>
      <c r="O441" s="4">
        <v>-8.6609999999999996</v>
      </c>
      <c r="P441" s="4">
        <v>0</v>
      </c>
      <c r="Q441" s="3" t="s">
        <v>26</v>
      </c>
      <c r="R441" s="3">
        <v>0</v>
      </c>
      <c r="S441" s="3" t="s">
        <v>231</v>
      </c>
      <c r="T441" s="3" t="s">
        <v>356</v>
      </c>
      <c r="U441" s="3">
        <v>0</v>
      </c>
      <c r="V441" s="3">
        <v>42</v>
      </c>
      <c r="W441" s="3">
        <v>63</v>
      </c>
    </row>
    <row r="442" spans="1:23" ht="11.25" customHeight="1" x14ac:dyDescent="0.25">
      <c r="A442" s="3" t="s">
        <v>28</v>
      </c>
      <c r="B442" s="3" t="s">
        <v>41</v>
      </c>
      <c r="C442" s="3" t="s">
        <v>23</v>
      </c>
      <c r="D442" s="3" t="s">
        <v>42</v>
      </c>
      <c r="E442" s="3" t="s">
        <v>25</v>
      </c>
      <c r="F442" s="3" t="s">
        <v>25</v>
      </c>
      <c r="G442" s="3" t="s">
        <v>25</v>
      </c>
      <c r="H442" s="3" t="s">
        <v>25</v>
      </c>
      <c r="I442" s="6">
        <v>44562</v>
      </c>
      <c r="J442" s="4">
        <v>0</v>
      </c>
      <c r="K442" s="4">
        <v>0</v>
      </c>
      <c r="L442" s="4">
        <v>67.525999999999996</v>
      </c>
      <c r="M442" s="4">
        <v>67.525999999999996</v>
      </c>
      <c r="N442" s="4">
        <v>67.525999999999996</v>
      </c>
      <c r="O442" s="4">
        <v>67.525999999999996</v>
      </c>
      <c r="P442" s="4">
        <v>149</v>
      </c>
      <c r="Q442" s="3" t="s">
        <v>26</v>
      </c>
      <c r="R442" s="3">
        <v>0</v>
      </c>
      <c r="S442" s="3" t="s">
        <v>231</v>
      </c>
      <c r="T442" s="3" t="s">
        <v>356</v>
      </c>
      <c r="U442" s="3">
        <v>0</v>
      </c>
      <c r="V442" s="3">
        <v>42</v>
      </c>
      <c r="W442" s="3">
        <v>63</v>
      </c>
    </row>
    <row r="443" spans="1:23" ht="11.25" customHeight="1" x14ac:dyDescent="0.25">
      <c r="A443" s="3" t="s">
        <v>21</v>
      </c>
      <c r="B443" s="3" t="s">
        <v>41</v>
      </c>
      <c r="C443" s="3" t="s">
        <v>23</v>
      </c>
      <c r="D443" s="3" t="s">
        <v>42</v>
      </c>
      <c r="E443" s="3" t="s">
        <v>25</v>
      </c>
      <c r="F443" s="3" t="s">
        <v>25</v>
      </c>
      <c r="G443" s="3" t="s">
        <v>25</v>
      </c>
      <c r="H443" s="3" t="s">
        <v>25</v>
      </c>
      <c r="I443" s="6">
        <v>44593</v>
      </c>
      <c r="J443" s="4">
        <v>0</v>
      </c>
      <c r="K443" s="4">
        <v>0</v>
      </c>
      <c r="L443" s="4">
        <v>1891.9839999999999</v>
      </c>
      <c r="M443" s="4">
        <v>1891.9839999999999</v>
      </c>
      <c r="N443" s="4">
        <v>1891.9839999999999</v>
      </c>
      <c r="O443" s="4">
        <v>1891.9839999999999</v>
      </c>
      <c r="P443" s="4">
        <v>4553</v>
      </c>
      <c r="Q443" s="3" t="s">
        <v>26</v>
      </c>
      <c r="R443" s="3">
        <v>0</v>
      </c>
      <c r="S443" s="3" t="s">
        <v>232</v>
      </c>
      <c r="T443" s="3" t="s">
        <v>357</v>
      </c>
      <c r="U443" s="3">
        <v>0</v>
      </c>
      <c r="V443" s="3">
        <v>42</v>
      </c>
      <c r="W443" s="3">
        <v>63</v>
      </c>
    </row>
    <row r="444" spans="1:23" ht="11.25" customHeight="1" x14ac:dyDescent="0.25">
      <c r="A444" s="3" t="s">
        <v>27</v>
      </c>
      <c r="B444" s="3" t="s">
        <v>41</v>
      </c>
      <c r="C444" s="3" t="s">
        <v>23</v>
      </c>
      <c r="D444" s="3" t="s">
        <v>42</v>
      </c>
      <c r="E444" s="3" t="s">
        <v>25</v>
      </c>
      <c r="F444" s="3" t="s">
        <v>25</v>
      </c>
      <c r="G444" s="3" t="s">
        <v>25</v>
      </c>
      <c r="H444" s="3" t="s">
        <v>25</v>
      </c>
      <c r="I444" s="6">
        <v>44593</v>
      </c>
      <c r="J444" s="4">
        <v>0</v>
      </c>
      <c r="K444" s="4">
        <v>0</v>
      </c>
      <c r="L444" s="4">
        <v>-3.4660000000000002</v>
      </c>
      <c r="M444" s="4">
        <v>-3.4660000000000002</v>
      </c>
      <c r="N444" s="4">
        <v>-3.4660000000000002</v>
      </c>
      <c r="O444" s="4">
        <v>-3.4660000000000002</v>
      </c>
      <c r="P444" s="4">
        <v>0</v>
      </c>
      <c r="Q444" s="3" t="s">
        <v>26</v>
      </c>
      <c r="R444" s="3">
        <v>0</v>
      </c>
      <c r="S444" s="3" t="s">
        <v>232</v>
      </c>
      <c r="T444" s="3" t="s">
        <v>357</v>
      </c>
      <c r="U444" s="3">
        <v>0</v>
      </c>
      <c r="V444" s="3">
        <v>42</v>
      </c>
      <c r="W444" s="3">
        <v>63</v>
      </c>
    </row>
    <row r="445" spans="1:23" ht="11.25" customHeight="1" x14ac:dyDescent="0.25">
      <c r="A445" s="3" t="s">
        <v>28</v>
      </c>
      <c r="B445" s="3" t="s">
        <v>41</v>
      </c>
      <c r="C445" s="3" t="s">
        <v>23</v>
      </c>
      <c r="D445" s="3" t="s">
        <v>42</v>
      </c>
      <c r="E445" s="3" t="s">
        <v>25</v>
      </c>
      <c r="F445" s="3" t="s">
        <v>25</v>
      </c>
      <c r="G445" s="3" t="s">
        <v>25</v>
      </c>
      <c r="H445" s="3" t="s">
        <v>25</v>
      </c>
      <c r="I445" s="6">
        <v>44593</v>
      </c>
      <c r="J445" s="4">
        <v>0</v>
      </c>
      <c r="K445" s="4">
        <v>0</v>
      </c>
      <c r="L445" s="4">
        <v>89.018000000000001</v>
      </c>
      <c r="M445" s="4">
        <v>89.018000000000001</v>
      </c>
      <c r="N445" s="4">
        <v>89.018000000000001</v>
      </c>
      <c r="O445" s="4">
        <v>89.018000000000001</v>
      </c>
      <c r="P445" s="4">
        <v>153</v>
      </c>
      <c r="Q445" s="3" t="s">
        <v>26</v>
      </c>
      <c r="R445" s="3">
        <v>0</v>
      </c>
      <c r="S445" s="3" t="s">
        <v>232</v>
      </c>
      <c r="T445" s="3" t="s">
        <v>357</v>
      </c>
      <c r="U445" s="3">
        <v>0</v>
      </c>
      <c r="V445" s="3">
        <v>42</v>
      </c>
      <c r="W445" s="3">
        <v>63</v>
      </c>
    </row>
    <row r="446" spans="1:23" ht="11.25" customHeight="1" x14ac:dyDescent="0.25">
      <c r="A446" s="3" t="s">
        <v>21</v>
      </c>
      <c r="B446" s="3" t="s">
        <v>41</v>
      </c>
      <c r="C446" s="3" t="s">
        <v>23</v>
      </c>
      <c r="D446" s="3" t="s">
        <v>42</v>
      </c>
      <c r="E446" s="3" t="s">
        <v>25</v>
      </c>
      <c r="F446" s="3" t="s">
        <v>25</v>
      </c>
      <c r="G446" s="3" t="s">
        <v>25</v>
      </c>
      <c r="H446" s="3" t="s">
        <v>25</v>
      </c>
      <c r="I446" s="6">
        <v>44621</v>
      </c>
      <c r="J446" s="4">
        <v>0</v>
      </c>
      <c r="K446" s="4">
        <v>0</v>
      </c>
      <c r="L446" s="4">
        <v>1770.356</v>
      </c>
      <c r="M446" s="4">
        <v>1770.356</v>
      </c>
      <c r="N446" s="4">
        <v>1770.356</v>
      </c>
      <c r="O446" s="4">
        <v>1770.356</v>
      </c>
      <c r="P446" s="4">
        <v>4545</v>
      </c>
      <c r="Q446" s="3" t="s">
        <v>26</v>
      </c>
      <c r="R446" s="3">
        <v>0</v>
      </c>
      <c r="S446" s="3" t="s">
        <v>233</v>
      </c>
      <c r="T446" s="3" t="s">
        <v>358</v>
      </c>
      <c r="U446" s="3">
        <v>0</v>
      </c>
      <c r="V446" s="3">
        <v>42</v>
      </c>
      <c r="W446" s="3">
        <v>63</v>
      </c>
    </row>
    <row r="447" spans="1:23" ht="11.25" customHeight="1" x14ac:dyDescent="0.25">
      <c r="A447" s="3" t="s">
        <v>27</v>
      </c>
      <c r="B447" s="3" t="s">
        <v>41</v>
      </c>
      <c r="C447" s="3" t="s">
        <v>23</v>
      </c>
      <c r="D447" s="3" t="s">
        <v>42</v>
      </c>
      <c r="E447" s="3" t="s">
        <v>25</v>
      </c>
      <c r="F447" s="3" t="s">
        <v>25</v>
      </c>
      <c r="G447" s="3" t="s">
        <v>25</v>
      </c>
      <c r="H447" s="3" t="s">
        <v>25</v>
      </c>
      <c r="I447" s="6">
        <v>44621</v>
      </c>
      <c r="J447" s="4">
        <v>0</v>
      </c>
      <c r="K447" s="4">
        <v>0</v>
      </c>
      <c r="L447" s="4">
        <v>-0.95899999999999996</v>
      </c>
      <c r="M447" s="4">
        <v>-0.95899999999999996</v>
      </c>
      <c r="N447" s="4">
        <v>-0.95899999999999996</v>
      </c>
      <c r="O447" s="4">
        <v>-0.95899999999999996</v>
      </c>
      <c r="P447" s="4">
        <v>0</v>
      </c>
      <c r="Q447" s="3" t="s">
        <v>26</v>
      </c>
      <c r="R447" s="3">
        <v>0</v>
      </c>
      <c r="S447" s="3" t="s">
        <v>233</v>
      </c>
      <c r="T447" s="3" t="s">
        <v>358</v>
      </c>
      <c r="U447" s="3">
        <v>0</v>
      </c>
      <c r="V447" s="3">
        <v>42</v>
      </c>
      <c r="W447" s="3">
        <v>63</v>
      </c>
    </row>
    <row r="448" spans="1:23" ht="11.25" customHeight="1" x14ac:dyDescent="0.25">
      <c r="A448" s="3" t="s">
        <v>28</v>
      </c>
      <c r="B448" s="3" t="s">
        <v>41</v>
      </c>
      <c r="C448" s="3" t="s">
        <v>23</v>
      </c>
      <c r="D448" s="3" t="s">
        <v>42</v>
      </c>
      <c r="E448" s="3" t="s">
        <v>25</v>
      </c>
      <c r="F448" s="3" t="s">
        <v>25</v>
      </c>
      <c r="G448" s="3" t="s">
        <v>25</v>
      </c>
      <c r="H448" s="3" t="s">
        <v>25</v>
      </c>
      <c r="I448" s="6">
        <v>44621</v>
      </c>
      <c r="J448" s="4">
        <v>0</v>
      </c>
      <c r="K448" s="4">
        <v>0</v>
      </c>
      <c r="L448" s="4">
        <v>123.34399999999999</v>
      </c>
      <c r="M448" s="4">
        <v>123.34399999999999</v>
      </c>
      <c r="N448" s="4">
        <v>123.34399999999999</v>
      </c>
      <c r="O448" s="4">
        <v>123.34399999999999</v>
      </c>
      <c r="P448" s="4">
        <v>154</v>
      </c>
      <c r="Q448" s="3" t="s">
        <v>26</v>
      </c>
      <c r="R448" s="3">
        <v>0</v>
      </c>
      <c r="S448" s="3" t="s">
        <v>233</v>
      </c>
      <c r="T448" s="3" t="s">
        <v>358</v>
      </c>
      <c r="U448" s="3">
        <v>0</v>
      </c>
      <c r="V448" s="3">
        <v>42</v>
      </c>
      <c r="W448" s="3">
        <v>63</v>
      </c>
    </row>
    <row r="449" spans="1:23" ht="11.25" customHeight="1" x14ac:dyDescent="0.25">
      <c r="A449" s="3" t="s">
        <v>21</v>
      </c>
      <c r="B449" s="3" t="s">
        <v>41</v>
      </c>
      <c r="C449" s="3" t="s">
        <v>23</v>
      </c>
      <c r="D449" s="3" t="s">
        <v>42</v>
      </c>
      <c r="E449" s="3" t="s">
        <v>25</v>
      </c>
      <c r="F449" s="3" t="s">
        <v>25</v>
      </c>
      <c r="G449" s="3" t="s">
        <v>25</v>
      </c>
      <c r="H449" s="3" t="s">
        <v>25</v>
      </c>
      <c r="I449" s="6">
        <v>44652</v>
      </c>
      <c r="J449" s="4">
        <v>0</v>
      </c>
      <c r="K449" s="4">
        <v>0</v>
      </c>
      <c r="L449" s="4">
        <v>1604.8910000000001</v>
      </c>
      <c r="M449" s="4">
        <v>1604.8910000000001</v>
      </c>
      <c r="N449" s="4">
        <v>1604.8910000000001</v>
      </c>
      <c r="O449" s="4">
        <v>1604.8910000000001</v>
      </c>
      <c r="P449" s="4">
        <v>4522</v>
      </c>
      <c r="Q449" s="3" t="s">
        <v>26</v>
      </c>
      <c r="R449" s="3">
        <v>0</v>
      </c>
      <c r="S449" s="3" t="s">
        <v>234</v>
      </c>
      <c r="T449" s="3" t="s">
        <v>359</v>
      </c>
      <c r="U449" s="3">
        <v>0</v>
      </c>
      <c r="V449" s="3">
        <v>42</v>
      </c>
      <c r="W449" s="3">
        <v>63</v>
      </c>
    </row>
    <row r="450" spans="1:23" ht="11.25" customHeight="1" x14ac:dyDescent="0.25">
      <c r="A450" s="3" t="s">
        <v>27</v>
      </c>
      <c r="B450" s="3" t="s">
        <v>41</v>
      </c>
      <c r="C450" s="3" t="s">
        <v>23</v>
      </c>
      <c r="D450" s="3" t="s">
        <v>42</v>
      </c>
      <c r="E450" s="3" t="s">
        <v>25</v>
      </c>
      <c r="F450" s="3" t="s">
        <v>25</v>
      </c>
      <c r="G450" s="3" t="s">
        <v>25</v>
      </c>
      <c r="H450" s="3" t="s">
        <v>25</v>
      </c>
      <c r="I450" s="6">
        <v>44652</v>
      </c>
      <c r="J450" s="4">
        <v>0</v>
      </c>
      <c r="K450" s="4">
        <v>0</v>
      </c>
      <c r="L450" s="4">
        <v>-0.76500000000000001</v>
      </c>
      <c r="M450" s="4">
        <v>-0.76500000000000001</v>
      </c>
      <c r="N450" s="4">
        <v>-0.76500000000000001</v>
      </c>
      <c r="O450" s="4">
        <v>-0.76500000000000001</v>
      </c>
      <c r="P450" s="4">
        <v>0</v>
      </c>
      <c r="Q450" s="3" t="s">
        <v>26</v>
      </c>
      <c r="R450" s="3">
        <v>0</v>
      </c>
      <c r="S450" s="3" t="s">
        <v>234</v>
      </c>
      <c r="T450" s="3" t="s">
        <v>359</v>
      </c>
      <c r="U450" s="3">
        <v>0</v>
      </c>
      <c r="V450" s="3">
        <v>42</v>
      </c>
      <c r="W450" s="3">
        <v>63</v>
      </c>
    </row>
    <row r="451" spans="1:23" ht="11.25" customHeight="1" x14ac:dyDescent="0.25">
      <c r="A451" s="3" t="s">
        <v>28</v>
      </c>
      <c r="B451" s="3" t="s">
        <v>41</v>
      </c>
      <c r="C451" s="3" t="s">
        <v>23</v>
      </c>
      <c r="D451" s="3" t="s">
        <v>42</v>
      </c>
      <c r="E451" s="3" t="s">
        <v>25</v>
      </c>
      <c r="F451" s="3" t="s">
        <v>25</v>
      </c>
      <c r="G451" s="3" t="s">
        <v>25</v>
      </c>
      <c r="H451" s="3" t="s">
        <v>25</v>
      </c>
      <c r="I451" s="6">
        <v>44652</v>
      </c>
      <c r="J451" s="4">
        <v>0</v>
      </c>
      <c r="K451" s="4">
        <v>0</v>
      </c>
      <c r="L451" s="4">
        <v>96.867999999999995</v>
      </c>
      <c r="M451" s="4">
        <v>96.867999999999995</v>
      </c>
      <c r="N451" s="4">
        <v>96.867999999999995</v>
      </c>
      <c r="O451" s="4">
        <v>96.867999999999995</v>
      </c>
      <c r="P451" s="4">
        <v>162</v>
      </c>
      <c r="Q451" s="3" t="s">
        <v>26</v>
      </c>
      <c r="R451" s="3">
        <v>0</v>
      </c>
      <c r="S451" s="3" t="s">
        <v>234</v>
      </c>
      <c r="T451" s="3" t="s">
        <v>359</v>
      </c>
      <c r="U451" s="3">
        <v>0</v>
      </c>
      <c r="V451" s="3">
        <v>42</v>
      </c>
      <c r="W451" s="3">
        <v>63</v>
      </c>
    </row>
    <row r="452" spans="1:23" ht="11.25" customHeight="1" x14ac:dyDescent="0.25">
      <c r="A452" s="3" t="s">
        <v>21</v>
      </c>
      <c r="B452" s="3" t="s">
        <v>41</v>
      </c>
      <c r="C452" s="3" t="s">
        <v>23</v>
      </c>
      <c r="D452" s="3" t="s">
        <v>42</v>
      </c>
      <c r="E452" s="3" t="s">
        <v>25</v>
      </c>
      <c r="F452" s="3" t="s">
        <v>25</v>
      </c>
      <c r="G452" s="3" t="s">
        <v>25</v>
      </c>
      <c r="H452" s="3" t="s">
        <v>25</v>
      </c>
      <c r="I452" s="6">
        <v>44682</v>
      </c>
      <c r="J452" s="4">
        <v>0</v>
      </c>
      <c r="K452" s="4">
        <v>0</v>
      </c>
      <c r="L452" s="4">
        <v>1492.9159999999999</v>
      </c>
      <c r="M452" s="4">
        <v>1492.9159999999999</v>
      </c>
      <c r="N452" s="4">
        <v>1492.9159999999999</v>
      </c>
      <c r="O452" s="4">
        <v>1492.9159999999999</v>
      </c>
      <c r="P452" s="4">
        <v>4516</v>
      </c>
      <c r="Q452" s="3" t="s">
        <v>26</v>
      </c>
      <c r="R452" s="3">
        <v>0</v>
      </c>
      <c r="S452" s="3" t="s">
        <v>235</v>
      </c>
      <c r="T452" s="3" t="s">
        <v>360</v>
      </c>
      <c r="U452" s="3">
        <v>0</v>
      </c>
      <c r="V452" s="3">
        <v>42</v>
      </c>
      <c r="W452" s="3">
        <v>63</v>
      </c>
    </row>
    <row r="453" spans="1:23" ht="11.25" customHeight="1" x14ac:dyDescent="0.25">
      <c r="A453" s="3" t="s">
        <v>27</v>
      </c>
      <c r="B453" s="3" t="s">
        <v>41</v>
      </c>
      <c r="C453" s="3" t="s">
        <v>23</v>
      </c>
      <c r="D453" s="3" t="s">
        <v>42</v>
      </c>
      <c r="E453" s="3" t="s">
        <v>25</v>
      </c>
      <c r="F453" s="3" t="s">
        <v>25</v>
      </c>
      <c r="G453" s="3" t="s">
        <v>25</v>
      </c>
      <c r="H453" s="3" t="s">
        <v>25</v>
      </c>
      <c r="I453" s="6">
        <v>44682</v>
      </c>
      <c r="J453" s="4">
        <v>0</v>
      </c>
      <c r="K453" s="4">
        <v>0</v>
      </c>
      <c r="L453" s="4">
        <v>-6.3559999999999999</v>
      </c>
      <c r="M453" s="4">
        <v>-6.3559999999999999</v>
      </c>
      <c r="N453" s="4">
        <v>-6.3559999999999999</v>
      </c>
      <c r="O453" s="4">
        <v>-6.3559999999999999</v>
      </c>
      <c r="P453" s="4">
        <v>0</v>
      </c>
      <c r="Q453" s="3" t="s">
        <v>26</v>
      </c>
      <c r="R453" s="3">
        <v>0</v>
      </c>
      <c r="S453" s="3" t="s">
        <v>235</v>
      </c>
      <c r="T453" s="3" t="s">
        <v>360</v>
      </c>
      <c r="U453" s="3">
        <v>0</v>
      </c>
      <c r="V453" s="3">
        <v>42</v>
      </c>
      <c r="W453" s="3">
        <v>63</v>
      </c>
    </row>
    <row r="454" spans="1:23" ht="11.25" customHeight="1" x14ac:dyDescent="0.25">
      <c r="A454" s="3" t="s">
        <v>28</v>
      </c>
      <c r="B454" s="3" t="s">
        <v>41</v>
      </c>
      <c r="C454" s="3" t="s">
        <v>23</v>
      </c>
      <c r="D454" s="3" t="s">
        <v>42</v>
      </c>
      <c r="E454" s="3" t="s">
        <v>25</v>
      </c>
      <c r="F454" s="3" t="s">
        <v>25</v>
      </c>
      <c r="G454" s="3" t="s">
        <v>25</v>
      </c>
      <c r="H454" s="3" t="s">
        <v>25</v>
      </c>
      <c r="I454" s="6">
        <v>44682</v>
      </c>
      <c r="J454" s="4">
        <v>0</v>
      </c>
      <c r="K454" s="4">
        <v>0</v>
      </c>
      <c r="L454" s="4">
        <v>165.44300000000001</v>
      </c>
      <c r="M454" s="4">
        <v>165.44300000000001</v>
      </c>
      <c r="N454" s="4">
        <v>165.44300000000001</v>
      </c>
      <c r="O454" s="4">
        <v>165.44300000000001</v>
      </c>
      <c r="P454" s="4">
        <v>162</v>
      </c>
      <c r="Q454" s="3" t="s">
        <v>26</v>
      </c>
      <c r="R454" s="3">
        <v>0</v>
      </c>
      <c r="S454" s="3" t="s">
        <v>235</v>
      </c>
      <c r="T454" s="3" t="s">
        <v>360</v>
      </c>
      <c r="U454" s="3">
        <v>0</v>
      </c>
      <c r="V454" s="3">
        <v>42</v>
      </c>
      <c r="W454" s="3">
        <v>63</v>
      </c>
    </row>
    <row r="455" spans="1:23" ht="11.25" customHeight="1" x14ac:dyDescent="0.25">
      <c r="A455" s="3" t="s">
        <v>21</v>
      </c>
      <c r="B455" s="3" t="s">
        <v>41</v>
      </c>
      <c r="C455" s="3" t="s">
        <v>23</v>
      </c>
      <c r="D455" s="3" t="s">
        <v>42</v>
      </c>
      <c r="E455" s="3" t="s">
        <v>25</v>
      </c>
      <c r="F455" s="3" t="s">
        <v>25</v>
      </c>
      <c r="G455" s="3" t="s">
        <v>25</v>
      </c>
      <c r="H455" s="3" t="s">
        <v>25</v>
      </c>
      <c r="I455" s="6">
        <v>44713</v>
      </c>
      <c r="J455" s="4">
        <v>0</v>
      </c>
      <c r="K455" s="4">
        <v>0</v>
      </c>
      <c r="L455" s="4">
        <v>1487.491</v>
      </c>
      <c r="M455" s="4">
        <v>1487.491</v>
      </c>
      <c r="N455" s="4">
        <v>1487.491</v>
      </c>
      <c r="O455" s="4">
        <v>1487.491</v>
      </c>
      <c r="P455" s="4">
        <v>4523</v>
      </c>
      <c r="Q455" s="3" t="s">
        <v>26</v>
      </c>
      <c r="R455" s="3">
        <v>0</v>
      </c>
      <c r="S455" s="3" t="s">
        <v>236</v>
      </c>
      <c r="T455" s="3" t="s">
        <v>361</v>
      </c>
      <c r="U455" s="3">
        <v>0</v>
      </c>
      <c r="V455" s="3">
        <v>42</v>
      </c>
      <c r="W455" s="3">
        <v>63</v>
      </c>
    </row>
    <row r="456" spans="1:23" ht="11.25" customHeight="1" x14ac:dyDescent="0.25">
      <c r="A456" s="3" t="s">
        <v>27</v>
      </c>
      <c r="B456" s="3" t="s">
        <v>41</v>
      </c>
      <c r="C456" s="3" t="s">
        <v>23</v>
      </c>
      <c r="D456" s="3" t="s">
        <v>42</v>
      </c>
      <c r="E456" s="3" t="s">
        <v>25</v>
      </c>
      <c r="F456" s="3" t="s">
        <v>25</v>
      </c>
      <c r="G456" s="3" t="s">
        <v>25</v>
      </c>
      <c r="H456" s="3" t="s">
        <v>25</v>
      </c>
      <c r="I456" s="6">
        <v>44713</v>
      </c>
      <c r="J456" s="4">
        <v>0</v>
      </c>
      <c r="K456" s="4">
        <v>0</v>
      </c>
      <c r="L456" s="4">
        <v>-0.40400000000000003</v>
      </c>
      <c r="M456" s="4">
        <v>-0.40400000000000003</v>
      </c>
      <c r="N456" s="4">
        <v>-0.40400000000000003</v>
      </c>
      <c r="O456" s="4">
        <v>-0.40400000000000003</v>
      </c>
      <c r="P456" s="4">
        <v>0</v>
      </c>
      <c r="Q456" s="3" t="s">
        <v>26</v>
      </c>
      <c r="R456" s="3">
        <v>0</v>
      </c>
      <c r="S456" s="3" t="s">
        <v>236</v>
      </c>
      <c r="T456" s="3" t="s">
        <v>361</v>
      </c>
      <c r="U456" s="3">
        <v>0</v>
      </c>
      <c r="V456" s="3">
        <v>42</v>
      </c>
      <c r="W456" s="3">
        <v>63</v>
      </c>
    </row>
    <row r="457" spans="1:23" ht="11.25" customHeight="1" x14ac:dyDescent="0.25">
      <c r="A457" s="3" t="s">
        <v>28</v>
      </c>
      <c r="B457" s="3" t="s">
        <v>41</v>
      </c>
      <c r="C457" s="3" t="s">
        <v>23</v>
      </c>
      <c r="D457" s="3" t="s">
        <v>42</v>
      </c>
      <c r="E457" s="3" t="s">
        <v>25</v>
      </c>
      <c r="F457" s="3" t="s">
        <v>25</v>
      </c>
      <c r="G457" s="3" t="s">
        <v>25</v>
      </c>
      <c r="H457" s="3" t="s">
        <v>25</v>
      </c>
      <c r="I457" s="6">
        <v>44713</v>
      </c>
      <c r="J457" s="4">
        <v>0</v>
      </c>
      <c r="K457" s="4">
        <v>0</v>
      </c>
      <c r="L457" s="4">
        <v>217.73599999999999</v>
      </c>
      <c r="M457" s="4">
        <v>217.73599999999999</v>
      </c>
      <c r="N457" s="4">
        <v>217.73599999999999</v>
      </c>
      <c r="O457" s="4">
        <v>217.73599999999999</v>
      </c>
      <c r="P457" s="4">
        <v>160</v>
      </c>
      <c r="Q457" s="3" t="s">
        <v>26</v>
      </c>
      <c r="R457" s="3">
        <v>0</v>
      </c>
      <c r="S457" s="3" t="s">
        <v>236</v>
      </c>
      <c r="T457" s="3" t="s">
        <v>361</v>
      </c>
      <c r="U457" s="3">
        <v>0</v>
      </c>
      <c r="V457" s="3">
        <v>42</v>
      </c>
      <c r="W457" s="3">
        <v>63</v>
      </c>
    </row>
    <row r="458" spans="1:23" ht="11.25" customHeight="1" x14ac:dyDescent="0.25">
      <c r="A458" s="3" t="s">
        <v>21</v>
      </c>
      <c r="B458" s="3" t="s">
        <v>33</v>
      </c>
      <c r="C458" s="3" t="s">
        <v>23</v>
      </c>
      <c r="D458" s="3" t="s">
        <v>40</v>
      </c>
      <c r="E458" s="3" t="s">
        <v>25</v>
      </c>
      <c r="F458" s="3" t="s">
        <v>25</v>
      </c>
      <c r="G458" s="3" t="s">
        <v>25</v>
      </c>
      <c r="H458" s="3" t="s">
        <v>25</v>
      </c>
      <c r="I458" s="6">
        <v>44378</v>
      </c>
      <c r="J458" s="4">
        <v>0</v>
      </c>
      <c r="K458" s="4">
        <v>0</v>
      </c>
      <c r="L458" s="4">
        <v>117.46</v>
      </c>
      <c r="M458" s="4">
        <v>117.46</v>
      </c>
      <c r="N458" s="4">
        <v>117.46</v>
      </c>
      <c r="O458" s="4">
        <v>117.46</v>
      </c>
      <c r="P458" s="4">
        <v>358</v>
      </c>
      <c r="Q458" s="3" t="s">
        <v>26</v>
      </c>
      <c r="R458" s="3">
        <v>0</v>
      </c>
      <c r="S458" s="3" t="s">
        <v>237</v>
      </c>
      <c r="T458" s="3" t="s">
        <v>362</v>
      </c>
      <c r="U458" s="3">
        <v>0</v>
      </c>
      <c r="V458" s="3">
        <v>35</v>
      </c>
      <c r="W458" s="3">
        <v>83</v>
      </c>
    </row>
    <row r="459" spans="1:23" ht="11.25" customHeight="1" x14ac:dyDescent="0.25">
      <c r="A459" s="3" t="s">
        <v>28</v>
      </c>
      <c r="B459" s="3" t="s">
        <v>33</v>
      </c>
      <c r="C459" s="3" t="s">
        <v>23</v>
      </c>
      <c r="D459" s="3" t="s">
        <v>40</v>
      </c>
      <c r="E459" s="3" t="s">
        <v>25</v>
      </c>
      <c r="F459" s="3" t="s">
        <v>25</v>
      </c>
      <c r="G459" s="3" t="s">
        <v>25</v>
      </c>
      <c r="H459" s="3" t="s">
        <v>25</v>
      </c>
      <c r="I459" s="6">
        <v>44378</v>
      </c>
      <c r="J459" s="4">
        <v>0</v>
      </c>
      <c r="K459" s="4">
        <v>0</v>
      </c>
      <c r="L459" s="4">
        <v>12.364000000000001</v>
      </c>
      <c r="M459" s="4">
        <v>12.364000000000001</v>
      </c>
      <c r="N459" s="4">
        <v>12.364000000000001</v>
      </c>
      <c r="O459" s="4">
        <v>12.364000000000001</v>
      </c>
      <c r="P459" s="4">
        <v>21</v>
      </c>
      <c r="Q459" s="3" t="s">
        <v>26</v>
      </c>
      <c r="R459" s="3">
        <v>0</v>
      </c>
      <c r="S459" s="3" t="s">
        <v>237</v>
      </c>
      <c r="T459" s="3" t="s">
        <v>362</v>
      </c>
      <c r="U459" s="3">
        <v>0</v>
      </c>
      <c r="V459" s="3">
        <v>35</v>
      </c>
      <c r="W459" s="3">
        <v>83</v>
      </c>
    </row>
    <row r="460" spans="1:23" ht="11.25" customHeight="1" x14ac:dyDescent="0.25">
      <c r="A460" s="3" t="s">
        <v>21</v>
      </c>
      <c r="B460" s="3" t="s">
        <v>33</v>
      </c>
      <c r="C460" s="3" t="s">
        <v>23</v>
      </c>
      <c r="D460" s="3" t="s">
        <v>40</v>
      </c>
      <c r="E460" s="3" t="s">
        <v>25</v>
      </c>
      <c r="F460" s="3" t="s">
        <v>25</v>
      </c>
      <c r="G460" s="3" t="s">
        <v>25</v>
      </c>
      <c r="H460" s="3" t="s">
        <v>25</v>
      </c>
      <c r="I460" s="6">
        <v>44409</v>
      </c>
      <c r="J460" s="4">
        <v>0</v>
      </c>
      <c r="K460" s="4">
        <v>0</v>
      </c>
      <c r="L460" s="4">
        <v>119.937</v>
      </c>
      <c r="M460" s="4">
        <v>119.937</v>
      </c>
      <c r="N460" s="4">
        <v>119.937</v>
      </c>
      <c r="O460" s="4">
        <v>119.937</v>
      </c>
      <c r="P460" s="4">
        <v>359</v>
      </c>
      <c r="Q460" s="3" t="s">
        <v>26</v>
      </c>
      <c r="R460" s="3">
        <v>0</v>
      </c>
      <c r="S460" s="3" t="s">
        <v>238</v>
      </c>
      <c r="T460" s="3" t="s">
        <v>363</v>
      </c>
      <c r="U460" s="3">
        <v>0</v>
      </c>
      <c r="V460" s="3">
        <v>35</v>
      </c>
      <c r="W460" s="3">
        <v>83</v>
      </c>
    </row>
    <row r="461" spans="1:23" ht="11.25" customHeight="1" x14ac:dyDescent="0.25">
      <c r="A461" s="3" t="s">
        <v>21</v>
      </c>
      <c r="B461" s="3" t="s">
        <v>33</v>
      </c>
      <c r="C461" s="3" t="s">
        <v>23</v>
      </c>
      <c r="D461" s="3" t="s">
        <v>40</v>
      </c>
      <c r="E461" s="3" t="s">
        <v>25</v>
      </c>
      <c r="F461" s="3" t="s">
        <v>25</v>
      </c>
      <c r="G461" s="3" t="s">
        <v>25</v>
      </c>
      <c r="H461" s="3" t="s">
        <v>25</v>
      </c>
      <c r="I461" s="6">
        <v>44440</v>
      </c>
      <c r="J461" s="4">
        <v>0</v>
      </c>
      <c r="K461" s="4">
        <v>0</v>
      </c>
      <c r="L461" s="4">
        <v>116.396</v>
      </c>
      <c r="M461" s="4">
        <v>116.396</v>
      </c>
      <c r="N461" s="4">
        <v>116.396</v>
      </c>
      <c r="O461" s="4">
        <v>116.396</v>
      </c>
      <c r="P461" s="4">
        <v>360</v>
      </c>
      <c r="Q461" s="3" t="s">
        <v>26</v>
      </c>
      <c r="R461" s="3">
        <v>0</v>
      </c>
      <c r="S461" s="3" t="s">
        <v>239</v>
      </c>
      <c r="T461" s="3" t="s">
        <v>364</v>
      </c>
      <c r="U461" s="3">
        <v>0</v>
      </c>
      <c r="V461" s="3">
        <v>35</v>
      </c>
      <c r="W461" s="3">
        <v>83</v>
      </c>
    </row>
    <row r="462" spans="1:23" ht="11.25" customHeight="1" x14ac:dyDescent="0.25">
      <c r="A462" s="3" t="s">
        <v>28</v>
      </c>
      <c r="B462" s="3" t="s">
        <v>33</v>
      </c>
      <c r="C462" s="3" t="s">
        <v>23</v>
      </c>
      <c r="D462" s="3" t="s">
        <v>40</v>
      </c>
      <c r="E462" s="3" t="s">
        <v>25</v>
      </c>
      <c r="F462" s="3" t="s">
        <v>25</v>
      </c>
      <c r="G462" s="3" t="s">
        <v>25</v>
      </c>
      <c r="H462" s="3" t="s">
        <v>25</v>
      </c>
      <c r="I462" s="6">
        <v>44440</v>
      </c>
      <c r="J462" s="4">
        <v>0</v>
      </c>
      <c r="K462" s="4">
        <v>0</v>
      </c>
      <c r="L462" s="4">
        <v>12.316000000000001</v>
      </c>
      <c r="M462" s="4">
        <v>12.316000000000001</v>
      </c>
      <c r="N462" s="4">
        <v>12.316000000000001</v>
      </c>
      <c r="O462" s="4">
        <v>12.316000000000001</v>
      </c>
      <c r="P462" s="4">
        <v>20</v>
      </c>
      <c r="Q462" s="3" t="s">
        <v>26</v>
      </c>
      <c r="R462" s="3">
        <v>0</v>
      </c>
      <c r="S462" s="3" t="s">
        <v>239</v>
      </c>
      <c r="T462" s="3" t="s">
        <v>364</v>
      </c>
      <c r="U462" s="3">
        <v>0</v>
      </c>
      <c r="V462" s="3">
        <v>35</v>
      </c>
      <c r="W462" s="3">
        <v>83</v>
      </c>
    </row>
    <row r="463" spans="1:23" ht="11.25" customHeight="1" x14ac:dyDescent="0.25">
      <c r="A463" s="3" t="s">
        <v>21</v>
      </c>
      <c r="B463" s="3" t="s">
        <v>33</v>
      </c>
      <c r="C463" s="3" t="s">
        <v>23</v>
      </c>
      <c r="D463" s="3" t="s">
        <v>40</v>
      </c>
      <c r="E463" s="3" t="s">
        <v>25</v>
      </c>
      <c r="F463" s="3" t="s">
        <v>25</v>
      </c>
      <c r="G463" s="3" t="s">
        <v>25</v>
      </c>
      <c r="H463" s="3" t="s">
        <v>25</v>
      </c>
      <c r="I463" s="6">
        <v>44470</v>
      </c>
      <c r="J463" s="4">
        <v>0</v>
      </c>
      <c r="K463" s="4">
        <v>0</v>
      </c>
      <c r="L463" s="4">
        <v>120.08799999999999</v>
      </c>
      <c r="M463" s="4">
        <v>120.08799999999999</v>
      </c>
      <c r="N463" s="4">
        <v>120.08799999999999</v>
      </c>
      <c r="O463" s="4">
        <v>120.08799999999999</v>
      </c>
      <c r="P463" s="4">
        <v>358</v>
      </c>
      <c r="Q463" s="3" t="s">
        <v>26</v>
      </c>
      <c r="R463" s="3">
        <v>0</v>
      </c>
      <c r="S463" s="3" t="s">
        <v>240</v>
      </c>
      <c r="T463" s="3" t="s">
        <v>365</v>
      </c>
      <c r="U463" s="3">
        <v>0</v>
      </c>
      <c r="V463" s="3">
        <v>35</v>
      </c>
      <c r="W463" s="3">
        <v>83</v>
      </c>
    </row>
    <row r="464" spans="1:23" ht="11.25" customHeight="1" x14ac:dyDescent="0.25">
      <c r="A464" s="3" t="s">
        <v>27</v>
      </c>
      <c r="B464" s="3" t="s">
        <v>33</v>
      </c>
      <c r="C464" s="3" t="s">
        <v>23</v>
      </c>
      <c r="D464" s="3" t="s">
        <v>40</v>
      </c>
      <c r="E464" s="3" t="s">
        <v>25</v>
      </c>
      <c r="F464" s="3" t="s">
        <v>25</v>
      </c>
      <c r="G464" s="3" t="s">
        <v>25</v>
      </c>
      <c r="H464" s="3" t="s">
        <v>25</v>
      </c>
      <c r="I464" s="6">
        <v>44470</v>
      </c>
      <c r="J464" s="4">
        <v>0</v>
      </c>
      <c r="K464" s="4">
        <v>0</v>
      </c>
      <c r="L464" s="4">
        <v>-0.26100000000000001</v>
      </c>
      <c r="M464" s="4">
        <v>-0.26100000000000001</v>
      </c>
      <c r="N464" s="4">
        <v>-0.26100000000000001</v>
      </c>
      <c r="O464" s="4">
        <v>-0.26100000000000001</v>
      </c>
      <c r="P464" s="4">
        <v>0</v>
      </c>
      <c r="Q464" s="3" t="s">
        <v>26</v>
      </c>
      <c r="R464" s="3">
        <v>0</v>
      </c>
      <c r="S464" s="3" t="s">
        <v>240</v>
      </c>
      <c r="T464" s="3" t="s">
        <v>365</v>
      </c>
      <c r="U464" s="3">
        <v>0</v>
      </c>
      <c r="V464" s="3">
        <v>35</v>
      </c>
      <c r="W464" s="3">
        <v>83</v>
      </c>
    </row>
    <row r="465" spans="1:23" ht="11.25" customHeight="1" x14ac:dyDescent="0.25">
      <c r="A465" s="3" t="s">
        <v>28</v>
      </c>
      <c r="B465" s="3" t="s">
        <v>33</v>
      </c>
      <c r="C465" s="3" t="s">
        <v>23</v>
      </c>
      <c r="D465" s="3" t="s">
        <v>40</v>
      </c>
      <c r="E465" s="3" t="s">
        <v>25</v>
      </c>
      <c r="F465" s="3" t="s">
        <v>25</v>
      </c>
      <c r="G465" s="3" t="s">
        <v>25</v>
      </c>
      <c r="H465" s="3" t="s">
        <v>25</v>
      </c>
      <c r="I465" s="6">
        <v>44470</v>
      </c>
      <c r="J465" s="4">
        <v>0</v>
      </c>
      <c r="K465" s="4">
        <v>0</v>
      </c>
      <c r="L465" s="4">
        <v>7.5629999999999997</v>
      </c>
      <c r="M465" s="4">
        <v>7.5629999999999997</v>
      </c>
      <c r="N465" s="4">
        <v>7.5629999999999997</v>
      </c>
      <c r="O465" s="4">
        <v>7.5629999999999997</v>
      </c>
      <c r="P465" s="4">
        <v>22</v>
      </c>
      <c r="Q465" s="3" t="s">
        <v>26</v>
      </c>
      <c r="R465" s="3">
        <v>0</v>
      </c>
      <c r="S465" s="3" t="s">
        <v>240</v>
      </c>
      <c r="T465" s="3" t="s">
        <v>365</v>
      </c>
      <c r="U465" s="3">
        <v>0</v>
      </c>
      <c r="V465" s="3">
        <v>35</v>
      </c>
      <c r="W465" s="3">
        <v>83</v>
      </c>
    </row>
    <row r="466" spans="1:23" ht="11.25" customHeight="1" x14ac:dyDescent="0.25">
      <c r="A466" s="3" t="s">
        <v>28</v>
      </c>
      <c r="B466" s="3" t="s">
        <v>33</v>
      </c>
      <c r="C466" s="3" t="s">
        <v>23</v>
      </c>
      <c r="D466" s="3" t="s">
        <v>40</v>
      </c>
      <c r="E466" s="3" t="s">
        <v>25</v>
      </c>
      <c r="F466" s="3" t="s">
        <v>25</v>
      </c>
      <c r="G466" s="3" t="s">
        <v>25</v>
      </c>
      <c r="H466" s="3" t="s">
        <v>25</v>
      </c>
      <c r="I466" s="6">
        <v>44470</v>
      </c>
      <c r="J466" s="4">
        <v>0</v>
      </c>
      <c r="K466" s="4">
        <v>0</v>
      </c>
      <c r="L466" s="4">
        <v>-2.0859999999999999</v>
      </c>
      <c r="M466" s="4">
        <v>-2.0859999999999999</v>
      </c>
      <c r="N466" s="4">
        <v>-2.0859999999999999</v>
      </c>
      <c r="O466" s="4">
        <v>-2.0859999999999999</v>
      </c>
      <c r="P466" s="4">
        <v>2</v>
      </c>
      <c r="Q466" s="3" t="s">
        <v>26</v>
      </c>
      <c r="R466" s="3">
        <v>0</v>
      </c>
      <c r="S466" s="3" t="s">
        <v>240</v>
      </c>
      <c r="T466" s="3" t="s">
        <v>365</v>
      </c>
      <c r="U466" s="3">
        <v>0</v>
      </c>
      <c r="V466" s="3">
        <v>35</v>
      </c>
      <c r="W466" s="3">
        <v>83</v>
      </c>
    </row>
    <row r="467" spans="1:23" ht="11.25" customHeight="1" x14ac:dyDescent="0.25">
      <c r="A467" s="3" t="s">
        <v>21</v>
      </c>
      <c r="B467" s="3" t="s">
        <v>33</v>
      </c>
      <c r="C467" s="3" t="s">
        <v>23</v>
      </c>
      <c r="D467" s="3" t="s">
        <v>40</v>
      </c>
      <c r="E467" s="3" t="s">
        <v>25</v>
      </c>
      <c r="F467" s="3" t="s">
        <v>25</v>
      </c>
      <c r="G467" s="3" t="s">
        <v>25</v>
      </c>
      <c r="H467" s="3" t="s">
        <v>25</v>
      </c>
      <c r="I467" s="6">
        <v>44501</v>
      </c>
      <c r="J467" s="4">
        <v>0</v>
      </c>
      <c r="K467" s="4">
        <v>0</v>
      </c>
      <c r="L467" s="4">
        <v>131.22300000000001</v>
      </c>
      <c r="M467" s="4">
        <v>131.22300000000001</v>
      </c>
      <c r="N467" s="4">
        <v>131.22300000000001</v>
      </c>
      <c r="O467" s="4">
        <v>131.22300000000001</v>
      </c>
      <c r="P467" s="4">
        <v>360</v>
      </c>
      <c r="Q467" s="3" t="s">
        <v>26</v>
      </c>
      <c r="R467" s="3">
        <v>0</v>
      </c>
      <c r="S467" s="3" t="s">
        <v>241</v>
      </c>
      <c r="T467" s="3" t="s">
        <v>366</v>
      </c>
      <c r="U467" s="3">
        <v>0</v>
      </c>
      <c r="V467" s="3">
        <v>35</v>
      </c>
      <c r="W467" s="3">
        <v>83</v>
      </c>
    </row>
    <row r="468" spans="1:23" ht="11.25" customHeight="1" x14ac:dyDescent="0.25">
      <c r="A468" s="3" t="s">
        <v>28</v>
      </c>
      <c r="B468" s="3" t="s">
        <v>33</v>
      </c>
      <c r="C468" s="3" t="s">
        <v>23</v>
      </c>
      <c r="D468" s="3" t="s">
        <v>40</v>
      </c>
      <c r="E468" s="3" t="s">
        <v>25</v>
      </c>
      <c r="F468" s="3" t="s">
        <v>25</v>
      </c>
      <c r="G468" s="3" t="s">
        <v>25</v>
      </c>
      <c r="H468" s="3" t="s">
        <v>25</v>
      </c>
      <c r="I468" s="6">
        <v>44501</v>
      </c>
      <c r="J468" s="4">
        <v>0</v>
      </c>
      <c r="K468" s="4">
        <v>0</v>
      </c>
      <c r="L468" s="4">
        <v>2.5419999999999998</v>
      </c>
      <c r="M468" s="4">
        <v>2.5419999999999998</v>
      </c>
      <c r="N468" s="4">
        <v>2.5419999999999998</v>
      </c>
      <c r="O468" s="4">
        <v>2.5419999999999998</v>
      </c>
      <c r="P468" s="4">
        <v>23</v>
      </c>
      <c r="Q468" s="3" t="s">
        <v>26</v>
      </c>
      <c r="R468" s="3">
        <v>0</v>
      </c>
      <c r="S468" s="3" t="s">
        <v>241</v>
      </c>
      <c r="T468" s="3" t="s">
        <v>366</v>
      </c>
      <c r="U468" s="3">
        <v>0</v>
      </c>
      <c r="V468" s="3">
        <v>35</v>
      </c>
      <c r="W468" s="3">
        <v>83</v>
      </c>
    </row>
    <row r="469" spans="1:23" ht="11.25" customHeight="1" x14ac:dyDescent="0.25">
      <c r="A469" s="3" t="s">
        <v>21</v>
      </c>
      <c r="B469" s="3" t="s">
        <v>33</v>
      </c>
      <c r="C469" s="3" t="s">
        <v>23</v>
      </c>
      <c r="D469" s="3" t="s">
        <v>40</v>
      </c>
      <c r="E469" s="3" t="s">
        <v>25</v>
      </c>
      <c r="F469" s="3" t="s">
        <v>25</v>
      </c>
      <c r="G469" s="3" t="s">
        <v>25</v>
      </c>
      <c r="H469" s="3" t="s">
        <v>25</v>
      </c>
      <c r="I469" s="6">
        <v>44531</v>
      </c>
      <c r="J469" s="4">
        <v>0</v>
      </c>
      <c r="K469" s="4">
        <v>0</v>
      </c>
      <c r="L469" s="4">
        <v>169.584</v>
      </c>
      <c r="M469" s="4">
        <v>169.584</v>
      </c>
      <c r="N469" s="4">
        <v>169.584</v>
      </c>
      <c r="O469" s="4">
        <v>169.584</v>
      </c>
      <c r="P469" s="4">
        <v>361</v>
      </c>
      <c r="Q469" s="3" t="s">
        <v>26</v>
      </c>
      <c r="R469" s="3">
        <v>0</v>
      </c>
      <c r="S469" s="3" t="s">
        <v>242</v>
      </c>
      <c r="T469" s="3" t="s">
        <v>367</v>
      </c>
      <c r="U469" s="3">
        <v>0</v>
      </c>
      <c r="V469" s="3">
        <v>35</v>
      </c>
      <c r="W469" s="3">
        <v>83</v>
      </c>
    </row>
    <row r="470" spans="1:23" ht="11.25" customHeight="1" x14ac:dyDescent="0.25">
      <c r="A470" s="3" t="s">
        <v>27</v>
      </c>
      <c r="B470" s="3" t="s">
        <v>33</v>
      </c>
      <c r="C470" s="3" t="s">
        <v>23</v>
      </c>
      <c r="D470" s="3" t="s">
        <v>40</v>
      </c>
      <c r="E470" s="3" t="s">
        <v>25</v>
      </c>
      <c r="F470" s="3" t="s">
        <v>25</v>
      </c>
      <c r="G470" s="3" t="s">
        <v>25</v>
      </c>
      <c r="H470" s="3" t="s">
        <v>25</v>
      </c>
      <c r="I470" s="6">
        <v>44531</v>
      </c>
      <c r="J470" s="4">
        <v>0</v>
      </c>
      <c r="K470" s="4">
        <v>0</v>
      </c>
      <c r="L470" s="4">
        <v>-0.41799999999999998</v>
      </c>
      <c r="M470" s="4">
        <v>-0.41799999999999998</v>
      </c>
      <c r="N470" s="4">
        <v>-0.41799999999999998</v>
      </c>
      <c r="O470" s="4">
        <v>-0.41799999999999998</v>
      </c>
      <c r="P470" s="4">
        <v>0</v>
      </c>
      <c r="Q470" s="3" t="s">
        <v>26</v>
      </c>
      <c r="R470" s="3">
        <v>0</v>
      </c>
      <c r="S470" s="3" t="s">
        <v>242</v>
      </c>
      <c r="T470" s="3" t="s">
        <v>367</v>
      </c>
      <c r="U470" s="3">
        <v>0</v>
      </c>
      <c r="V470" s="3">
        <v>35</v>
      </c>
      <c r="W470" s="3">
        <v>83</v>
      </c>
    </row>
    <row r="471" spans="1:23" ht="11.25" customHeight="1" x14ac:dyDescent="0.25">
      <c r="A471" s="3" t="s">
        <v>28</v>
      </c>
      <c r="B471" s="3" t="s">
        <v>33</v>
      </c>
      <c r="C471" s="3" t="s">
        <v>23</v>
      </c>
      <c r="D471" s="3" t="s">
        <v>40</v>
      </c>
      <c r="E471" s="3" t="s">
        <v>25</v>
      </c>
      <c r="F471" s="3" t="s">
        <v>25</v>
      </c>
      <c r="G471" s="3" t="s">
        <v>25</v>
      </c>
      <c r="H471" s="3" t="s">
        <v>25</v>
      </c>
      <c r="I471" s="6">
        <v>44531</v>
      </c>
      <c r="J471" s="4">
        <v>0</v>
      </c>
      <c r="K471" s="4">
        <v>0</v>
      </c>
      <c r="L471" s="4">
        <v>3.9929999999999999</v>
      </c>
      <c r="M471" s="4">
        <v>3.9929999999999999</v>
      </c>
      <c r="N471" s="4">
        <v>3.9929999999999999</v>
      </c>
      <c r="O471" s="4">
        <v>3.9929999999999999</v>
      </c>
      <c r="P471" s="4">
        <v>23</v>
      </c>
      <c r="Q471" s="3" t="s">
        <v>26</v>
      </c>
      <c r="R471" s="3">
        <v>0</v>
      </c>
      <c r="S471" s="3" t="s">
        <v>242</v>
      </c>
      <c r="T471" s="3" t="s">
        <v>367</v>
      </c>
      <c r="U471" s="3">
        <v>0</v>
      </c>
      <c r="V471" s="3">
        <v>35</v>
      </c>
      <c r="W471" s="3">
        <v>83</v>
      </c>
    </row>
    <row r="472" spans="1:23" ht="11.25" customHeight="1" x14ac:dyDescent="0.25">
      <c r="A472" s="3" t="s">
        <v>21</v>
      </c>
      <c r="B472" s="3" t="s">
        <v>33</v>
      </c>
      <c r="C472" s="3" t="s">
        <v>23</v>
      </c>
      <c r="D472" s="3" t="s">
        <v>40</v>
      </c>
      <c r="E472" s="3" t="s">
        <v>25</v>
      </c>
      <c r="F472" s="3" t="s">
        <v>25</v>
      </c>
      <c r="G472" s="3" t="s">
        <v>25</v>
      </c>
      <c r="H472" s="3" t="s">
        <v>25</v>
      </c>
      <c r="I472" s="6">
        <v>44562</v>
      </c>
      <c r="J472" s="4">
        <v>0</v>
      </c>
      <c r="K472" s="4">
        <v>0</v>
      </c>
      <c r="L472" s="4">
        <v>163.18</v>
      </c>
      <c r="M472" s="4">
        <v>163.18</v>
      </c>
      <c r="N472" s="4">
        <v>163.18</v>
      </c>
      <c r="O472" s="4">
        <v>163.18</v>
      </c>
      <c r="P472" s="4">
        <v>357</v>
      </c>
      <c r="Q472" s="3" t="s">
        <v>26</v>
      </c>
      <c r="R472" s="3">
        <v>0</v>
      </c>
      <c r="S472" s="3" t="s">
        <v>243</v>
      </c>
      <c r="T472" s="3" t="s">
        <v>368</v>
      </c>
      <c r="U472" s="3">
        <v>0</v>
      </c>
      <c r="V472" s="3">
        <v>35</v>
      </c>
      <c r="W472" s="3">
        <v>83</v>
      </c>
    </row>
    <row r="473" spans="1:23" ht="11.25" customHeight="1" x14ac:dyDescent="0.25">
      <c r="A473" s="3" t="s">
        <v>27</v>
      </c>
      <c r="B473" s="3" t="s">
        <v>33</v>
      </c>
      <c r="C473" s="3" t="s">
        <v>23</v>
      </c>
      <c r="D473" s="3" t="s">
        <v>40</v>
      </c>
      <c r="E473" s="3" t="s">
        <v>25</v>
      </c>
      <c r="F473" s="3" t="s">
        <v>25</v>
      </c>
      <c r="G473" s="3" t="s">
        <v>25</v>
      </c>
      <c r="H473" s="3" t="s">
        <v>25</v>
      </c>
      <c r="I473" s="6">
        <v>44562</v>
      </c>
      <c r="J473" s="4">
        <v>0</v>
      </c>
      <c r="K473" s="4">
        <v>0</v>
      </c>
      <c r="L473" s="4">
        <v>1.702</v>
      </c>
      <c r="M473" s="4">
        <v>1.702</v>
      </c>
      <c r="N473" s="4">
        <v>1.702</v>
      </c>
      <c r="O473" s="4">
        <v>1.702</v>
      </c>
      <c r="P473" s="4">
        <v>0</v>
      </c>
      <c r="Q473" s="3" t="s">
        <v>26</v>
      </c>
      <c r="R473" s="3">
        <v>0</v>
      </c>
      <c r="S473" s="3" t="s">
        <v>243</v>
      </c>
      <c r="T473" s="3" t="s">
        <v>368</v>
      </c>
      <c r="U473" s="3">
        <v>0</v>
      </c>
      <c r="V473" s="3">
        <v>35</v>
      </c>
      <c r="W473" s="3">
        <v>83</v>
      </c>
    </row>
    <row r="474" spans="1:23" ht="11.25" customHeight="1" x14ac:dyDescent="0.25">
      <c r="A474" s="3" t="s">
        <v>28</v>
      </c>
      <c r="B474" s="3" t="s">
        <v>33</v>
      </c>
      <c r="C474" s="3" t="s">
        <v>23</v>
      </c>
      <c r="D474" s="3" t="s">
        <v>40</v>
      </c>
      <c r="E474" s="3" t="s">
        <v>25</v>
      </c>
      <c r="F474" s="3" t="s">
        <v>25</v>
      </c>
      <c r="G474" s="3" t="s">
        <v>25</v>
      </c>
      <c r="H474" s="3" t="s">
        <v>25</v>
      </c>
      <c r="I474" s="6">
        <v>44562</v>
      </c>
      <c r="J474" s="4">
        <v>0</v>
      </c>
      <c r="K474" s="4">
        <v>0</v>
      </c>
      <c r="L474" s="4">
        <v>7.8070000000000004</v>
      </c>
      <c r="M474" s="4">
        <v>7.8070000000000004</v>
      </c>
      <c r="N474" s="4">
        <v>7.8070000000000004</v>
      </c>
      <c r="O474" s="4">
        <v>7.8070000000000004</v>
      </c>
      <c r="P474" s="4">
        <v>25</v>
      </c>
      <c r="Q474" s="3" t="s">
        <v>26</v>
      </c>
      <c r="R474" s="3">
        <v>0</v>
      </c>
      <c r="S474" s="3" t="s">
        <v>243</v>
      </c>
      <c r="T474" s="3" t="s">
        <v>368</v>
      </c>
      <c r="U474" s="3">
        <v>0</v>
      </c>
      <c r="V474" s="3">
        <v>35</v>
      </c>
      <c r="W474" s="3">
        <v>83</v>
      </c>
    </row>
    <row r="475" spans="1:23" ht="11.25" customHeight="1" x14ac:dyDescent="0.25">
      <c r="A475" s="3" t="s">
        <v>21</v>
      </c>
      <c r="B475" s="3" t="s">
        <v>33</v>
      </c>
      <c r="C475" s="3" t="s">
        <v>23</v>
      </c>
      <c r="D475" s="3" t="s">
        <v>40</v>
      </c>
      <c r="E475" s="3" t="s">
        <v>25</v>
      </c>
      <c r="F475" s="3" t="s">
        <v>25</v>
      </c>
      <c r="G475" s="3" t="s">
        <v>25</v>
      </c>
      <c r="H475" s="3" t="s">
        <v>25</v>
      </c>
      <c r="I475" s="6">
        <v>44593</v>
      </c>
      <c r="J475" s="4">
        <v>0</v>
      </c>
      <c r="K475" s="4">
        <v>0</v>
      </c>
      <c r="L475" s="4">
        <v>133.715</v>
      </c>
      <c r="M475" s="4">
        <v>133.715</v>
      </c>
      <c r="N475" s="4">
        <v>133.715</v>
      </c>
      <c r="O475" s="4">
        <v>133.715</v>
      </c>
      <c r="P475" s="4">
        <v>321</v>
      </c>
      <c r="Q475" s="3" t="s">
        <v>26</v>
      </c>
      <c r="R475" s="3">
        <v>0</v>
      </c>
      <c r="S475" s="3" t="s">
        <v>244</v>
      </c>
      <c r="T475" s="3" t="s">
        <v>369</v>
      </c>
      <c r="U475" s="3">
        <v>0</v>
      </c>
      <c r="V475" s="3">
        <v>35</v>
      </c>
      <c r="W475" s="3">
        <v>83</v>
      </c>
    </row>
    <row r="476" spans="1:23" ht="11.25" customHeight="1" x14ac:dyDescent="0.25">
      <c r="A476" s="3" t="s">
        <v>28</v>
      </c>
      <c r="B476" s="3" t="s">
        <v>33</v>
      </c>
      <c r="C476" s="3" t="s">
        <v>23</v>
      </c>
      <c r="D476" s="3" t="s">
        <v>40</v>
      </c>
      <c r="E476" s="3" t="s">
        <v>25</v>
      </c>
      <c r="F476" s="3" t="s">
        <v>25</v>
      </c>
      <c r="G476" s="3" t="s">
        <v>25</v>
      </c>
      <c r="H476" s="3" t="s">
        <v>25</v>
      </c>
      <c r="I476" s="6">
        <v>44593</v>
      </c>
      <c r="J476" s="4">
        <v>0</v>
      </c>
      <c r="K476" s="4">
        <v>0</v>
      </c>
      <c r="L476" s="4">
        <v>7.157</v>
      </c>
      <c r="M476" s="4">
        <v>7.157</v>
      </c>
      <c r="N476" s="4">
        <v>7.157</v>
      </c>
      <c r="O476" s="4">
        <v>7.157</v>
      </c>
      <c r="P476" s="4">
        <v>23</v>
      </c>
      <c r="Q476" s="3" t="s">
        <v>26</v>
      </c>
      <c r="R476" s="3">
        <v>0</v>
      </c>
      <c r="S476" s="3" t="s">
        <v>244</v>
      </c>
      <c r="T476" s="3" t="s">
        <v>369</v>
      </c>
      <c r="U476" s="3">
        <v>0</v>
      </c>
      <c r="V476" s="3">
        <v>35</v>
      </c>
      <c r="W476" s="3">
        <v>83</v>
      </c>
    </row>
    <row r="477" spans="1:23" ht="11.25" customHeight="1" x14ac:dyDescent="0.25">
      <c r="A477" s="3" t="s">
        <v>21</v>
      </c>
      <c r="B477" s="3" t="s">
        <v>33</v>
      </c>
      <c r="C477" s="3" t="s">
        <v>23</v>
      </c>
      <c r="D477" s="3" t="s">
        <v>40</v>
      </c>
      <c r="E477" s="3" t="s">
        <v>25</v>
      </c>
      <c r="F477" s="3" t="s">
        <v>25</v>
      </c>
      <c r="G477" s="3" t="s">
        <v>25</v>
      </c>
      <c r="H477" s="3" t="s">
        <v>25</v>
      </c>
      <c r="I477" s="6">
        <v>44621</v>
      </c>
      <c r="J477" s="4">
        <v>0</v>
      </c>
      <c r="K477" s="4">
        <v>0</v>
      </c>
      <c r="L477" s="4">
        <v>120.584</v>
      </c>
      <c r="M477" s="4">
        <v>120.584</v>
      </c>
      <c r="N477" s="4">
        <v>120.584</v>
      </c>
      <c r="O477" s="4">
        <v>120.584</v>
      </c>
      <c r="P477" s="4">
        <v>323</v>
      </c>
      <c r="Q477" s="3" t="s">
        <v>26</v>
      </c>
      <c r="R477" s="3">
        <v>0</v>
      </c>
      <c r="S477" s="3" t="s">
        <v>245</v>
      </c>
      <c r="T477" s="3" t="s">
        <v>370</v>
      </c>
      <c r="U477" s="3">
        <v>0</v>
      </c>
      <c r="V477" s="3">
        <v>35</v>
      </c>
      <c r="W477" s="3">
        <v>83</v>
      </c>
    </row>
    <row r="478" spans="1:23" ht="11.25" customHeight="1" x14ac:dyDescent="0.25">
      <c r="A478" s="3" t="s">
        <v>28</v>
      </c>
      <c r="B478" s="3" t="s">
        <v>33</v>
      </c>
      <c r="C478" s="3" t="s">
        <v>23</v>
      </c>
      <c r="D478" s="3" t="s">
        <v>40</v>
      </c>
      <c r="E478" s="3" t="s">
        <v>25</v>
      </c>
      <c r="F478" s="3" t="s">
        <v>25</v>
      </c>
      <c r="G478" s="3" t="s">
        <v>25</v>
      </c>
      <c r="H478" s="3" t="s">
        <v>25</v>
      </c>
      <c r="I478" s="6">
        <v>44621</v>
      </c>
      <c r="J478" s="4">
        <v>0</v>
      </c>
      <c r="K478" s="4">
        <v>0</v>
      </c>
      <c r="L478" s="4">
        <v>5.5030000000000001</v>
      </c>
      <c r="M478" s="4">
        <v>5.5030000000000001</v>
      </c>
      <c r="N478" s="4">
        <v>5.5030000000000001</v>
      </c>
      <c r="O478" s="4">
        <v>5.5030000000000001</v>
      </c>
      <c r="P478" s="4">
        <v>22</v>
      </c>
      <c r="Q478" s="3" t="s">
        <v>26</v>
      </c>
      <c r="R478" s="3">
        <v>0</v>
      </c>
      <c r="S478" s="3" t="s">
        <v>245</v>
      </c>
      <c r="T478" s="3" t="s">
        <v>370</v>
      </c>
      <c r="U478" s="3">
        <v>0</v>
      </c>
      <c r="V478" s="3">
        <v>35</v>
      </c>
      <c r="W478" s="3">
        <v>83</v>
      </c>
    </row>
    <row r="479" spans="1:23" ht="11.25" customHeight="1" x14ac:dyDescent="0.25">
      <c r="A479" s="3" t="s">
        <v>21</v>
      </c>
      <c r="B479" s="3" t="s">
        <v>33</v>
      </c>
      <c r="C479" s="3" t="s">
        <v>23</v>
      </c>
      <c r="D479" s="3" t="s">
        <v>40</v>
      </c>
      <c r="E479" s="3" t="s">
        <v>25</v>
      </c>
      <c r="F479" s="3" t="s">
        <v>25</v>
      </c>
      <c r="G479" s="3" t="s">
        <v>25</v>
      </c>
      <c r="H479" s="3" t="s">
        <v>25</v>
      </c>
      <c r="I479" s="6">
        <v>44652</v>
      </c>
      <c r="J479" s="4">
        <v>0</v>
      </c>
      <c r="K479" s="4">
        <v>0</v>
      </c>
      <c r="L479" s="4">
        <v>125.316</v>
      </c>
      <c r="M479" s="4">
        <v>125.316</v>
      </c>
      <c r="N479" s="4">
        <v>125.316</v>
      </c>
      <c r="O479" s="4">
        <v>125.316</v>
      </c>
      <c r="P479" s="4">
        <v>322</v>
      </c>
      <c r="Q479" s="3" t="s">
        <v>26</v>
      </c>
      <c r="R479" s="3">
        <v>0</v>
      </c>
      <c r="S479" s="3" t="s">
        <v>246</v>
      </c>
      <c r="T479" s="3" t="s">
        <v>371</v>
      </c>
      <c r="U479" s="3">
        <v>0</v>
      </c>
      <c r="V479" s="3">
        <v>35</v>
      </c>
      <c r="W479" s="3">
        <v>83</v>
      </c>
    </row>
    <row r="480" spans="1:23" ht="11.25" customHeight="1" x14ac:dyDescent="0.25">
      <c r="A480" s="3" t="s">
        <v>28</v>
      </c>
      <c r="B480" s="3" t="s">
        <v>33</v>
      </c>
      <c r="C480" s="3" t="s">
        <v>23</v>
      </c>
      <c r="D480" s="3" t="s">
        <v>40</v>
      </c>
      <c r="E480" s="3" t="s">
        <v>25</v>
      </c>
      <c r="F480" s="3" t="s">
        <v>25</v>
      </c>
      <c r="G480" s="3" t="s">
        <v>25</v>
      </c>
      <c r="H480" s="3" t="s">
        <v>25</v>
      </c>
      <c r="I480" s="6">
        <v>44652</v>
      </c>
      <c r="J480" s="4">
        <v>0</v>
      </c>
      <c r="K480" s="4">
        <v>0</v>
      </c>
      <c r="L480" s="4">
        <v>7.8739999999999997</v>
      </c>
      <c r="M480" s="4">
        <v>7.8739999999999997</v>
      </c>
      <c r="N480" s="4">
        <v>7.8739999999999997</v>
      </c>
      <c r="O480" s="4">
        <v>7.8739999999999997</v>
      </c>
      <c r="P480" s="4">
        <v>23</v>
      </c>
      <c r="Q480" s="3" t="s">
        <v>26</v>
      </c>
      <c r="R480" s="3">
        <v>0</v>
      </c>
      <c r="S480" s="3" t="s">
        <v>246</v>
      </c>
      <c r="T480" s="3" t="s">
        <v>371</v>
      </c>
      <c r="U480" s="3">
        <v>0</v>
      </c>
      <c r="V480" s="3">
        <v>35</v>
      </c>
      <c r="W480" s="3">
        <v>83</v>
      </c>
    </row>
    <row r="481" spans="1:23" ht="11.25" customHeight="1" x14ac:dyDescent="0.25">
      <c r="A481" s="3" t="s">
        <v>21</v>
      </c>
      <c r="B481" s="3" t="s">
        <v>33</v>
      </c>
      <c r="C481" s="3" t="s">
        <v>23</v>
      </c>
      <c r="D481" s="3" t="s">
        <v>40</v>
      </c>
      <c r="E481" s="3" t="s">
        <v>25</v>
      </c>
      <c r="F481" s="3" t="s">
        <v>25</v>
      </c>
      <c r="G481" s="3" t="s">
        <v>25</v>
      </c>
      <c r="H481" s="3" t="s">
        <v>25</v>
      </c>
      <c r="I481" s="6">
        <v>44682</v>
      </c>
      <c r="J481" s="4">
        <v>0</v>
      </c>
      <c r="K481" s="4">
        <v>0</v>
      </c>
      <c r="L481" s="4">
        <v>130.47399999999999</v>
      </c>
      <c r="M481" s="4">
        <v>130.47399999999999</v>
      </c>
      <c r="N481" s="4">
        <v>130.47399999999999</v>
      </c>
      <c r="O481" s="4">
        <v>130.47399999999999</v>
      </c>
      <c r="P481" s="4">
        <v>319</v>
      </c>
      <c r="Q481" s="3" t="s">
        <v>26</v>
      </c>
      <c r="R481" s="3">
        <v>0</v>
      </c>
      <c r="S481" s="3" t="s">
        <v>247</v>
      </c>
      <c r="T481" s="3" t="s">
        <v>372</v>
      </c>
      <c r="U481" s="3">
        <v>0</v>
      </c>
      <c r="V481" s="3">
        <v>35</v>
      </c>
      <c r="W481" s="3">
        <v>83</v>
      </c>
    </row>
    <row r="482" spans="1:23" ht="11.25" customHeight="1" x14ac:dyDescent="0.25">
      <c r="A482" s="3" t="s">
        <v>28</v>
      </c>
      <c r="B482" s="3" t="s">
        <v>33</v>
      </c>
      <c r="C482" s="3" t="s">
        <v>23</v>
      </c>
      <c r="D482" s="3" t="s">
        <v>40</v>
      </c>
      <c r="E482" s="3" t="s">
        <v>25</v>
      </c>
      <c r="F482" s="3" t="s">
        <v>25</v>
      </c>
      <c r="G482" s="3" t="s">
        <v>25</v>
      </c>
      <c r="H482" s="3" t="s">
        <v>25</v>
      </c>
      <c r="I482" s="6">
        <v>44682</v>
      </c>
      <c r="J482" s="4">
        <v>0</v>
      </c>
      <c r="K482" s="4">
        <v>0</v>
      </c>
      <c r="L482" s="4">
        <v>10.617000000000001</v>
      </c>
      <c r="M482" s="4">
        <v>10.617000000000001</v>
      </c>
      <c r="N482" s="4">
        <v>10.617000000000001</v>
      </c>
      <c r="O482" s="4">
        <v>10.617000000000001</v>
      </c>
      <c r="P482" s="4">
        <v>22</v>
      </c>
      <c r="Q482" s="3" t="s">
        <v>26</v>
      </c>
      <c r="R482" s="3">
        <v>0</v>
      </c>
      <c r="S482" s="3" t="s">
        <v>247</v>
      </c>
      <c r="T482" s="3" t="s">
        <v>372</v>
      </c>
      <c r="U482" s="3">
        <v>0</v>
      </c>
      <c r="V482" s="3">
        <v>35</v>
      </c>
      <c r="W482" s="3">
        <v>83</v>
      </c>
    </row>
    <row r="483" spans="1:23" ht="11.25" customHeight="1" x14ac:dyDescent="0.25">
      <c r="A483" s="3" t="s">
        <v>21</v>
      </c>
      <c r="B483" s="3" t="s">
        <v>33</v>
      </c>
      <c r="C483" s="3" t="s">
        <v>23</v>
      </c>
      <c r="D483" s="3" t="s">
        <v>40</v>
      </c>
      <c r="E483" s="3" t="s">
        <v>25</v>
      </c>
      <c r="F483" s="3" t="s">
        <v>25</v>
      </c>
      <c r="G483" s="3" t="s">
        <v>25</v>
      </c>
      <c r="H483" s="3" t="s">
        <v>25</v>
      </c>
      <c r="I483" s="6">
        <v>44713</v>
      </c>
      <c r="J483" s="4">
        <v>0</v>
      </c>
      <c r="K483" s="4">
        <v>0</v>
      </c>
      <c r="L483" s="4">
        <v>130.56100000000001</v>
      </c>
      <c r="M483" s="4">
        <v>130.56100000000001</v>
      </c>
      <c r="N483" s="4">
        <v>130.56100000000001</v>
      </c>
      <c r="O483" s="4">
        <v>130.56100000000001</v>
      </c>
      <c r="P483" s="4">
        <v>320</v>
      </c>
      <c r="Q483" s="3" t="s">
        <v>26</v>
      </c>
      <c r="R483" s="3">
        <v>0</v>
      </c>
      <c r="S483" s="3" t="s">
        <v>248</v>
      </c>
      <c r="T483" s="3" t="s">
        <v>373</v>
      </c>
      <c r="U483" s="3">
        <v>0</v>
      </c>
      <c r="V483" s="3">
        <v>35</v>
      </c>
      <c r="W483" s="3">
        <v>83</v>
      </c>
    </row>
    <row r="484" spans="1:23" ht="11.25" customHeight="1" x14ac:dyDescent="0.25">
      <c r="A484" s="3" t="s">
        <v>28</v>
      </c>
      <c r="B484" s="3" t="s">
        <v>33</v>
      </c>
      <c r="C484" s="3" t="s">
        <v>23</v>
      </c>
      <c r="D484" s="3" t="s">
        <v>40</v>
      </c>
      <c r="E484" s="3" t="s">
        <v>25</v>
      </c>
      <c r="F484" s="3" t="s">
        <v>25</v>
      </c>
      <c r="G484" s="3" t="s">
        <v>25</v>
      </c>
      <c r="H484" s="3" t="s">
        <v>25</v>
      </c>
      <c r="I484" s="6">
        <v>44713</v>
      </c>
      <c r="J484" s="4">
        <v>0</v>
      </c>
      <c r="K484" s="4">
        <v>0</v>
      </c>
      <c r="L484" s="4">
        <v>29.523</v>
      </c>
      <c r="M484" s="4">
        <v>29.523</v>
      </c>
      <c r="N484" s="4">
        <v>29.523</v>
      </c>
      <c r="O484" s="4">
        <v>29.523</v>
      </c>
      <c r="P484" s="4">
        <v>22</v>
      </c>
      <c r="Q484" s="3" t="s">
        <v>26</v>
      </c>
      <c r="R484" s="3">
        <v>0</v>
      </c>
      <c r="S484" s="3" t="s">
        <v>248</v>
      </c>
      <c r="T484" s="3" t="s">
        <v>373</v>
      </c>
      <c r="U484" s="3">
        <v>0</v>
      </c>
      <c r="V484" s="3">
        <v>35</v>
      </c>
      <c r="W484" s="3">
        <v>83</v>
      </c>
    </row>
    <row r="485" spans="1:23" ht="11.25" customHeight="1" x14ac:dyDescent="0.25">
      <c r="A485" s="3" t="s">
        <v>21</v>
      </c>
      <c r="B485" s="3" t="s">
        <v>33</v>
      </c>
      <c r="C485" s="3" t="s">
        <v>23</v>
      </c>
      <c r="D485" s="3" t="s">
        <v>34</v>
      </c>
      <c r="E485" s="3" t="s">
        <v>25</v>
      </c>
      <c r="F485" s="3" t="s">
        <v>25</v>
      </c>
      <c r="G485" s="3" t="s">
        <v>25</v>
      </c>
      <c r="H485" s="3" t="s">
        <v>25</v>
      </c>
      <c r="I485" s="6">
        <v>44378</v>
      </c>
      <c r="J485" s="4">
        <v>0</v>
      </c>
      <c r="K485" s="4">
        <v>0</v>
      </c>
      <c r="L485" s="4">
        <v>40.542000000000002</v>
      </c>
      <c r="M485" s="4">
        <v>40.542000000000002</v>
      </c>
      <c r="N485" s="4">
        <v>40.542000000000002</v>
      </c>
      <c r="O485" s="4">
        <v>40.542000000000002</v>
      </c>
      <c r="P485" s="4">
        <v>31</v>
      </c>
      <c r="Q485" s="3" t="s">
        <v>26</v>
      </c>
      <c r="R485" s="3">
        <v>0</v>
      </c>
      <c r="S485" s="3" t="s">
        <v>237</v>
      </c>
      <c r="T485" s="3" t="s">
        <v>362</v>
      </c>
      <c r="U485" s="3">
        <v>0</v>
      </c>
      <c r="V485" s="3">
        <v>35</v>
      </c>
      <c r="W485" s="3">
        <v>83</v>
      </c>
    </row>
    <row r="486" spans="1:23" ht="11.25" customHeight="1" x14ac:dyDescent="0.25">
      <c r="A486" s="3" t="s">
        <v>28</v>
      </c>
      <c r="B486" s="3" t="s">
        <v>33</v>
      </c>
      <c r="C486" s="3" t="s">
        <v>23</v>
      </c>
      <c r="D486" s="3" t="s">
        <v>34</v>
      </c>
      <c r="E486" s="3" t="s">
        <v>25</v>
      </c>
      <c r="F486" s="3" t="s">
        <v>25</v>
      </c>
      <c r="G486" s="3" t="s">
        <v>25</v>
      </c>
      <c r="H486" s="3" t="s">
        <v>25</v>
      </c>
      <c r="I486" s="6">
        <v>44378</v>
      </c>
      <c r="J486" s="4">
        <v>0</v>
      </c>
      <c r="K486" s="4">
        <v>0</v>
      </c>
      <c r="L486" s="4">
        <v>9.2200000000000006</v>
      </c>
      <c r="M486" s="4">
        <v>9.2200000000000006</v>
      </c>
      <c r="N486" s="4">
        <v>9.2200000000000006</v>
      </c>
      <c r="O486" s="4">
        <v>9.2200000000000006</v>
      </c>
      <c r="P486" s="4">
        <v>3</v>
      </c>
      <c r="Q486" s="3" t="s">
        <v>26</v>
      </c>
      <c r="R486" s="3">
        <v>0</v>
      </c>
      <c r="S486" s="3" t="s">
        <v>237</v>
      </c>
      <c r="T486" s="3" t="s">
        <v>362</v>
      </c>
      <c r="U486" s="3">
        <v>0</v>
      </c>
      <c r="V486" s="3">
        <v>35</v>
      </c>
      <c r="W486" s="3">
        <v>83</v>
      </c>
    </row>
    <row r="487" spans="1:23" ht="11.25" customHeight="1" x14ac:dyDescent="0.25">
      <c r="A487" s="3" t="s">
        <v>21</v>
      </c>
      <c r="B487" s="3" t="s">
        <v>33</v>
      </c>
      <c r="C487" s="3" t="s">
        <v>23</v>
      </c>
      <c r="D487" s="3" t="s">
        <v>34</v>
      </c>
      <c r="E487" s="3" t="s">
        <v>25</v>
      </c>
      <c r="F487" s="3" t="s">
        <v>25</v>
      </c>
      <c r="G487" s="3" t="s">
        <v>25</v>
      </c>
      <c r="H487" s="3" t="s">
        <v>25</v>
      </c>
      <c r="I487" s="6">
        <v>44409</v>
      </c>
      <c r="J487" s="4">
        <v>0</v>
      </c>
      <c r="K487" s="4">
        <v>0</v>
      </c>
      <c r="L487" s="4">
        <v>36.991999999999997</v>
      </c>
      <c r="M487" s="4">
        <v>36.991999999999997</v>
      </c>
      <c r="N487" s="4">
        <v>36.991999999999997</v>
      </c>
      <c r="O487" s="4">
        <v>36.991999999999997</v>
      </c>
      <c r="P487" s="4">
        <v>31</v>
      </c>
      <c r="Q487" s="3" t="s">
        <v>26</v>
      </c>
      <c r="R487" s="3">
        <v>0</v>
      </c>
      <c r="S487" s="3" t="s">
        <v>238</v>
      </c>
      <c r="T487" s="3" t="s">
        <v>363</v>
      </c>
      <c r="U487" s="3">
        <v>0</v>
      </c>
      <c r="V487" s="3">
        <v>35</v>
      </c>
      <c r="W487" s="3">
        <v>83</v>
      </c>
    </row>
    <row r="488" spans="1:23" ht="11.25" customHeight="1" x14ac:dyDescent="0.25">
      <c r="A488" s="3" t="s">
        <v>21</v>
      </c>
      <c r="B488" s="3" t="s">
        <v>33</v>
      </c>
      <c r="C488" s="3" t="s">
        <v>23</v>
      </c>
      <c r="D488" s="3" t="s">
        <v>34</v>
      </c>
      <c r="E488" s="3" t="s">
        <v>25</v>
      </c>
      <c r="F488" s="3" t="s">
        <v>25</v>
      </c>
      <c r="G488" s="3" t="s">
        <v>25</v>
      </c>
      <c r="H488" s="3" t="s">
        <v>25</v>
      </c>
      <c r="I488" s="6">
        <v>44440</v>
      </c>
      <c r="J488" s="4">
        <v>0</v>
      </c>
      <c r="K488" s="4">
        <v>0</v>
      </c>
      <c r="L488" s="4">
        <v>33.968000000000004</v>
      </c>
      <c r="M488" s="4">
        <v>33.968000000000004</v>
      </c>
      <c r="N488" s="4">
        <v>33.968000000000004</v>
      </c>
      <c r="O488" s="4">
        <v>33.968000000000004</v>
      </c>
      <c r="P488" s="4">
        <v>32</v>
      </c>
      <c r="Q488" s="3" t="s">
        <v>26</v>
      </c>
      <c r="R488" s="3">
        <v>0</v>
      </c>
      <c r="S488" s="3" t="s">
        <v>239</v>
      </c>
      <c r="T488" s="3" t="s">
        <v>364</v>
      </c>
      <c r="U488" s="3">
        <v>0</v>
      </c>
      <c r="V488" s="3">
        <v>35</v>
      </c>
      <c r="W488" s="3">
        <v>83</v>
      </c>
    </row>
    <row r="489" spans="1:23" ht="11.25" customHeight="1" x14ac:dyDescent="0.25">
      <c r="A489" s="3" t="s">
        <v>28</v>
      </c>
      <c r="B489" s="3" t="s">
        <v>33</v>
      </c>
      <c r="C489" s="3" t="s">
        <v>23</v>
      </c>
      <c r="D489" s="3" t="s">
        <v>34</v>
      </c>
      <c r="E489" s="3" t="s">
        <v>25</v>
      </c>
      <c r="F489" s="3" t="s">
        <v>25</v>
      </c>
      <c r="G489" s="3" t="s">
        <v>25</v>
      </c>
      <c r="H489" s="3" t="s">
        <v>25</v>
      </c>
      <c r="I489" s="6">
        <v>44440</v>
      </c>
      <c r="J489" s="4">
        <v>0</v>
      </c>
      <c r="K489" s="4">
        <v>0</v>
      </c>
      <c r="L489" s="4">
        <v>3.1190000000000002</v>
      </c>
      <c r="M489" s="4">
        <v>3.1190000000000002</v>
      </c>
      <c r="N489" s="4">
        <v>3.1190000000000002</v>
      </c>
      <c r="O489" s="4">
        <v>3.1190000000000002</v>
      </c>
      <c r="P489" s="4">
        <v>3</v>
      </c>
      <c r="Q489" s="3" t="s">
        <v>26</v>
      </c>
      <c r="R489" s="3">
        <v>0</v>
      </c>
      <c r="S489" s="3" t="s">
        <v>239</v>
      </c>
      <c r="T489" s="3" t="s">
        <v>364</v>
      </c>
      <c r="U489" s="3">
        <v>0</v>
      </c>
      <c r="V489" s="3">
        <v>35</v>
      </c>
      <c r="W489" s="3">
        <v>83</v>
      </c>
    </row>
    <row r="490" spans="1:23" ht="11.25" customHeight="1" x14ac:dyDescent="0.25">
      <c r="A490" s="3" t="s">
        <v>21</v>
      </c>
      <c r="B490" s="3" t="s">
        <v>33</v>
      </c>
      <c r="C490" s="3" t="s">
        <v>23</v>
      </c>
      <c r="D490" s="3" t="s">
        <v>34</v>
      </c>
      <c r="E490" s="3" t="s">
        <v>25</v>
      </c>
      <c r="F490" s="3" t="s">
        <v>25</v>
      </c>
      <c r="G490" s="3" t="s">
        <v>25</v>
      </c>
      <c r="H490" s="3" t="s">
        <v>25</v>
      </c>
      <c r="I490" s="6">
        <v>44470</v>
      </c>
      <c r="J490" s="4">
        <v>0</v>
      </c>
      <c r="K490" s="4">
        <v>0</v>
      </c>
      <c r="L490" s="4">
        <v>42.881</v>
      </c>
      <c r="M490" s="4">
        <v>42.881</v>
      </c>
      <c r="N490" s="4">
        <v>42.881</v>
      </c>
      <c r="O490" s="4">
        <v>42.881</v>
      </c>
      <c r="P490" s="4">
        <v>33</v>
      </c>
      <c r="Q490" s="3" t="s">
        <v>26</v>
      </c>
      <c r="R490" s="3">
        <v>0</v>
      </c>
      <c r="S490" s="3" t="s">
        <v>240</v>
      </c>
      <c r="T490" s="3" t="s">
        <v>365</v>
      </c>
      <c r="U490" s="3">
        <v>0</v>
      </c>
      <c r="V490" s="3">
        <v>35</v>
      </c>
      <c r="W490" s="3">
        <v>83</v>
      </c>
    </row>
    <row r="491" spans="1:23" ht="11.25" customHeight="1" x14ac:dyDescent="0.25">
      <c r="A491" s="3" t="s">
        <v>28</v>
      </c>
      <c r="B491" s="3" t="s">
        <v>33</v>
      </c>
      <c r="C491" s="3" t="s">
        <v>23</v>
      </c>
      <c r="D491" s="3" t="s">
        <v>34</v>
      </c>
      <c r="E491" s="3" t="s">
        <v>25</v>
      </c>
      <c r="F491" s="3" t="s">
        <v>25</v>
      </c>
      <c r="G491" s="3" t="s">
        <v>25</v>
      </c>
      <c r="H491" s="3" t="s">
        <v>25</v>
      </c>
      <c r="I491" s="6">
        <v>44470</v>
      </c>
      <c r="J491" s="4">
        <v>0</v>
      </c>
      <c r="K491" s="4">
        <v>0</v>
      </c>
      <c r="L491" s="4">
        <v>3.569</v>
      </c>
      <c r="M491" s="4">
        <v>3.569</v>
      </c>
      <c r="N491" s="4">
        <v>3.569</v>
      </c>
      <c r="O491" s="4">
        <v>3.569</v>
      </c>
      <c r="P491" s="4">
        <v>3</v>
      </c>
      <c r="Q491" s="3" t="s">
        <v>26</v>
      </c>
      <c r="R491" s="3">
        <v>0</v>
      </c>
      <c r="S491" s="3" t="s">
        <v>240</v>
      </c>
      <c r="T491" s="3" t="s">
        <v>365</v>
      </c>
      <c r="U491" s="3">
        <v>0</v>
      </c>
      <c r="V491" s="3">
        <v>35</v>
      </c>
      <c r="W491" s="3">
        <v>83</v>
      </c>
    </row>
    <row r="492" spans="1:23" ht="11.25" customHeight="1" x14ac:dyDescent="0.25">
      <c r="A492" s="3" t="s">
        <v>21</v>
      </c>
      <c r="B492" s="3" t="s">
        <v>33</v>
      </c>
      <c r="C492" s="3" t="s">
        <v>23</v>
      </c>
      <c r="D492" s="3" t="s">
        <v>34</v>
      </c>
      <c r="E492" s="3" t="s">
        <v>25</v>
      </c>
      <c r="F492" s="3" t="s">
        <v>25</v>
      </c>
      <c r="G492" s="3" t="s">
        <v>25</v>
      </c>
      <c r="H492" s="3" t="s">
        <v>25</v>
      </c>
      <c r="I492" s="6">
        <v>44501</v>
      </c>
      <c r="J492" s="4">
        <v>0</v>
      </c>
      <c r="K492" s="4">
        <v>0</v>
      </c>
      <c r="L492" s="4">
        <v>40.781999999999996</v>
      </c>
      <c r="M492" s="4">
        <v>40.781999999999996</v>
      </c>
      <c r="N492" s="4">
        <v>40.781999999999996</v>
      </c>
      <c r="O492" s="4">
        <v>40.781999999999996</v>
      </c>
      <c r="P492" s="4">
        <v>32</v>
      </c>
      <c r="Q492" s="3" t="s">
        <v>26</v>
      </c>
      <c r="R492" s="3">
        <v>0</v>
      </c>
      <c r="S492" s="3" t="s">
        <v>241</v>
      </c>
      <c r="T492" s="3" t="s">
        <v>366</v>
      </c>
      <c r="U492" s="3">
        <v>0</v>
      </c>
      <c r="V492" s="3">
        <v>35</v>
      </c>
      <c r="W492" s="3">
        <v>83</v>
      </c>
    </row>
    <row r="493" spans="1:23" ht="11.25" customHeight="1" x14ac:dyDescent="0.25">
      <c r="A493" s="3" t="s">
        <v>28</v>
      </c>
      <c r="B493" s="3" t="s">
        <v>33</v>
      </c>
      <c r="C493" s="3" t="s">
        <v>23</v>
      </c>
      <c r="D493" s="3" t="s">
        <v>34</v>
      </c>
      <c r="E493" s="3" t="s">
        <v>25</v>
      </c>
      <c r="F493" s="3" t="s">
        <v>25</v>
      </c>
      <c r="G493" s="3" t="s">
        <v>25</v>
      </c>
      <c r="H493" s="3" t="s">
        <v>25</v>
      </c>
      <c r="I493" s="6">
        <v>44501</v>
      </c>
      <c r="J493" s="4">
        <v>0</v>
      </c>
      <c r="K493" s="4">
        <v>0</v>
      </c>
      <c r="L493" s="4">
        <v>6.6550000000000002</v>
      </c>
      <c r="M493" s="4">
        <v>6.6550000000000002</v>
      </c>
      <c r="N493" s="4">
        <v>6.6550000000000002</v>
      </c>
      <c r="O493" s="4">
        <v>6.6550000000000002</v>
      </c>
      <c r="P493" s="4">
        <v>4</v>
      </c>
      <c r="Q493" s="3" t="s">
        <v>26</v>
      </c>
      <c r="R493" s="3">
        <v>0</v>
      </c>
      <c r="S493" s="3" t="s">
        <v>241</v>
      </c>
      <c r="T493" s="3" t="s">
        <v>366</v>
      </c>
      <c r="U493" s="3">
        <v>0</v>
      </c>
      <c r="V493" s="3">
        <v>35</v>
      </c>
      <c r="W493" s="3">
        <v>83</v>
      </c>
    </row>
    <row r="494" spans="1:23" ht="11.25" customHeight="1" x14ac:dyDescent="0.25">
      <c r="A494" s="3" t="s">
        <v>21</v>
      </c>
      <c r="B494" s="3" t="s">
        <v>33</v>
      </c>
      <c r="C494" s="3" t="s">
        <v>23</v>
      </c>
      <c r="D494" s="3" t="s">
        <v>34</v>
      </c>
      <c r="E494" s="3" t="s">
        <v>25</v>
      </c>
      <c r="F494" s="3" t="s">
        <v>25</v>
      </c>
      <c r="G494" s="3" t="s">
        <v>25</v>
      </c>
      <c r="H494" s="3" t="s">
        <v>25</v>
      </c>
      <c r="I494" s="6">
        <v>44531</v>
      </c>
      <c r="J494" s="4">
        <v>0</v>
      </c>
      <c r="K494" s="4">
        <v>0</v>
      </c>
      <c r="L494" s="4">
        <v>42.627000000000002</v>
      </c>
      <c r="M494" s="4">
        <v>42.627000000000002</v>
      </c>
      <c r="N494" s="4">
        <v>42.627000000000002</v>
      </c>
      <c r="O494" s="4">
        <v>42.627000000000002</v>
      </c>
      <c r="P494" s="4">
        <v>32</v>
      </c>
      <c r="Q494" s="3" t="s">
        <v>26</v>
      </c>
      <c r="R494" s="3">
        <v>0</v>
      </c>
      <c r="S494" s="3" t="s">
        <v>242</v>
      </c>
      <c r="T494" s="3" t="s">
        <v>367</v>
      </c>
      <c r="U494" s="3">
        <v>0</v>
      </c>
      <c r="V494" s="3">
        <v>35</v>
      </c>
      <c r="W494" s="3">
        <v>83</v>
      </c>
    </row>
    <row r="495" spans="1:23" ht="11.25" customHeight="1" x14ac:dyDescent="0.25">
      <c r="A495" s="3" t="s">
        <v>28</v>
      </c>
      <c r="B495" s="3" t="s">
        <v>33</v>
      </c>
      <c r="C495" s="3" t="s">
        <v>23</v>
      </c>
      <c r="D495" s="3" t="s">
        <v>34</v>
      </c>
      <c r="E495" s="3" t="s">
        <v>25</v>
      </c>
      <c r="F495" s="3" t="s">
        <v>25</v>
      </c>
      <c r="G495" s="3" t="s">
        <v>25</v>
      </c>
      <c r="H495" s="3" t="s">
        <v>25</v>
      </c>
      <c r="I495" s="6">
        <v>44531</v>
      </c>
      <c r="J495" s="4">
        <v>0</v>
      </c>
      <c r="K495" s="4">
        <v>0</v>
      </c>
      <c r="L495" s="4">
        <v>4.0679999999999996</v>
      </c>
      <c r="M495" s="4">
        <v>4.0679999999999996</v>
      </c>
      <c r="N495" s="4">
        <v>4.0679999999999996</v>
      </c>
      <c r="O495" s="4">
        <v>4.0679999999999996</v>
      </c>
      <c r="P495" s="4">
        <v>4</v>
      </c>
      <c r="Q495" s="3" t="s">
        <v>26</v>
      </c>
      <c r="R495" s="3">
        <v>0</v>
      </c>
      <c r="S495" s="3" t="s">
        <v>242</v>
      </c>
      <c r="T495" s="3" t="s">
        <v>367</v>
      </c>
      <c r="U495" s="3">
        <v>0</v>
      </c>
      <c r="V495" s="3">
        <v>35</v>
      </c>
      <c r="W495" s="3">
        <v>83</v>
      </c>
    </row>
    <row r="496" spans="1:23" ht="11.25" customHeight="1" x14ac:dyDescent="0.25">
      <c r="A496" s="3" t="s">
        <v>21</v>
      </c>
      <c r="B496" s="3" t="s">
        <v>33</v>
      </c>
      <c r="C496" s="3" t="s">
        <v>23</v>
      </c>
      <c r="D496" s="3" t="s">
        <v>34</v>
      </c>
      <c r="E496" s="3" t="s">
        <v>25</v>
      </c>
      <c r="F496" s="3" t="s">
        <v>25</v>
      </c>
      <c r="G496" s="3" t="s">
        <v>25</v>
      </c>
      <c r="H496" s="3" t="s">
        <v>25</v>
      </c>
      <c r="I496" s="6">
        <v>44562</v>
      </c>
      <c r="J496" s="4">
        <v>0</v>
      </c>
      <c r="K496" s="4">
        <v>0</v>
      </c>
      <c r="L496" s="4">
        <v>33.823999999999998</v>
      </c>
      <c r="M496" s="4">
        <v>33.823999999999998</v>
      </c>
      <c r="N496" s="4">
        <v>33.823999999999998</v>
      </c>
      <c r="O496" s="4">
        <v>33.823999999999998</v>
      </c>
      <c r="P496" s="4">
        <v>32</v>
      </c>
      <c r="Q496" s="3" t="s">
        <v>26</v>
      </c>
      <c r="R496" s="3">
        <v>0</v>
      </c>
      <c r="S496" s="3" t="s">
        <v>243</v>
      </c>
      <c r="T496" s="3" t="s">
        <v>368</v>
      </c>
      <c r="U496" s="3">
        <v>0</v>
      </c>
      <c r="V496" s="3">
        <v>35</v>
      </c>
      <c r="W496" s="3">
        <v>83</v>
      </c>
    </row>
    <row r="497" spans="1:23" ht="11.25" customHeight="1" x14ac:dyDescent="0.25">
      <c r="A497" s="3" t="s">
        <v>28</v>
      </c>
      <c r="B497" s="3" t="s">
        <v>33</v>
      </c>
      <c r="C497" s="3" t="s">
        <v>23</v>
      </c>
      <c r="D497" s="3" t="s">
        <v>34</v>
      </c>
      <c r="E497" s="3" t="s">
        <v>25</v>
      </c>
      <c r="F497" s="3" t="s">
        <v>25</v>
      </c>
      <c r="G497" s="3" t="s">
        <v>25</v>
      </c>
      <c r="H497" s="3" t="s">
        <v>25</v>
      </c>
      <c r="I497" s="6">
        <v>44562</v>
      </c>
      <c r="J497" s="4">
        <v>0</v>
      </c>
      <c r="K497" s="4">
        <v>0</v>
      </c>
      <c r="L497" s="4">
        <v>4.0039999999999996</v>
      </c>
      <c r="M497" s="4">
        <v>4.0039999999999996</v>
      </c>
      <c r="N497" s="4">
        <v>4.0039999999999996</v>
      </c>
      <c r="O497" s="4">
        <v>4.0039999999999996</v>
      </c>
      <c r="P497" s="4">
        <v>4</v>
      </c>
      <c r="Q497" s="3" t="s">
        <v>26</v>
      </c>
      <c r="R497" s="3">
        <v>0</v>
      </c>
      <c r="S497" s="3" t="s">
        <v>243</v>
      </c>
      <c r="T497" s="3" t="s">
        <v>368</v>
      </c>
      <c r="U497" s="3">
        <v>0</v>
      </c>
      <c r="V497" s="3">
        <v>35</v>
      </c>
      <c r="W497" s="3">
        <v>83</v>
      </c>
    </row>
    <row r="498" spans="1:23" ht="11.25" customHeight="1" x14ac:dyDescent="0.25">
      <c r="A498" s="3" t="s">
        <v>21</v>
      </c>
      <c r="B498" s="3" t="s">
        <v>33</v>
      </c>
      <c r="C498" s="3" t="s">
        <v>23</v>
      </c>
      <c r="D498" s="3" t="s">
        <v>34</v>
      </c>
      <c r="E498" s="3" t="s">
        <v>25</v>
      </c>
      <c r="F498" s="3" t="s">
        <v>25</v>
      </c>
      <c r="G498" s="3" t="s">
        <v>25</v>
      </c>
      <c r="H498" s="3" t="s">
        <v>25</v>
      </c>
      <c r="I498" s="6">
        <v>44593</v>
      </c>
      <c r="J498" s="4">
        <v>0</v>
      </c>
      <c r="K498" s="4">
        <v>0</v>
      </c>
      <c r="L498" s="4">
        <v>45.145000000000003</v>
      </c>
      <c r="M498" s="4">
        <v>45.145000000000003</v>
      </c>
      <c r="N498" s="4">
        <v>45.145000000000003</v>
      </c>
      <c r="O498" s="4">
        <v>45.145000000000003</v>
      </c>
      <c r="P498" s="4">
        <v>33</v>
      </c>
      <c r="Q498" s="3" t="s">
        <v>26</v>
      </c>
      <c r="R498" s="3">
        <v>0</v>
      </c>
      <c r="S498" s="3" t="s">
        <v>244</v>
      </c>
      <c r="T498" s="3" t="s">
        <v>369</v>
      </c>
      <c r="U498" s="3">
        <v>0</v>
      </c>
      <c r="V498" s="3">
        <v>35</v>
      </c>
      <c r="W498" s="3">
        <v>83</v>
      </c>
    </row>
    <row r="499" spans="1:23" ht="11.25" customHeight="1" x14ac:dyDescent="0.25">
      <c r="A499" s="3" t="s">
        <v>28</v>
      </c>
      <c r="B499" s="3" t="s">
        <v>33</v>
      </c>
      <c r="C499" s="3" t="s">
        <v>23</v>
      </c>
      <c r="D499" s="3" t="s">
        <v>34</v>
      </c>
      <c r="E499" s="3" t="s">
        <v>25</v>
      </c>
      <c r="F499" s="3" t="s">
        <v>25</v>
      </c>
      <c r="G499" s="3" t="s">
        <v>25</v>
      </c>
      <c r="H499" s="3" t="s">
        <v>25</v>
      </c>
      <c r="I499" s="6">
        <v>44593</v>
      </c>
      <c r="J499" s="4">
        <v>0</v>
      </c>
      <c r="K499" s="4">
        <v>0</v>
      </c>
      <c r="L499" s="4">
        <v>5.4770000000000003</v>
      </c>
      <c r="M499" s="4">
        <v>5.4770000000000003</v>
      </c>
      <c r="N499" s="4">
        <v>5.4770000000000003</v>
      </c>
      <c r="O499" s="4">
        <v>5.4770000000000003</v>
      </c>
      <c r="P499" s="4">
        <v>4</v>
      </c>
      <c r="Q499" s="3" t="s">
        <v>26</v>
      </c>
      <c r="R499" s="3">
        <v>0</v>
      </c>
      <c r="S499" s="3" t="s">
        <v>244</v>
      </c>
      <c r="T499" s="3" t="s">
        <v>369</v>
      </c>
      <c r="U499" s="3">
        <v>0</v>
      </c>
      <c r="V499" s="3">
        <v>35</v>
      </c>
      <c r="W499" s="3">
        <v>83</v>
      </c>
    </row>
    <row r="500" spans="1:23" ht="11.25" customHeight="1" x14ac:dyDescent="0.25">
      <c r="A500" s="3" t="s">
        <v>21</v>
      </c>
      <c r="B500" s="3" t="s">
        <v>33</v>
      </c>
      <c r="C500" s="3" t="s">
        <v>23</v>
      </c>
      <c r="D500" s="3" t="s">
        <v>34</v>
      </c>
      <c r="E500" s="3" t="s">
        <v>25</v>
      </c>
      <c r="F500" s="3" t="s">
        <v>25</v>
      </c>
      <c r="G500" s="3" t="s">
        <v>25</v>
      </c>
      <c r="H500" s="3" t="s">
        <v>25</v>
      </c>
      <c r="I500" s="6">
        <v>44621</v>
      </c>
      <c r="J500" s="4">
        <v>0</v>
      </c>
      <c r="K500" s="4">
        <v>0</v>
      </c>
      <c r="L500" s="4">
        <v>37.448</v>
      </c>
      <c r="M500" s="4">
        <v>37.448</v>
      </c>
      <c r="N500" s="4">
        <v>37.448</v>
      </c>
      <c r="O500" s="4">
        <v>37.448</v>
      </c>
      <c r="P500" s="4">
        <v>33</v>
      </c>
      <c r="Q500" s="3" t="s">
        <v>26</v>
      </c>
      <c r="R500" s="3">
        <v>0</v>
      </c>
      <c r="S500" s="3" t="s">
        <v>245</v>
      </c>
      <c r="T500" s="3" t="s">
        <v>370</v>
      </c>
      <c r="U500" s="3">
        <v>0</v>
      </c>
      <c r="V500" s="3">
        <v>35</v>
      </c>
      <c r="W500" s="3">
        <v>83</v>
      </c>
    </row>
    <row r="501" spans="1:23" ht="11.25" customHeight="1" x14ac:dyDescent="0.25">
      <c r="A501" s="3" t="s">
        <v>28</v>
      </c>
      <c r="B501" s="3" t="s">
        <v>33</v>
      </c>
      <c r="C501" s="3" t="s">
        <v>23</v>
      </c>
      <c r="D501" s="3" t="s">
        <v>34</v>
      </c>
      <c r="E501" s="3" t="s">
        <v>25</v>
      </c>
      <c r="F501" s="3" t="s">
        <v>25</v>
      </c>
      <c r="G501" s="3" t="s">
        <v>25</v>
      </c>
      <c r="H501" s="3" t="s">
        <v>25</v>
      </c>
      <c r="I501" s="6">
        <v>44621</v>
      </c>
      <c r="J501" s="4">
        <v>0</v>
      </c>
      <c r="K501" s="4">
        <v>0</v>
      </c>
      <c r="L501" s="4">
        <v>4.4020000000000001</v>
      </c>
      <c r="M501" s="4">
        <v>4.4020000000000001</v>
      </c>
      <c r="N501" s="4">
        <v>4.4020000000000001</v>
      </c>
      <c r="O501" s="4">
        <v>4.4020000000000001</v>
      </c>
      <c r="P501" s="4">
        <v>4</v>
      </c>
      <c r="Q501" s="3" t="s">
        <v>26</v>
      </c>
      <c r="R501" s="3">
        <v>0</v>
      </c>
      <c r="S501" s="3" t="s">
        <v>245</v>
      </c>
      <c r="T501" s="3" t="s">
        <v>370</v>
      </c>
      <c r="U501" s="3">
        <v>0</v>
      </c>
      <c r="V501" s="3">
        <v>35</v>
      </c>
      <c r="W501" s="3">
        <v>83</v>
      </c>
    </row>
    <row r="502" spans="1:23" ht="11.25" customHeight="1" x14ac:dyDescent="0.25">
      <c r="A502" s="3" t="s">
        <v>21</v>
      </c>
      <c r="B502" s="3" t="s">
        <v>33</v>
      </c>
      <c r="C502" s="3" t="s">
        <v>23</v>
      </c>
      <c r="D502" s="3" t="s">
        <v>34</v>
      </c>
      <c r="E502" s="3" t="s">
        <v>25</v>
      </c>
      <c r="F502" s="3" t="s">
        <v>25</v>
      </c>
      <c r="G502" s="3" t="s">
        <v>25</v>
      </c>
      <c r="H502" s="3" t="s">
        <v>25</v>
      </c>
      <c r="I502" s="6">
        <v>44652</v>
      </c>
      <c r="J502" s="4">
        <v>0</v>
      </c>
      <c r="K502" s="4">
        <v>0</v>
      </c>
      <c r="L502" s="4">
        <v>40.308</v>
      </c>
      <c r="M502" s="4">
        <v>40.308</v>
      </c>
      <c r="N502" s="4">
        <v>40.308</v>
      </c>
      <c r="O502" s="4">
        <v>40.308</v>
      </c>
      <c r="P502" s="4">
        <v>33</v>
      </c>
      <c r="Q502" s="3" t="s">
        <v>26</v>
      </c>
      <c r="R502" s="3">
        <v>0</v>
      </c>
      <c r="S502" s="3" t="s">
        <v>246</v>
      </c>
      <c r="T502" s="3" t="s">
        <v>371</v>
      </c>
      <c r="U502" s="3">
        <v>0</v>
      </c>
      <c r="V502" s="3">
        <v>35</v>
      </c>
      <c r="W502" s="3">
        <v>83</v>
      </c>
    </row>
    <row r="503" spans="1:23" ht="11.25" customHeight="1" x14ac:dyDescent="0.25">
      <c r="A503" s="3" t="s">
        <v>28</v>
      </c>
      <c r="B503" s="3" t="s">
        <v>33</v>
      </c>
      <c r="C503" s="3" t="s">
        <v>23</v>
      </c>
      <c r="D503" s="3" t="s">
        <v>34</v>
      </c>
      <c r="E503" s="3" t="s">
        <v>25</v>
      </c>
      <c r="F503" s="3" t="s">
        <v>25</v>
      </c>
      <c r="G503" s="3" t="s">
        <v>25</v>
      </c>
      <c r="H503" s="3" t="s">
        <v>25</v>
      </c>
      <c r="I503" s="6">
        <v>44652</v>
      </c>
      <c r="J503" s="4">
        <v>0</v>
      </c>
      <c r="K503" s="4">
        <v>0</v>
      </c>
      <c r="L503" s="4">
        <v>12.067</v>
      </c>
      <c r="M503" s="4">
        <v>12.067</v>
      </c>
      <c r="N503" s="4">
        <v>12.067</v>
      </c>
      <c r="O503" s="4">
        <v>12.067</v>
      </c>
      <c r="P503" s="4">
        <v>4</v>
      </c>
      <c r="Q503" s="3" t="s">
        <v>26</v>
      </c>
      <c r="R503" s="3">
        <v>0</v>
      </c>
      <c r="S503" s="3" t="s">
        <v>246</v>
      </c>
      <c r="T503" s="3" t="s">
        <v>371</v>
      </c>
      <c r="U503" s="3">
        <v>0</v>
      </c>
      <c r="V503" s="3">
        <v>35</v>
      </c>
      <c r="W503" s="3">
        <v>83</v>
      </c>
    </row>
    <row r="504" spans="1:23" ht="11.25" customHeight="1" x14ac:dyDescent="0.25">
      <c r="A504" s="3" t="s">
        <v>28</v>
      </c>
      <c r="B504" s="3" t="s">
        <v>33</v>
      </c>
      <c r="C504" s="3" t="s">
        <v>23</v>
      </c>
      <c r="D504" s="3" t="s">
        <v>34</v>
      </c>
      <c r="E504" s="3" t="s">
        <v>25</v>
      </c>
      <c r="F504" s="3" t="s">
        <v>25</v>
      </c>
      <c r="G504" s="3" t="s">
        <v>25</v>
      </c>
      <c r="H504" s="3" t="s">
        <v>25</v>
      </c>
      <c r="I504" s="6">
        <v>44652</v>
      </c>
      <c r="J504" s="4">
        <v>0</v>
      </c>
      <c r="K504" s="4">
        <v>0</v>
      </c>
      <c r="L504" s="4">
        <v>3.1320000000000001</v>
      </c>
      <c r="M504" s="4">
        <v>3.1320000000000001</v>
      </c>
      <c r="N504" s="4">
        <v>3.1320000000000001</v>
      </c>
      <c r="O504" s="4">
        <v>3.1320000000000001</v>
      </c>
      <c r="P504" s="4">
        <v>4</v>
      </c>
      <c r="Q504" s="3" t="s">
        <v>26</v>
      </c>
      <c r="R504" s="3">
        <v>0</v>
      </c>
      <c r="S504" s="3" t="s">
        <v>246</v>
      </c>
      <c r="T504" s="3" t="s">
        <v>371</v>
      </c>
      <c r="U504" s="3">
        <v>0</v>
      </c>
      <c r="V504" s="3">
        <v>35</v>
      </c>
      <c r="W504" s="3">
        <v>83</v>
      </c>
    </row>
    <row r="505" spans="1:23" ht="11.25" customHeight="1" x14ac:dyDescent="0.25">
      <c r="A505" s="3" t="s">
        <v>21</v>
      </c>
      <c r="B505" s="3" t="s">
        <v>33</v>
      </c>
      <c r="C505" s="3" t="s">
        <v>23</v>
      </c>
      <c r="D505" s="3" t="s">
        <v>34</v>
      </c>
      <c r="E505" s="3" t="s">
        <v>25</v>
      </c>
      <c r="F505" s="3" t="s">
        <v>25</v>
      </c>
      <c r="G505" s="3" t="s">
        <v>25</v>
      </c>
      <c r="H505" s="3" t="s">
        <v>25</v>
      </c>
      <c r="I505" s="6">
        <v>44682</v>
      </c>
      <c r="J505" s="4">
        <v>0</v>
      </c>
      <c r="K505" s="4">
        <v>0</v>
      </c>
      <c r="L505" s="4">
        <v>35.409999999999997</v>
      </c>
      <c r="M505" s="4">
        <v>35.409999999999997</v>
      </c>
      <c r="N505" s="4">
        <v>35.409999999999997</v>
      </c>
      <c r="O505" s="4">
        <v>35.409999999999997</v>
      </c>
      <c r="P505" s="4">
        <v>31</v>
      </c>
      <c r="Q505" s="3" t="s">
        <v>26</v>
      </c>
      <c r="R505" s="3">
        <v>0</v>
      </c>
      <c r="S505" s="3" t="s">
        <v>247</v>
      </c>
      <c r="T505" s="3" t="s">
        <v>372</v>
      </c>
      <c r="U505" s="3">
        <v>0</v>
      </c>
      <c r="V505" s="3">
        <v>35</v>
      </c>
      <c r="W505" s="3">
        <v>83</v>
      </c>
    </row>
    <row r="506" spans="1:23" ht="11.25" customHeight="1" x14ac:dyDescent="0.25">
      <c r="A506" s="3" t="s">
        <v>28</v>
      </c>
      <c r="B506" s="3" t="s">
        <v>33</v>
      </c>
      <c r="C506" s="3" t="s">
        <v>23</v>
      </c>
      <c r="D506" s="3" t="s">
        <v>34</v>
      </c>
      <c r="E506" s="3" t="s">
        <v>25</v>
      </c>
      <c r="F506" s="3" t="s">
        <v>25</v>
      </c>
      <c r="G506" s="3" t="s">
        <v>25</v>
      </c>
      <c r="H506" s="3" t="s">
        <v>25</v>
      </c>
      <c r="I506" s="6">
        <v>44682</v>
      </c>
      <c r="J506" s="4">
        <v>0</v>
      </c>
      <c r="K506" s="4">
        <v>0</v>
      </c>
      <c r="L506" s="4">
        <v>10.39</v>
      </c>
      <c r="M506" s="4">
        <v>10.39</v>
      </c>
      <c r="N506" s="4">
        <v>10.39</v>
      </c>
      <c r="O506" s="4">
        <v>10.39</v>
      </c>
      <c r="P506" s="4">
        <v>5</v>
      </c>
      <c r="Q506" s="3" t="s">
        <v>26</v>
      </c>
      <c r="R506" s="3">
        <v>0</v>
      </c>
      <c r="S506" s="3" t="s">
        <v>247</v>
      </c>
      <c r="T506" s="3" t="s">
        <v>372</v>
      </c>
      <c r="U506" s="3">
        <v>0</v>
      </c>
      <c r="V506" s="3">
        <v>35</v>
      </c>
      <c r="W506" s="3">
        <v>83</v>
      </c>
    </row>
    <row r="507" spans="1:23" ht="11.25" customHeight="1" x14ac:dyDescent="0.25">
      <c r="A507" s="3" t="s">
        <v>21</v>
      </c>
      <c r="B507" s="3" t="s">
        <v>33</v>
      </c>
      <c r="C507" s="3" t="s">
        <v>23</v>
      </c>
      <c r="D507" s="3" t="s">
        <v>34</v>
      </c>
      <c r="E507" s="3" t="s">
        <v>25</v>
      </c>
      <c r="F507" s="3" t="s">
        <v>25</v>
      </c>
      <c r="G507" s="3" t="s">
        <v>25</v>
      </c>
      <c r="H507" s="3" t="s">
        <v>25</v>
      </c>
      <c r="I507" s="6">
        <v>44713</v>
      </c>
      <c r="J507" s="4">
        <v>0</v>
      </c>
      <c r="K507" s="4">
        <v>0</v>
      </c>
      <c r="L507" s="4">
        <v>38.363</v>
      </c>
      <c r="M507" s="4">
        <v>38.363</v>
      </c>
      <c r="N507" s="4">
        <v>38.363</v>
      </c>
      <c r="O507" s="4">
        <v>38.363</v>
      </c>
      <c r="P507" s="4">
        <v>31</v>
      </c>
      <c r="Q507" s="3" t="s">
        <v>26</v>
      </c>
      <c r="R507" s="3">
        <v>0</v>
      </c>
      <c r="S507" s="3" t="s">
        <v>248</v>
      </c>
      <c r="T507" s="3" t="s">
        <v>373</v>
      </c>
      <c r="U507" s="3">
        <v>0</v>
      </c>
      <c r="V507" s="3">
        <v>35</v>
      </c>
      <c r="W507" s="3">
        <v>83</v>
      </c>
    </row>
    <row r="508" spans="1:23" ht="11.25" customHeight="1" x14ac:dyDescent="0.25">
      <c r="A508" s="3" t="s">
        <v>28</v>
      </c>
      <c r="B508" s="3" t="s">
        <v>33</v>
      </c>
      <c r="C508" s="3" t="s">
        <v>23</v>
      </c>
      <c r="D508" s="3" t="s">
        <v>34</v>
      </c>
      <c r="E508" s="3" t="s">
        <v>25</v>
      </c>
      <c r="F508" s="3" t="s">
        <v>25</v>
      </c>
      <c r="G508" s="3" t="s">
        <v>25</v>
      </c>
      <c r="H508" s="3" t="s">
        <v>25</v>
      </c>
      <c r="I508" s="6">
        <v>44713</v>
      </c>
      <c r="J508" s="4">
        <v>0</v>
      </c>
      <c r="K508" s="4">
        <v>0</v>
      </c>
      <c r="L508" s="4">
        <v>12.087</v>
      </c>
      <c r="M508" s="4">
        <v>12.087</v>
      </c>
      <c r="N508" s="4">
        <v>12.087</v>
      </c>
      <c r="O508" s="4">
        <v>12.087</v>
      </c>
      <c r="P508" s="4">
        <v>5</v>
      </c>
      <c r="Q508" s="3" t="s">
        <v>26</v>
      </c>
      <c r="R508" s="3">
        <v>0</v>
      </c>
      <c r="S508" s="3" t="s">
        <v>248</v>
      </c>
      <c r="T508" s="3" t="s">
        <v>373</v>
      </c>
      <c r="U508" s="3">
        <v>0</v>
      </c>
      <c r="V508" s="3">
        <v>35</v>
      </c>
      <c r="W508" s="3">
        <v>83</v>
      </c>
    </row>
    <row r="509" spans="1:23" ht="11.25" customHeight="1" x14ac:dyDescent="0.25">
      <c r="A509" s="3" t="s">
        <v>21</v>
      </c>
      <c r="B509" s="3" t="s">
        <v>33</v>
      </c>
      <c r="C509" s="3" t="s">
        <v>23</v>
      </c>
      <c r="D509" s="3" t="s">
        <v>43</v>
      </c>
      <c r="E509" s="3" t="s">
        <v>25</v>
      </c>
      <c r="F509" s="3" t="s">
        <v>25</v>
      </c>
      <c r="G509" s="3" t="s">
        <v>25</v>
      </c>
      <c r="H509" s="3" t="s">
        <v>25</v>
      </c>
      <c r="I509" s="6">
        <v>44378</v>
      </c>
      <c r="J509" s="4">
        <v>0</v>
      </c>
      <c r="K509" s="4">
        <v>0</v>
      </c>
      <c r="L509" s="4">
        <v>66.34</v>
      </c>
      <c r="M509" s="4">
        <v>66.34</v>
      </c>
      <c r="N509" s="4">
        <v>66.34</v>
      </c>
      <c r="O509" s="4">
        <v>66.34</v>
      </c>
      <c r="P509" s="4">
        <v>107</v>
      </c>
      <c r="Q509" s="3" t="s">
        <v>26</v>
      </c>
      <c r="R509" s="3">
        <v>0</v>
      </c>
      <c r="S509" s="3" t="s">
        <v>237</v>
      </c>
      <c r="T509" s="3" t="s">
        <v>362</v>
      </c>
      <c r="U509" s="3">
        <v>0</v>
      </c>
      <c r="V509" s="3">
        <v>35</v>
      </c>
      <c r="W509" s="3">
        <v>83</v>
      </c>
    </row>
    <row r="510" spans="1:23" ht="11.25" customHeight="1" x14ac:dyDescent="0.25">
      <c r="A510" s="3" t="s">
        <v>21</v>
      </c>
      <c r="B510" s="3" t="s">
        <v>33</v>
      </c>
      <c r="C510" s="3" t="s">
        <v>23</v>
      </c>
      <c r="D510" s="3" t="s">
        <v>43</v>
      </c>
      <c r="E510" s="3" t="s">
        <v>25</v>
      </c>
      <c r="F510" s="3" t="s">
        <v>25</v>
      </c>
      <c r="G510" s="3" t="s">
        <v>25</v>
      </c>
      <c r="H510" s="3" t="s">
        <v>25</v>
      </c>
      <c r="I510" s="6">
        <v>44409</v>
      </c>
      <c r="J510" s="4">
        <v>0</v>
      </c>
      <c r="K510" s="4">
        <v>0</v>
      </c>
      <c r="L510" s="4">
        <v>59.128999999999998</v>
      </c>
      <c r="M510" s="4">
        <v>59.128999999999998</v>
      </c>
      <c r="N510" s="4">
        <v>59.128999999999998</v>
      </c>
      <c r="O510" s="4">
        <v>59.128999999999998</v>
      </c>
      <c r="P510" s="4">
        <v>107</v>
      </c>
      <c r="Q510" s="3" t="s">
        <v>26</v>
      </c>
      <c r="R510" s="3">
        <v>0</v>
      </c>
      <c r="S510" s="3" t="s">
        <v>238</v>
      </c>
      <c r="T510" s="3" t="s">
        <v>363</v>
      </c>
      <c r="U510" s="3">
        <v>0</v>
      </c>
      <c r="V510" s="3">
        <v>35</v>
      </c>
      <c r="W510" s="3">
        <v>83</v>
      </c>
    </row>
    <row r="511" spans="1:23" ht="11.25" customHeight="1" x14ac:dyDescent="0.25">
      <c r="A511" s="3" t="s">
        <v>21</v>
      </c>
      <c r="B511" s="3" t="s">
        <v>33</v>
      </c>
      <c r="C511" s="3" t="s">
        <v>23</v>
      </c>
      <c r="D511" s="3" t="s">
        <v>43</v>
      </c>
      <c r="E511" s="3" t="s">
        <v>25</v>
      </c>
      <c r="F511" s="3" t="s">
        <v>25</v>
      </c>
      <c r="G511" s="3" t="s">
        <v>25</v>
      </c>
      <c r="H511" s="3" t="s">
        <v>25</v>
      </c>
      <c r="I511" s="6">
        <v>44440</v>
      </c>
      <c r="J511" s="4">
        <v>0</v>
      </c>
      <c r="K511" s="4">
        <v>0</v>
      </c>
      <c r="L511" s="4">
        <v>52.673999999999999</v>
      </c>
      <c r="M511" s="4">
        <v>52.673999999999999</v>
      </c>
      <c r="N511" s="4">
        <v>52.673999999999999</v>
      </c>
      <c r="O511" s="4">
        <v>52.673999999999999</v>
      </c>
      <c r="P511" s="4">
        <v>107</v>
      </c>
      <c r="Q511" s="3" t="s">
        <v>26</v>
      </c>
      <c r="R511" s="3">
        <v>0</v>
      </c>
      <c r="S511" s="3" t="s">
        <v>239</v>
      </c>
      <c r="T511" s="3" t="s">
        <v>364</v>
      </c>
      <c r="U511" s="3">
        <v>0</v>
      </c>
      <c r="V511" s="3">
        <v>35</v>
      </c>
      <c r="W511" s="3">
        <v>83</v>
      </c>
    </row>
    <row r="512" spans="1:23" ht="11.25" customHeight="1" x14ac:dyDescent="0.25">
      <c r="A512" s="3" t="s">
        <v>21</v>
      </c>
      <c r="B512" s="3" t="s">
        <v>33</v>
      </c>
      <c r="C512" s="3" t="s">
        <v>23</v>
      </c>
      <c r="D512" s="3" t="s">
        <v>43</v>
      </c>
      <c r="E512" s="3" t="s">
        <v>25</v>
      </c>
      <c r="F512" s="3" t="s">
        <v>25</v>
      </c>
      <c r="G512" s="3" t="s">
        <v>25</v>
      </c>
      <c r="H512" s="3" t="s">
        <v>25</v>
      </c>
      <c r="I512" s="6">
        <v>44470</v>
      </c>
      <c r="J512" s="4">
        <v>0</v>
      </c>
      <c r="K512" s="4">
        <v>0</v>
      </c>
      <c r="L512" s="4">
        <v>51.392000000000003</v>
      </c>
      <c r="M512" s="4">
        <v>51.392000000000003</v>
      </c>
      <c r="N512" s="4">
        <v>51.392000000000003</v>
      </c>
      <c r="O512" s="4">
        <v>51.392000000000003</v>
      </c>
      <c r="P512" s="4">
        <v>107</v>
      </c>
      <c r="Q512" s="3" t="s">
        <v>26</v>
      </c>
      <c r="R512" s="3">
        <v>0</v>
      </c>
      <c r="S512" s="3" t="s">
        <v>240</v>
      </c>
      <c r="T512" s="3" t="s">
        <v>365</v>
      </c>
      <c r="U512" s="3">
        <v>0</v>
      </c>
      <c r="V512" s="3">
        <v>35</v>
      </c>
      <c r="W512" s="3">
        <v>83</v>
      </c>
    </row>
    <row r="513" spans="1:23" ht="11.25" customHeight="1" x14ac:dyDescent="0.25">
      <c r="A513" s="3" t="s">
        <v>21</v>
      </c>
      <c r="B513" s="3" t="s">
        <v>33</v>
      </c>
      <c r="C513" s="3" t="s">
        <v>23</v>
      </c>
      <c r="D513" s="3" t="s">
        <v>43</v>
      </c>
      <c r="E513" s="3" t="s">
        <v>25</v>
      </c>
      <c r="F513" s="3" t="s">
        <v>25</v>
      </c>
      <c r="G513" s="3" t="s">
        <v>25</v>
      </c>
      <c r="H513" s="3" t="s">
        <v>25</v>
      </c>
      <c r="I513" s="6">
        <v>44501</v>
      </c>
      <c r="J513" s="4">
        <v>0</v>
      </c>
      <c r="K513" s="4">
        <v>0</v>
      </c>
      <c r="L513" s="4">
        <v>46.539000000000001</v>
      </c>
      <c r="M513" s="4">
        <v>46.539000000000001</v>
      </c>
      <c r="N513" s="4">
        <v>46.539000000000001</v>
      </c>
      <c r="O513" s="4">
        <v>46.539000000000001</v>
      </c>
      <c r="P513" s="4">
        <v>107</v>
      </c>
      <c r="Q513" s="3" t="s">
        <v>26</v>
      </c>
      <c r="R513" s="3">
        <v>0</v>
      </c>
      <c r="S513" s="3" t="s">
        <v>241</v>
      </c>
      <c r="T513" s="3" t="s">
        <v>366</v>
      </c>
      <c r="U513" s="3">
        <v>0</v>
      </c>
      <c r="V513" s="3">
        <v>35</v>
      </c>
      <c r="W513" s="3">
        <v>83</v>
      </c>
    </row>
    <row r="514" spans="1:23" ht="11.25" customHeight="1" x14ac:dyDescent="0.25">
      <c r="A514" s="3" t="s">
        <v>21</v>
      </c>
      <c r="B514" s="3" t="s">
        <v>33</v>
      </c>
      <c r="C514" s="3" t="s">
        <v>23</v>
      </c>
      <c r="D514" s="3" t="s">
        <v>43</v>
      </c>
      <c r="E514" s="3" t="s">
        <v>25</v>
      </c>
      <c r="F514" s="3" t="s">
        <v>25</v>
      </c>
      <c r="G514" s="3" t="s">
        <v>25</v>
      </c>
      <c r="H514" s="3" t="s">
        <v>25</v>
      </c>
      <c r="I514" s="6">
        <v>44531</v>
      </c>
      <c r="J514" s="4">
        <v>0</v>
      </c>
      <c r="K514" s="4">
        <v>0</v>
      </c>
      <c r="L514" s="4">
        <v>59.417999999999999</v>
      </c>
      <c r="M514" s="4">
        <v>59.417999999999999</v>
      </c>
      <c r="N514" s="4">
        <v>59.417999999999999</v>
      </c>
      <c r="O514" s="4">
        <v>59.417999999999999</v>
      </c>
      <c r="P514" s="4">
        <v>107</v>
      </c>
      <c r="Q514" s="3" t="s">
        <v>26</v>
      </c>
      <c r="R514" s="3">
        <v>0</v>
      </c>
      <c r="S514" s="3" t="s">
        <v>242</v>
      </c>
      <c r="T514" s="3" t="s">
        <v>367</v>
      </c>
      <c r="U514" s="3">
        <v>0</v>
      </c>
      <c r="V514" s="3">
        <v>35</v>
      </c>
      <c r="W514" s="3">
        <v>83</v>
      </c>
    </row>
    <row r="515" spans="1:23" ht="11.25" customHeight="1" x14ac:dyDescent="0.25">
      <c r="A515" s="3" t="s">
        <v>27</v>
      </c>
      <c r="B515" s="3" t="s">
        <v>33</v>
      </c>
      <c r="C515" s="3" t="s">
        <v>23</v>
      </c>
      <c r="D515" s="3" t="s">
        <v>43</v>
      </c>
      <c r="E515" s="3" t="s">
        <v>25</v>
      </c>
      <c r="F515" s="3" t="s">
        <v>25</v>
      </c>
      <c r="G515" s="3" t="s">
        <v>25</v>
      </c>
      <c r="H515" s="3" t="s">
        <v>25</v>
      </c>
      <c r="I515" s="6">
        <v>44531</v>
      </c>
      <c r="J515" s="4">
        <v>0</v>
      </c>
      <c r="K515" s="4">
        <v>0</v>
      </c>
      <c r="L515" s="4">
        <v>-5.8000000000000003E-2</v>
      </c>
      <c r="M515" s="4">
        <v>-5.8000000000000003E-2</v>
      </c>
      <c r="N515" s="4">
        <v>-5.8000000000000003E-2</v>
      </c>
      <c r="O515" s="4">
        <v>-5.8000000000000003E-2</v>
      </c>
      <c r="P515" s="4">
        <v>0</v>
      </c>
      <c r="Q515" s="3" t="s">
        <v>26</v>
      </c>
      <c r="R515" s="3">
        <v>0</v>
      </c>
      <c r="S515" s="3" t="s">
        <v>242</v>
      </c>
      <c r="T515" s="3" t="s">
        <v>367</v>
      </c>
      <c r="U515" s="3">
        <v>0</v>
      </c>
      <c r="V515" s="3">
        <v>35</v>
      </c>
      <c r="W515" s="3">
        <v>83</v>
      </c>
    </row>
    <row r="516" spans="1:23" ht="11.25" customHeight="1" x14ac:dyDescent="0.25">
      <c r="A516" s="3" t="s">
        <v>21</v>
      </c>
      <c r="B516" s="3" t="s">
        <v>33</v>
      </c>
      <c r="C516" s="3" t="s">
        <v>23</v>
      </c>
      <c r="D516" s="3" t="s">
        <v>43</v>
      </c>
      <c r="E516" s="3" t="s">
        <v>25</v>
      </c>
      <c r="F516" s="3" t="s">
        <v>25</v>
      </c>
      <c r="G516" s="3" t="s">
        <v>25</v>
      </c>
      <c r="H516" s="3" t="s">
        <v>25</v>
      </c>
      <c r="I516" s="6">
        <v>44562</v>
      </c>
      <c r="J516" s="4">
        <v>0</v>
      </c>
      <c r="K516" s="4">
        <v>0</v>
      </c>
      <c r="L516" s="4">
        <v>59</v>
      </c>
      <c r="M516" s="4">
        <v>59</v>
      </c>
      <c r="N516" s="4">
        <v>59</v>
      </c>
      <c r="O516" s="4">
        <v>59</v>
      </c>
      <c r="P516" s="4">
        <v>107</v>
      </c>
      <c r="Q516" s="3" t="s">
        <v>26</v>
      </c>
      <c r="R516" s="3">
        <v>0</v>
      </c>
      <c r="S516" s="3" t="s">
        <v>243</v>
      </c>
      <c r="T516" s="3" t="s">
        <v>368</v>
      </c>
      <c r="U516" s="3">
        <v>0</v>
      </c>
      <c r="V516" s="3">
        <v>35</v>
      </c>
      <c r="W516" s="3">
        <v>83</v>
      </c>
    </row>
    <row r="517" spans="1:23" ht="11.25" customHeight="1" x14ac:dyDescent="0.25">
      <c r="A517" s="3" t="s">
        <v>21</v>
      </c>
      <c r="B517" s="3" t="s">
        <v>33</v>
      </c>
      <c r="C517" s="3" t="s">
        <v>23</v>
      </c>
      <c r="D517" s="3" t="s">
        <v>43</v>
      </c>
      <c r="E517" s="3" t="s">
        <v>25</v>
      </c>
      <c r="F517" s="3" t="s">
        <v>25</v>
      </c>
      <c r="G517" s="3" t="s">
        <v>25</v>
      </c>
      <c r="H517" s="3" t="s">
        <v>25</v>
      </c>
      <c r="I517" s="6">
        <v>44593</v>
      </c>
      <c r="J517" s="4">
        <v>0</v>
      </c>
      <c r="K517" s="4">
        <v>0</v>
      </c>
      <c r="L517" s="4">
        <v>56.345999999999997</v>
      </c>
      <c r="M517" s="4">
        <v>56.345999999999997</v>
      </c>
      <c r="N517" s="4">
        <v>56.345999999999997</v>
      </c>
      <c r="O517" s="4">
        <v>56.345999999999997</v>
      </c>
      <c r="P517" s="4">
        <v>106</v>
      </c>
      <c r="Q517" s="3" t="s">
        <v>26</v>
      </c>
      <c r="R517" s="3">
        <v>0</v>
      </c>
      <c r="S517" s="3" t="s">
        <v>244</v>
      </c>
      <c r="T517" s="3" t="s">
        <v>369</v>
      </c>
      <c r="U517" s="3">
        <v>0</v>
      </c>
      <c r="V517" s="3">
        <v>35</v>
      </c>
      <c r="W517" s="3">
        <v>83</v>
      </c>
    </row>
    <row r="518" spans="1:23" ht="11.25" customHeight="1" x14ac:dyDescent="0.25">
      <c r="A518" s="3" t="s">
        <v>21</v>
      </c>
      <c r="B518" s="3" t="s">
        <v>33</v>
      </c>
      <c r="C518" s="3" t="s">
        <v>23</v>
      </c>
      <c r="D518" s="3" t="s">
        <v>43</v>
      </c>
      <c r="E518" s="3" t="s">
        <v>25</v>
      </c>
      <c r="F518" s="3" t="s">
        <v>25</v>
      </c>
      <c r="G518" s="3" t="s">
        <v>25</v>
      </c>
      <c r="H518" s="3" t="s">
        <v>25</v>
      </c>
      <c r="I518" s="6">
        <v>44621</v>
      </c>
      <c r="J518" s="4">
        <v>0</v>
      </c>
      <c r="K518" s="4">
        <v>0</v>
      </c>
      <c r="L518" s="4">
        <v>60.597999999999999</v>
      </c>
      <c r="M518" s="4">
        <v>60.597999999999999</v>
      </c>
      <c r="N518" s="4">
        <v>60.597999999999999</v>
      </c>
      <c r="O518" s="4">
        <v>60.597999999999999</v>
      </c>
      <c r="P518" s="4">
        <v>108</v>
      </c>
      <c r="Q518" s="3" t="s">
        <v>26</v>
      </c>
      <c r="R518" s="3">
        <v>0</v>
      </c>
      <c r="S518" s="3" t="s">
        <v>245</v>
      </c>
      <c r="T518" s="3" t="s">
        <v>370</v>
      </c>
      <c r="U518" s="3">
        <v>0</v>
      </c>
      <c r="V518" s="3">
        <v>35</v>
      </c>
      <c r="W518" s="3">
        <v>83</v>
      </c>
    </row>
    <row r="519" spans="1:23" ht="11.25" customHeight="1" x14ac:dyDescent="0.25">
      <c r="A519" s="3" t="s">
        <v>21</v>
      </c>
      <c r="B519" s="3" t="s">
        <v>33</v>
      </c>
      <c r="C519" s="3" t="s">
        <v>23</v>
      </c>
      <c r="D519" s="3" t="s">
        <v>43</v>
      </c>
      <c r="E519" s="3" t="s">
        <v>25</v>
      </c>
      <c r="F519" s="3" t="s">
        <v>25</v>
      </c>
      <c r="G519" s="3" t="s">
        <v>25</v>
      </c>
      <c r="H519" s="3" t="s">
        <v>25</v>
      </c>
      <c r="I519" s="6">
        <v>44652</v>
      </c>
      <c r="J519" s="4">
        <v>0</v>
      </c>
      <c r="K519" s="4">
        <v>0</v>
      </c>
      <c r="L519" s="4">
        <v>56.607999999999997</v>
      </c>
      <c r="M519" s="4">
        <v>56.607999999999997</v>
      </c>
      <c r="N519" s="4">
        <v>56.607999999999997</v>
      </c>
      <c r="O519" s="4">
        <v>56.607999999999997</v>
      </c>
      <c r="P519" s="4">
        <v>107</v>
      </c>
      <c r="Q519" s="3" t="s">
        <v>26</v>
      </c>
      <c r="R519" s="3">
        <v>0</v>
      </c>
      <c r="S519" s="3" t="s">
        <v>246</v>
      </c>
      <c r="T519" s="3" t="s">
        <v>371</v>
      </c>
      <c r="U519" s="3">
        <v>0</v>
      </c>
      <c r="V519" s="3">
        <v>35</v>
      </c>
      <c r="W519" s="3">
        <v>83</v>
      </c>
    </row>
    <row r="520" spans="1:23" ht="11.25" customHeight="1" x14ac:dyDescent="0.25">
      <c r="A520" s="3" t="s">
        <v>21</v>
      </c>
      <c r="B520" s="3" t="s">
        <v>33</v>
      </c>
      <c r="C520" s="3" t="s">
        <v>23</v>
      </c>
      <c r="D520" s="3" t="s">
        <v>43</v>
      </c>
      <c r="E520" s="3" t="s">
        <v>25</v>
      </c>
      <c r="F520" s="3" t="s">
        <v>25</v>
      </c>
      <c r="G520" s="3" t="s">
        <v>25</v>
      </c>
      <c r="H520" s="3" t="s">
        <v>25</v>
      </c>
      <c r="I520" s="6">
        <v>44682</v>
      </c>
      <c r="J520" s="4">
        <v>0</v>
      </c>
      <c r="K520" s="4">
        <v>0</v>
      </c>
      <c r="L520" s="4">
        <v>47.890999999999998</v>
      </c>
      <c r="M520" s="4">
        <v>47.890999999999998</v>
      </c>
      <c r="N520" s="4">
        <v>47.890999999999998</v>
      </c>
      <c r="O520" s="4">
        <v>47.890999999999998</v>
      </c>
      <c r="P520" s="4">
        <v>109</v>
      </c>
      <c r="Q520" s="3" t="s">
        <v>26</v>
      </c>
      <c r="R520" s="3">
        <v>0</v>
      </c>
      <c r="S520" s="3" t="s">
        <v>247</v>
      </c>
      <c r="T520" s="3" t="s">
        <v>372</v>
      </c>
      <c r="U520" s="3">
        <v>0</v>
      </c>
      <c r="V520" s="3">
        <v>35</v>
      </c>
      <c r="W520" s="3">
        <v>83</v>
      </c>
    </row>
    <row r="521" spans="1:23" ht="11.25" customHeight="1" x14ac:dyDescent="0.25">
      <c r="A521" s="3" t="s">
        <v>21</v>
      </c>
      <c r="B521" s="3" t="s">
        <v>33</v>
      </c>
      <c r="C521" s="3" t="s">
        <v>23</v>
      </c>
      <c r="D521" s="3" t="s">
        <v>43</v>
      </c>
      <c r="E521" s="3" t="s">
        <v>25</v>
      </c>
      <c r="F521" s="3" t="s">
        <v>25</v>
      </c>
      <c r="G521" s="3" t="s">
        <v>25</v>
      </c>
      <c r="H521" s="3" t="s">
        <v>25</v>
      </c>
      <c r="I521" s="6">
        <v>44713</v>
      </c>
      <c r="J521" s="4">
        <v>0</v>
      </c>
      <c r="K521" s="4">
        <v>0</v>
      </c>
      <c r="L521" s="4">
        <v>63.414999999999999</v>
      </c>
      <c r="M521" s="4">
        <v>63.414999999999999</v>
      </c>
      <c r="N521" s="4">
        <v>63.414999999999999</v>
      </c>
      <c r="O521" s="4">
        <v>63.414999999999999</v>
      </c>
      <c r="P521" s="4">
        <v>109</v>
      </c>
      <c r="Q521" s="3" t="s">
        <v>26</v>
      </c>
      <c r="R521" s="3">
        <v>0</v>
      </c>
      <c r="S521" s="3" t="s">
        <v>248</v>
      </c>
      <c r="T521" s="3" t="s">
        <v>373</v>
      </c>
      <c r="U521" s="3">
        <v>0</v>
      </c>
      <c r="V521" s="3">
        <v>35</v>
      </c>
      <c r="W521" s="3">
        <v>83</v>
      </c>
    </row>
    <row r="522" spans="1:23" ht="11.25" customHeight="1" x14ac:dyDescent="0.25">
      <c r="A522" s="3" t="s">
        <v>21</v>
      </c>
      <c r="B522" s="3" t="s">
        <v>33</v>
      </c>
      <c r="C522" s="3" t="s">
        <v>23</v>
      </c>
      <c r="D522" s="3" t="s">
        <v>47</v>
      </c>
      <c r="E522" s="3" t="s">
        <v>48</v>
      </c>
      <c r="F522" s="3" t="s">
        <v>25</v>
      </c>
      <c r="G522" s="3" t="s">
        <v>25</v>
      </c>
      <c r="H522" s="3" t="s">
        <v>25</v>
      </c>
      <c r="I522" s="6">
        <v>44378</v>
      </c>
      <c r="J522" s="4">
        <v>0</v>
      </c>
      <c r="K522" s="4">
        <v>0</v>
      </c>
      <c r="L522" s="4">
        <v>15.597</v>
      </c>
      <c r="M522" s="4">
        <v>14.66118</v>
      </c>
      <c r="N522" s="4">
        <v>15.597</v>
      </c>
      <c r="O522" s="4">
        <v>14.66118</v>
      </c>
      <c r="P522" s="4">
        <v>10</v>
      </c>
      <c r="Q522" s="3" t="s">
        <v>26</v>
      </c>
      <c r="R522" s="3">
        <v>0</v>
      </c>
      <c r="S522" s="3" t="s">
        <v>237</v>
      </c>
      <c r="T522" s="3" t="s">
        <v>362</v>
      </c>
      <c r="U522" s="3">
        <v>0</v>
      </c>
      <c r="V522" s="3">
        <v>35</v>
      </c>
      <c r="W522" s="3">
        <v>83</v>
      </c>
    </row>
    <row r="523" spans="1:23" ht="11.25" customHeight="1" x14ac:dyDescent="0.25">
      <c r="A523" s="3" t="s">
        <v>21</v>
      </c>
      <c r="B523" s="3" t="s">
        <v>33</v>
      </c>
      <c r="C523" s="3" t="s">
        <v>23</v>
      </c>
      <c r="D523" s="3" t="s">
        <v>47</v>
      </c>
      <c r="E523" s="3" t="s">
        <v>48</v>
      </c>
      <c r="F523" s="3" t="s">
        <v>25</v>
      </c>
      <c r="G523" s="3" t="s">
        <v>25</v>
      </c>
      <c r="H523" s="3" t="s">
        <v>25</v>
      </c>
      <c r="I523" s="6">
        <v>44409</v>
      </c>
      <c r="J523" s="4">
        <v>0</v>
      </c>
      <c r="K523" s="4">
        <v>0</v>
      </c>
      <c r="L523" s="4">
        <v>21.338999999999999</v>
      </c>
      <c r="M523" s="4">
        <v>20.05866</v>
      </c>
      <c r="N523" s="4">
        <v>21.338999999999999</v>
      </c>
      <c r="O523" s="4">
        <v>20.05866</v>
      </c>
      <c r="P523" s="4">
        <v>11</v>
      </c>
      <c r="Q523" s="3" t="s">
        <v>26</v>
      </c>
      <c r="R523" s="3">
        <v>0</v>
      </c>
      <c r="S523" s="3" t="s">
        <v>238</v>
      </c>
      <c r="T523" s="3" t="s">
        <v>363</v>
      </c>
      <c r="U523" s="3">
        <v>0</v>
      </c>
      <c r="V523" s="3">
        <v>35</v>
      </c>
      <c r="W523" s="3">
        <v>83</v>
      </c>
    </row>
    <row r="524" spans="1:23" ht="11.25" customHeight="1" x14ac:dyDescent="0.25">
      <c r="A524" s="3" t="s">
        <v>21</v>
      </c>
      <c r="B524" s="3" t="s">
        <v>33</v>
      </c>
      <c r="C524" s="3" t="s">
        <v>23</v>
      </c>
      <c r="D524" s="3" t="s">
        <v>47</v>
      </c>
      <c r="E524" s="3" t="s">
        <v>48</v>
      </c>
      <c r="F524" s="3" t="s">
        <v>25</v>
      </c>
      <c r="G524" s="3" t="s">
        <v>25</v>
      </c>
      <c r="H524" s="3" t="s">
        <v>25</v>
      </c>
      <c r="I524" s="6">
        <v>44440</v>
      </c>
      <c r="J524" s="4">
        <v>0</v>
      </c>
      <c r="K524" s="4">
        <v>0</v>
      </c>
      <c r="L524" s="4">
        <v>21.638000000000002</v>
      </c>
      <c r="M524" s="4">
        <v>20.33972</v>
      </c>
      <c r="N524" s="4">
        <v>21.638000000000002</v>
      </c>
      <c r="O524" s="4">
        <v>20.33972</v>
      </c>
      <c r="P524" s="4">
        <v>11</v>
      </c>
      <c r="Q524" s="3" t="s">
        <v>26</v>
      </c>
      <c r="R524" s="3">
        <v>0</v>
      </c>
      <c r="S524" s="3" t="s">
        <v>239</v>
      </c>
      <c r="T524" s="3" t="s">
        <v>364</v>
      </c>
      <c r="U524" s="3">
        <v>0</v>
      </c>
      <c r="V524" s="3">
        <v>35</v>
      </c>
      <c r="W524" s="3">
        <v>83</v>
      </c>
    </row>
    <row r="525" spans="1:23" ht="11.25" customHeight="1" x14ac:dyDescent="0.25">
      <c r="A525" s="3" t="s">
        <v>21</v>
      </c>
      <c r="B525" s="3" t="s">
        <v>33</v>
      </c>
      <c r="C525" s="3" t="s">
        <v>23</v>
      </c>
      <c r="D525" s="3" t="s">
        <v>47</v>
      </c>
      <c r="E525" s="3" t="s">
        <v>48</v>
      </c>
      <c r="F525" s="3" t="s">
        <v>25</v>
      </c>
      <c r="G525" s="3" t="s">
        <v>25</v>
      </c>
      <c r="H525" s="3" t="s">
        <v>25</v>
      </c>
      <c r="I525" s="6">
        <v>44470</v>
      </c>
      <c r="J525" s="4">
        <v>0</v>
      </c>
      <c r="K525" s="4">
        <v>0</v>
      </c>
      <c r="L525" s="4">
        <v>20.704000000000001</v>
      </c>
      <c r="M525" s="4">
        <v>19.461760000000002</v>
      </c>
      <c r="N525" s="4">
        <v>20.704000000000001</v>
      </c>
      <c r="O525" s="4">
        <v>19.461760000000002</v>
      </c>
      <c r="P525" s="4">
        <v>11</v>
      </c>
      <c r="Q525" s="3" t="s">
        <v>26</v>
      </c>
      <c r="R525" s="3">
        <v>0</v>
      </c>
      <c r="S525" s="3" t="s">
        <v>240</v>
      </c>
      <c r="T525" s="3" t="s">
        <v>365</v>
      </c>
      <c r="U525" s="3">
        <v>0</v>
      </c>
      <c r="V525" s="3">
        <v>35</v>
      </c>
      <c r="W525" s="3">
        <v>83</v>
      </c>
    </row>
    <row r="526" spans="1:23" ht="11.25" customHeight="1" x14ac:dyDescent="0.25">
      <c r="A526" s="3" t="s">
        <v>21</v>
      </c>
      <c r="B526" s="3" t="s">
        <v>33</v>
      </c>
      <c r="C526" s="3" t="s">
        <v>23</v>
      </c>
      <c r="D526" s="3" t="s">
        <v>47</v>
      </c>
      <c r="E526" s="3" t="s">
        <v>48</v>
      </c>
      <c r="F526" s="3" t="s">
        <v>25</v>
      </c>
      <c r="G526" s="3" t="s">
        <v>25</v>
      </c>
      <c r="H526" s="3" t="s">
        <v>25</v>
      </c>
      <c r="I526" s="6">
        <v>44501</v>
      </c>
      <c r="J526" s="4">
        <v>0</v>
      </c>
      <c r="K526" s="4">
        <v>0</v>
      </c>
      <c r="L526" s="4">
        <v>22.2</v>
      </c>
      <c r="M526" s="4">
        <v>20.867999999999999</v>
      </c>
      <c r="N526" s="4">
        <v>22.2</v>
      </c>
      <c r="O526" s="4">
        <v>20.867999999999999</v>
      </c>
      <c r="P526" s="4">
        <v>11</v>
      </c>
      <c r="Q526" s="3" t="s">
        <v>26</v>
      </c>
      <c r="R526" s="3">
        <v>0</v>
      </c>
      <c r="S526" s="3" t="s">
        <v>241</v>
      </c>
      <c r="T526" s="3" t="s">
        <v>366</v>
      </c>
      <c r="U526" s="3">
        <v>0</v>
      </c>
      <c r="V526" s="3">
        <v>35</v>
      </c>
      <c r="W526" s="3">
        <v>83</v>
      </c>
    </row>
    <row r="527" spans="1:23" ht="11.25" customHeight="1" x14ac:dyDescent="0.25">
      <c r="A527" s="3" t="s">
        <v>21</v>
      </c>
      <c r="B527" s="3" t="s">
        <v>33</v>
      </c>
      <c r="C527" s="3" t="s">
        <v>23</v>
      </c>
      <c r="D527" s="3" t="s">
        <v>47</v>
      </c>
      <c r="E527" s="3" t="s">
        <v>48</v>
      </c>
      <c r="F527" s="3" t="s">
        <v>25</v>
      </c>
      <c r="G527" s="3" t="s">
        <v>25</v>
      </c>
      <c r="H527" s="3" t="s">
        <v>25</v>
      </c>
      <c r="I527" s="6">
        <v>44531</v>
      </c>
      <c r="J527" s="4">
        <v>0</v>
      </c>
      <c r="K527" s="4">
        <v>0</v>
      </c>
      <c r="L527" s="4">
        <v>18.004999999999999</v>
      </c>
      <c r="M527" s="4">
        <v>16.924700000000001</v>
      </c>
      <c r="N527" s="4">
        <v>18.004999999999999</v>
      </c>
      <c r="O527" s="4">
        <v>16.924700000000001</v>
      </c>
      <c r="P527" s="4">
        <v>11</v>
      </c>
      <c r="Q527" s="3" t="s">
        <v>26</v>
      </c>
      <c r="R527" s="3">
        <v>0</v>
      </c>
      <c r="S527" s="3" t="s">
        <v>242</v>
      </c>
      <c r="T527" s="3" t="s">
        <v>367</v>
      </c>
      <c r="U527" s="3">
        <v>0</v>
      </c>
      <c r="V527" s="3">
        <v>35</v>
      </c>
      <c r="W527" s="3">
        <v>83</v>
      </c>
    </row>
    <row r="528" spans="1:23" ht="11.25" customHeight="1" x14ac:dyDescent="0.25">
      <c r="A528" s="3" t="s">
        <v>21</v>
      </c>
      <c r="B528" s="3" t="s">
        <v>33</v>
      </c>
      <c r="C528" s="3" t="s">
        <v>23</v>
      </c>
      <c r="D528" s="3" t="s">
        <v>47</v>
      </c>
      <c r="E528" s="3" t="s">
        <v>48</v>
      </c>
      <c r="F528" s="3" t="s">
        <v>25</v>
      </c>
      <c r="G528" s="3" t="s">
        <v>25</v>
      </c>
      <c r="H528" s="3" t="s">
        <v>25</v>
      </c>
      <c r="I528" s="6">
        <v>44562</v>
      </c>
      <c r="J528" s="4">
        <v>0</v>
      </c>
      <c r="K528" s="4">
        <v>0</v>
      </c>
      <c r="L528" s="4">
        <v>22.184000000000001</v>
      </c>
      <c r="M528" s="4">
        <v>20.852959999999999</v>
      </c>
      <c r="N528" s="4">
        <v>22.184000000000001</v>
      </c>
      <c r="O528" s="4">
        <v>20.852959999999999</v>
      </c>
      <c r="P528" s="4">
        <v>11</v>
      </c>
      <c r="Q528" s="3" t="s">
        <v>26</v>
      </c>
      <c r="R528" s="3">
        <v>0</v>
      </c>
      <c r="S528" s="3" t="s">
        <v>243</v>
      </c>
      <c r="T528" s="3" t="s">
        <v>368</v>
      </c>
      <c r="U528" s="3">
        <v>0</v>
      </c>
      <c r="V528" s="3">
        <v>35</v>
      </c>
      <c r="W528" s="3">
        <v>83</v>
      </c>
    </row>
    <row r="529" spans="1:23" ht="11.25" customHeight="1" x14ac:dyDescent="0.25">
      <c r="A529" s="3" t="s">
        <v>21</v>
      </c>
      <c r="B529" s="3" t="s">
        <v>33</v>
      </c>
      <c r="C529" s="3" t="s">
        <v>23</v>
      </c>
      <c r="D529" s="3" t="s">
        <v>47</v>
      </c>
      <c r="E529" s="3" t="s">
        <v>48</v>
      </c>
      <c r="F529" s="3" t="s">
        <v>25</v>
      </c>
      <c r="G529" s="3" t="s">
        <v>25</v>
      </c>
      <c r="H529" s="3" t="s">
        <v>25</v>
      </c>
      <c r="I529" s="6">
        <v>44593</v>
      </c>
      <c r="J529" s="4">
        <v>0</v>
      </c>
      <c r="K529" s="4">
        <v>0</v>
      </c>
      <c r="L529" s="4">
        <v>21.664000000000001</v>
      </c>
      <c r="M529" s="4">
        <v>20.364159999999998</v>
      </c>
      <c r="N529" s="4">
        <v>21.664000000000001</v>
      </c>
      <c r="O529" s="4">
        <v>20.364159999999998</v>
      </c>
      <c r="P529" s="4">
        <v>11</v>
      </c>
      <c r="Q529" s="3" t="s">
        <v>26</v>
      </c>
      <c r="R529" s="3">
        <v>0</v>
      </c>
      <c r="S529" s="3" t="s">
        <v>244</v>
      </c>
      <c r="T529" s="3" t="s">
        <v>369</v>
      </c>
      <c r="U529" s="3">
        <v>0</v>
      </c>
      <c r="V529" s="3">
        <v>35</v>
      </c>
      <c r="W529" s="3">
        <v>83</v>
      </c>
    </row>
    <row r="530" spans="1:23" ht="11.25" customHeight="1" x14ac:dyDescent="0.25">
      <c r="A530" s="3" t="s">
        <v>21</v>
      </c>
      <c r="B530" s="3" t="s">
        <v>33</v>
      </c>
      <c r="C530" s="3" t="s">
        <v>23</v>
      </c>
      <c r="D530" s="3" t="s">
        <v>47</v>
      </c>
      <c r="E530" s="3" t="s">
        <v>48</v>
      </c>
      <c r="F530" s="3" t="s">
        <v>25</v>
      </c>
      <c r="G530" s="3" t="s">
        <v>25</v>
      </c>
      <c r="H530" s="3" t="s">
        <v>25</v>
      </c>
      <c r="I530" s="6">
        <v>44621</v>
      </c>
      <c r="J530" s="4">
        <v>0</v>
      </c>
      <c r="K530" s="4">
        <v>0</v>
      </c>
      <c r="L530" s="4">
        <v>22.236999999999998</v>
      </c>
      <c r="M530" s="4">
        <v>20.90278</v>
      </c>
      <c r="N530" s="4">
        <v>22.236999999999998</v>
      </c>
      <c r="O530" s="4">
        <v>20.90278</v>
      </c>
      <c r="P530" s="4">
        <v>11</v>
      </c>
      <c r="Q530" s="3" t="s">
        <v>26</v>
      </c>
      <c r="R530" s="3">
        <v>0</v>
      </c>
      <c r="S530" s="3" t="s">
        <v>245</v>
      </c>
      <c r="T530" s="3" t="s">
        <v>370</v>
      </c>
      <c r="U530" s="3">
        <v>0</v>
      </c>
      <c r="V530" s="3">
        <v>35</v>
      </c>
      <c r="W530" s="3">
        <v>83</v>
      </c>
    </row>
    <row r="531" spans="1:23" ht="11.25" customHeight="1" x14ac:dyDescent="0.25">
      <c r="A531" s="3" t="s">
        <v>21</v>
      </c>
      <c r="B531" s="3" t="s">
        <v>33</v>
      </c>
      <c r="C531" s="3" t="s">
        <v>23</v>
      </c>
      <c r="D531" s="3" t="s">
        <v>47</v>
      </c>
      <c r="E531" s="3" t="s">
        <v>48</v>
      </c>
      <c r="F531" s="3" t="s">
        <v>25</v>
      </c>
      <c r="G531" s="3" t="s">
        <v>25</v>
      </c>
      <c r="H531" s="3" t="s">
        <v>25</v>
      </c>
      <c r="I531" s="6">
        <v>44652</v>
      </c>
      <c r="J531" s="4">
        <v>0</v>
      </c>
      <c r="K531" s="4">
        <v>0</v>
      </c>
      <c r="L531" s="4">
        <v>22.102</v>
      </c>
      <c r="M531" s="4">
        <v>20.775880000000001</v>
      </c>
      <c r="N531" s="4">
        <v>22.102</v>
      </c>
      <c r="O531" s="4">
        <v>20.775880000000001</v>
      </c>
      <c r="P531" s="4">
        <v>11</v>
      </c>
      <c r="Q531" s="3" t="s">
        <v>26</v>
      </c>
      <c r="R531" s="3">
        <v>0</v>
      </c>
      <c r="S531" s="3" t="s">
        <v>246</v>
      </c>
      <c r="T531" s="3" t="s">
        <v>371</v>
      </c>
      <c r="U531" s="3">
        <v>0</v>
      </c>
      <c r="V531" s="3">
        <v>35</v>
      </c>
      <c r="W531" s="3">
        <v>83</v>
      </c>
    </row>
    <row r="532" spans="1:23" ht="11.25" customHeight="1" x14ac:dyDescent="0.25">
      <c r="A532" s="3" t="s">
        <v>21</v>
      </c>
      <c r="B532" s="3" t="s">
        <v>33</v>
      </c>
      <c r="C532" s="3" t="s">
        <v>23</v>
      </c>
      <c r="D532" s="3" t="s">
        <v>47</v>
      </c>
      <c r="E532" s="3" t="s">
        <v>48</v>
      </c>
      <c r="F532" s="3" t="s">
        <v>25</v>
      </c>
      <c r="G532" s="3" t="s">
        <v>25</v>
      </c>
      <c r="H532" s="3" t="s">
        <v>25</v>
      </c>
      <c r="I532" s="6">
        <v>44682</v>
      </c>
      <c r="J532" s="4">
        <v>0</v>
      </c>
      <c r="K532" s="4">
        <v>0</v>
      </c>
      <c r="L532" s="4">
        <v>21.713000000000001</v>
      </c>
      <c r="M532" s="4">
        <v>20.410219999999999</v>
      </c>
      <c r="N532" s="4">
        <v>21.713000000000001</v>
      </c>
      <c r="O532" s="4">
        <v>20.410219999999999</v>
      </c>
      <c r="P532" s="4">
        <v>11</v>
      </c>
      <c r="Q532" s="3" t="s">
        <v>26</v>
      </c>
      <c r="R532" s="3">
        <v>0</v>
      </c>
      <c r="S532" s="3" t="s">
        <v>247</v>
      </c>
      <c r="T532" s="3" t="s">
        <v>372</v>
      </c>
      <c r="U532" s="3">
        <v>0</v>
      </c>
      <c r="V532" s="3">
        <v>35</v>
      </c>
      <c r="W532" s="3">
        <v>83</v>
      </c>
    </row>
    <row r="533" spans="1:23" ht="11.25" customHeight="1" x14ac:dyDescent="0.25">
      <c r="A533" s="3" t="s">
        <v>21</v>
      </c>
      <c r="B533" s="3" t="s">
        <v>33</v>
      </c>
      <c r="C533" s="3" t="s">
        <v>23</v>
      </c>
      <c r="D533" s="3" t="s">
        <v>47</v>
      </c>
      <c r="E533" s="3" t="s">
        <v>48</v>
      </c>
      <c r="F533" s="3" t="s">
        <v>25</v>
      </c>
      <c r="G533" s="3" t="s">
        <v>25</v>
      </c>
      <c r="H533" s="3" t="s">
        <v>25</v>
      </c>
      <c r="I533" s="6">
        <v>44713</v>
      </c>
      <c r="J533" s="4">
        <v>0</v>
      </c>
      <c r="K533" s="4">
        <v>0</v>
      </c>
      <c r="L533" s="4">
        <v>22.547000000000001</v>
      </c>
      <c r="M533" s="4">
        <v>21.194179999999999</v>
      </c>
      <c r="N533" s="4">
        <v>22.547000000000001</v>
      </c>
      <c r="O533" s="4">
        <v>21.194179999999999</v>
      </c>
      <c r="P533" s="4">
        <v>11</v>
      </c>
      <c r="Q533" s="3" t="s">
        <v>26</v>
      </c>
      <c r="R533" s="3">
        <v>0</v>
      </c>
      <c r="S533" s="3" t="s">
        <v>248</v>
      </c>
      <c r="T533" s="3" t="s">
        <v>373</v>
      </c>
      <c r="U533" s="3">
        <v>0</v>
      </c>
      <c r="V533" s="3">
        <v>35</v>
      </c>
      <c r="W533" s="3">
        <v>83</v>
      </c>
    </row>
    <row r="534" spans="1:23" ht="11.25" customHeight="1" x14ac:dyDescent="0.25">
      <c r="A534" s="3" t="s">
        <v>21</v>
      </c>
      <c r="B534" s="3" t="s">
        <v>44</v>
      </c>
      <c r="C534" s="3" t="s">
        <v>23</v>
      </c>
      <c r="D534" s="3" t="s">
        <v>45</v>
      </c>
      <c r="E534" s="3" t="s">
        <v>46</v>
      </c>
      <c r="F534" s="3" t="s">
        <v>25</v>
      </c>
      <c r="G534" s="3" t="s">
        <v>25</v>
      </c>
      <c r="H534" s="3" t="s">
        <v>25</v>
      </c>
      <c r="I534" s="6">
        <v>44378</v>
      </c>
      <c r="J534" s="4">
        <v>0</v>
      </c>
      <c r="K534" s="4">
        <v>0</v>
      </c>
      <c r="L534" s="4">
        <v>70.344999999999999</v>
      </c>
      <c r="M534" s="4">
        <v>70.344999999999999</v>
      </c>
      <c r="N534" s="4">
        <v>70.344999999999999</v>
      </c>
      <c r="O534" s="4">
        <v>70.344999999999999</v>
      </c>
      <c r="P534" s="4">
        <v>27</v>
      </c>
      <c r="Q534" s="3" t="s">
        <v>26</v>
      </c>
      <c r="R534" s="3">
        <v>0</v>
      </c>
      <c r="S534" s="3" t="s">
        <v>249</v>
      </c>
      <c r="T534" s="3" t="s">
        <v>374</v>
      </c>
      <c r="U534" s="3">
        <v>0</v>
      </c>
      <c r="V534" s="3">
        <v>43</v>
      </c>
      <c r="W534" s="3">
        <v>81</v>
      </c>
    </row>
    <row r="535" spans="1:23" ht="11.25" customHeight="1" x14ac:dyDescent="0.25">
      <c r="A535" s="3" t="s">
        <v>21</v>
      </c>
      <c r="B535" s="3" t="s">
        <v>44</v>
      </c>
      <c r="C535" s="3" t="s">
        <v>23</v>
      </c>
      <c r="D535" s="3" t="s">
        <v>45</v>
      </c>
      <c r="E535" s="3" t="s">
        <v>46</v>
      </c>
      <c r="F535" s="3" t="s">
        <v>25</v>
      </c>
      <c r="G535" s="3" t="s">
        <v>25</v>
      </c>
      <c r="H535" s="3" t="s">
        <v>25</v>
      </c>
      <c r="I535" s="6">
        <v>44409</v>
      </c>
      <c r="J535" s="4">
        <v>0</v>
      </c>
      <c r="K535" s="4">
        <v>0</v>
      </c>
      <c r="L535" s="4">
        <v>74.613</v>
      </c>
      <c r="M535" s="4">
        <v>74.613</v>
      </c>
      <c r="N535" s="4">
        <v>74.613</v>
      </c>
      <c r="O535" s="4">
        <v>74.613</v>
      </c>
      <c r="P535" s="4">
        <v>27</v>
      </c>
      <c r="Q535" s="3" t="s">
        <v>26</v>
      </c>
      <c r="R535" s="3">
        <v>0</v>
      </c>
      <c r="S535" s="3" t="s">
        <v>250</v>
      </c>
      <c r="T535" s="3" t="s">
        <v>375</v>
      </c>
      <c r="U535" s="3">
        <v>0</v>
      </c>
      <c r="V535" s="3">
        <v>43</v>
      </c>
      <c r="W535" s="3">
        <v>81</v>
      </c>
    </row>
    <row r="536" spans="1:23" ht="11.25" customHeight="1" x14ac:dyDescent="0.25">
      <c r="A536" s="3" t="s">
        <v>21</v>
      </c>
      <c r="B536" s="3" t="s">
        <v>44</v>
      </c>
      <c r="C536" s="3" t="s">
        <v>23</v>
      </c>
      <c r="D536" s="3" t="s">
        <v>45</v>
      </c>
      <c r="E536" s="3" t="s">
        <v>46</v>
      </c>
      <c r="F536" s="3" t="s">
        <v>25</v>
      </c>
      <c r="G536" s="3" t="s">
        <v>25</v>
      </c>
      <c r="H536" s="3" t="s">
        <v>25</v>
      </c>
      <c r="I536" s="6">
        <v>44440</v>
      </c>
      <c r="J536" s="4">
        <v>0</v>
      </c>
      <c r="K536" s="4">
        <v>0</v>
      </c>
      <c r="L536" s="4">
        <v>74.100999999999999</v>
      </c>
      <c r="M536" s="4">
        <v>74.100999999999999</v>
      </c>
      <c r="N536" s="4">
        <v>74.100999999999999</v>
      </c>
      <c r="O536" s="4">
        <v>74.100999999999999</v>
      </c>
      <c r="P536" s="4">
        <v>28</v>
      </c>
      <c r="Q536" s="3" t="s">
        <v>26</v>
      </c>
      <c r="R536" s="3">
        <v>0</v>
      </c>
      <c r="S536" s="3" t="s">
        <v>251</v>
      </c>
      <c r="T536" s="3" t="s">
        <v>376</v>
      </c>
      <c r="U536" s="3">
        <v>0</v>
      </c>
      <c r="V536" s="3">
        <v>43</v>
      </c>
      <c r="W536" s="3">
        <v>81</v>
      </c>
    </row>
    <row r="537" spans="1:23" ht="11.25" customHeight="1" x14ac:dyDescent="0.25">
      <c r="A537" s="3" t="s">
        <v>21</v>
      </c>
      <c r="B537" s="3" t="s">
        <v>44</v>
      </c>
      <c r="C537" s="3" t="s">
        <v>23</v>
      </c>
      <c r="D537" s="3" t="s">
        <v>45</v>
      </c>
      <c r="E537" s="3" t="s">
        <v>46</v>
      </c>
      <c r="F537" s="3" t="s">
        <v>25</v>
      </c>
      <c r="G537" s="3" t="s">
        <v>25</v>
      </c>
      <c r="H537" s="3" t="s">
        <v>25</v>
      </c>
      <c r="I537" s="6">
        <v>44470</v>
      </c>
      <c r="J537" s="4">
        <v>0</v>
      </c>
      <c r="K537" s="4">
        <v>0</v>
      </c>
      <c r="L537" s="4">
        <v>75.506</v>
      </c>
      <c r="M537" s="4">
        <v>75.506</v>
      </c>
      <c r="N537" s="4">
        <v>75.506</v>
      </c>
      <c r="O537" s="4">
        <v>75.506</v>
      </c>
      <c r="P537" s="4">
        <v>28</v>
      </c>
      <c r="Q537" s="3" t="s">
        <v>26</v>
      </c>
      <c r="R537" s="3">
        <v>0</v>
      </c>
      <c r="S537" s="3" t="s">
        <v>252</v>
      </c>
      <c r="T537" s="3" t="s">
        <v>377</v>
      </c>
      <c r="U537" s="3">
        <v>0</v>
      </c>
      <c r="V537" s="3">
        <v>43</v>
      </c>
      <c r="W537" s="3">
        <v>81</v>
      </c>
    </row>
    <row r="538" spans="1:23" ht="11.25" customHeight="1" x14ac:dyDescent="0.25">
      <c r="A538" s="3" t="s">
        <v>21</v>
      </c>
      <c r="B538" s="3" t="s">
        <v>44</v>
      </c>
      <c r="C538" s="3" t="s">
        <v>23</v>
      </c>
      <c r="D538" s="3" t="s">
        <v>45</v>
      </c>
      <c r="E538" s="3" t="s">
        <v>46</v>
      </c>
      <c r="F538" s="3" t="s">
        <v>25</v>
      </c>
      <c r="G538" s="3" t="s">
        <v>25</v>
      </c>
      <c r="H538" s="3" t="s">
        <v>25</v>
      </c>
      <c r="I538" s="6">
        <v>44501</v>
      </c>
      <c r="J538" s="4">
        <v>0</v>
      </c>
      <c r="K538" s="4">
        <v>0</v>
      </c>
      <c r="L538" s="4">
        <v>73.221999999999994</v>
      </c>
      <c r="M538" s="4">
        <v>73.221999999999994</v>
      </c>
      <c r="N538" s="4">
        <v>73.221999999999994</v>
      </c>
      <c r="O538" s="4">
        <v>73.221999999999994</v>
      </c>
      <c r="P538" s="4">
        <v>28</v>
      </c>
      <c r="Q538" s="3" t="s">
        <v>26</v>
      </c>
      <c r="R538" s="3">
        <v>0</v>
      </c>
      <c r="S538" s="3" t="s">
        <v>253</v>
      </c>
      <c r="T538" s="3" t="s">
        <v>378</v>
      </c>
      <c r="U538" s="3">
        <v>0</v>
      </c>
      <c r="V538" s="3">
        <v>43</v>
      </c>
      <c r="W538" s="3">
        <v>81</v>
      </c>
    </row>
    <row r="539" spans="1:23" ht="11.25" customHeight="1" x14ac:dyDescent="0.25">
      <c r="A539" s="3" t="s">
        <v>21</v>
      </c>
      <c r="B539" s="3" t="s">
        <v>44</v>
      </c>
      <c r="C539" s="3" t="s">
        <v>23</v>
      </c>
      <c r="D539" s="3" t="s">
        <v>45</v>
      </c>
      <c r="E539" s="3" t="s">
        <v>46</v>
      </c>
      <c r="F539" s="3" t="s">
        <v>25</v>
      </c>
      <c r="G539" s="3" t="s">
        <v>25</v>
      </c>
      <c r="H539" s="3" t="s">
        <v>25</v>
      </c>
      <c r="I539" s="6">
        <v>44531</v>
      </c>
      <c r="J539" s="4">
        <v>0</v>
      </c>
      <c r="K539" s="4">
        <v>0</v>
      </c>
      <c r="L539" s="4">
        <v>85.138000000000005</v>
      </c>
      <c r="M539" s="4">
        <v>85.138000000000005</v>
      </c>
      <c r="N539" s="4">
        <v>85.138000000000005</v>
      </c>
      <c r="O539" s="4">
        <v>85.138000000000005</v>
      </c>
      <c r="P539" s="4">
        <v>28</v>
      </c>
      <c r="Q539" s="3" t="s">
        <v>26</v>
      </c>
      <c r="R539" s="3">
        <v>0</v>
      </c>
      <c r="S539" s="3" t="s">
        <v>254</v>
      </c>
      <c r="T539" s="3" t="s">
        <v>379</v>
      </c>
      <c r="U539" s="3">
        <v>0</v>
      </c>
      <c r="V539" s="3">
        <v>43</v>
      </c>
      <c r="W539" s="3">
        <v>81</v>
      </c>
    </row>
    <row r="540" spans="1:23" ht="11.25" customHeight="1" x14ac:dyDescent="0.25">
      <c r="A540" s="3" t="s">
        <v>21</v>
      </c>
      <c r="B540" s="3" t="s">
        <v>44</v>
      </c>
      <c r="C540" s="3" t="s">
        <v>23</v>
      </c>
      <c r="D540" s="3" t="s">
        <v>45</v>
      </c>
      <c r="E540" s="3" t="s">
        <v>46</v>
      </c>
      <c r="F540" s="3" t="s">
        <v>25</v>
      </c>
      <c r="G540" s="3" t="s">
        <v>25</v>
      </c>
      <c r="H540" s="3" t="s">
        <v>25</v>
      </c>
      <c r="I540" s="6">
        <v>44562</v>
      </c>
      <c r="J540" s="4">
        <v>0</v>
      </c>
      <c r="K540" s="4">
        <v>0</v>
      </c>
      <c r="L540" s="4">
        <v>76.95</v>
      </c>
      <c r="M540" s="4">
        <v>76.95</v>
      </c>
      <c r="N540" s="4">
        <v>76.95</v>
      </c>
      <c r="O540" s="4">
        <v>76.95</v>
      </c>
      <c r="P540" s="4">
        <v>28</v>
      </c>
      <c r="Q540" s="3" t="s">
        <v>26</v>
      </c>
      <c r="R540" s="3">
        <v>0</v>
      </c>
      <c r="S540" s="3" t="s">
        <v>255</v>
      </c>
      <c r="T540" s="3" t="s">
        <v>380</v>
      </c>
      <c r="U540" s="3">
        <v>0</v>
      </c>
      <c r="V540" s="3">
        <v>43</v>
      </c>
      <c r="W540" s="3">
        <v>81</v>
      </c>
    </row>
    <row r="541" spans="1:23" ht="11.25" customHeight="1" x14ac:dyDescent="0.25">
      <c r="A541" s="3" t="s">
        <v>21</v>
      </c>
      <c r="B541" s="3" t="s">
        <v>44</v>
      </c>
      <c r="C541" s="3" t="s">
        <v>23</v>
      </c>
      <c r="D541" s="3" t="s">
        <v>45</v>
      </c>
      <c r="E541" s="3" t="s">
        <v>46</v>
      </c>
      <c r="F541" s="3" t="s">
        <v>25</v>
      </c>
      <c r="G541" s="3" t="s">
        <v>25</v>
      </c>
      <c r="H541" s="3" t="s">
        <v>25</v>
      </c>
      <c r="I541" s="6">
        <v>44593</v>
      </c>
      <c r="J541" s="4">
        <v>0</v>
      </c>
      <c r="K541" s="4">
        <v>0</v>
      </c>
      <c r="L541" s="4">
        <v>75.739999999999995</v>
      </c>
      <c r="M541" s="4">
        <v>75.739999999999995</v>
      </c>
      <c r="N541" s="4">
        <v>75.739999999999995</v>
      </c>
      <c r="O541" s="4">
        <v>75.739999999999995</v>
      </c>
      <c r="P541" s="4">
        <v>28</v>
      </c>
      <c r="Q541" s="3" t="s">
        <v>26</v>
      </c>
      <c r="R541" s="3">
        <v>0</v>
      </c>
      <c r="S541" s="3" t="s">
        <v>256</v>
      </c>
      <c r="T541" s="3" t="s">
        <v>381</v>
      </c>
      <c r="U541" s="3">
        <v>0</v>
      </c>
      <c r="V541" s="3">
        <v>43</v>
      </c>
      <c r="W541" s="3">
        <v>81</v>
      </c>
    </row>
    <row r="542" spans="1:23" ht="11.25" customHeight="1" x14ac:dyDescent="0.25">
      <c r="A542" s="3" t="s">
        <v>21</v>
      </c>
      <c r="B542" s="3" t="s">
        <v>44</v>
      </c>
      <c r="C542" s="3" t="s">
        <v>23</v>
      </c>
      <c r="D542" s="3" t="s">
        <v>45</v>
      </c>
      <c r="E542" s="3" t="s">
        <v>46</v>
      </c>
      <c r="F542" s="3" t="s">
        <v>25</v>
      </c>
      <c r="G542" s="3" t="s">
        <v>25</v>
      </c>
      <c r="H542" s="3" t="s">
        <v>25</v>
      </c>
      <c r="I542" s="6">
        <v>44621</v>
      </c>
      <c r="J542" s="4">
        <v>0</v>
      </c>
      <c r="K542" s="4">
        <v>0</v>
      </c>
      <c r="L542" s="4">
        <v>75.369</v>
      </c>
      <c r="M542" s="4">
        <v>75.369</v>
      </c>
      <c r="N542" s="4">
        <v>75.369</v>
      </c>
      <c r="O542" s="4">
        <v>75.369</v>
      </c>
      <c r="P542" s="4">
        <v>28</v>
      </c>
      <c r="Q542" s="3" t="s">
        <v>26</v>
      </c>
      <c r="R542" s="3">
        <v>0</v>
      </c>
      <c r="S542" s="3" t="s">
        <v>257</v>
      </c>
      <c r="T542" s="3" t="s">
        <v>382</v>
      </c>
      <c r="U542" s="3">
        <v>0</v>
      </c>
      <c r="V542" s="3">
        <v>43</v>
      </c>
      <c r="W542" s="3">
        <v>81</v>
      </c>
    </row>
    <row r="543" spans="1:23" ht="11.25" customHeight="1" x14ac:dyDescent="0.25">
      <c r="A543" s="3" t="s">
        <v>21</v>
      </c>
      <c r="B543" s="3" t="s">
        <v>44</v>
      </c>
      <c r="C543" s="3" t="s">
        <v>23</v>
      </c>
      <c r="D543" s="3" t="s">
        <v>45</v>
      </c>
      <c r="E543" s="3" t="s">
        <v>46</v>
      </c>
      <c r="F543" s="3" t="s">
        <v>25</v>
      </c>
      <c r="G543" s="3" t="s">
        <v>25</v>
      </c>
      <c r="H543" s="3" t="s">
        <v>25</v>
      </c>
      <c r="I543" s="6">
        <v>44652</v>
      </c>
      <c r="J543" s="4">
        <v>0</v>
      </c>
      <c r="K543" s="4">
        <v>0</v>
      </c>
      <c r="L543" s="4">
        <v>73.501999999999995</v>
      </c>
      <c r="M543" s="4">
        <v>73.501999999999995</v>
      </c>
      <c r="N543" s="4">
        <v>73.501999999999995</v>
      </c>
      <c r="O543" s="4">
        <v>73.501999999999995</v>
      </c>
      <c r="P543" s="4">
        <v>28</v>
      </c>
      <c r="Q543" s="3" t="s">
        <v>26</v>
      </c>
      <c r="R543" s="3">
        <v>0</v>
      </c>
      <c r="S543" s="3" t="s">
        <v>258</v>
      </c>
      <c r="T543" s="3" t="s">
        <v>383</v>
      </c>
      <c r="U543" s="3">
        <v>0</v>
      </c>
      <c r="V543" s="3">
        <v>43</v>
      </c>
      <c r="W543" s="3">
        <v>81</v>
      </c>
    </row>
    <row r="544" spans="1:23" ht="11.25" customHeight="1" x14ac:dyDescent="0.25">
      <c r="A544" s="3" t="s">
        <v>21</v>
      </c>
      <c r="B544" s="3" t="s">
        <v>44</v>
      </c>
      <c r="C544" s="3" t="s">
        <v>23</v>
      </c>
      <c r="D544" s="3" t="s">
        <v>45</v>
      </c>
      <c r="E544" s="3" t="s">
        <v>46</v>
      </c>
      <c r="F544" s="3" t="s">
        <v>25</v>
      </c>
      <c r="G544" s="3" t="s">
        <v>25</v>
      </c>
      <c r="H544" s="3" t="s">
        <v>25</v>
      </c>
      <c r="I544" s="6">
        <v>44682</v>
      </c>
      <c r="J544" s="4">
        <v>0</v>
      </c>
      <c r="K544" s="4">
        <v>0</v>
      </c>
      <c r="L544" s="4">
        <v>75.978999999999999</v>
      </c>
      <c r="M544" s="4">
        <v>75.978999999999999</v>
      </c>
      <c r="N544" s="4">
        <v>75.978999999999999</v>
      </c>
      <c r="O544" s="4">
        <v>75.978999999999999</v>
      </c>
      <c r="P544" s="4">
        <v>28</v>
      </c>
      <c r="Q544" s="3" t="s">
        <v>26</v>
      </c>
      <c r="R544" s="3">
        <v>0</v>
      </c>
      <c r="S544" s="3" t="s">
        <v>259</v>
      </c>
      <c r="T544" s="3" t="s">
        <v>384</v>
      </c>
      <c r="U544" s="3">
        <v>0</v>
      </c>
      <c r="V544" s="3">
        <v>43</v>
      </c>
      <c r="W544" s="3">
        <v>81</v>
      </c>
    </row>
    <row r="545" spans="1:23" ht="11.25" customHeight="1" x14ac:dyDescent="0.25">
      <c r="A545" s="3" t="s">
        <v>21</v>
      </c>
      <c r="B545" s="3" t="s">
        <v>44</v>
      </c>
      <c r="C545" s="3" t="s">
        <v>23</v>
      </c>
      <c r="D545" s="3" t="s">
        <v>45</v>
      </c>
      <c r="E545" s="3" t="s">
        <v>46</v>
      </c>
      <c r="F545" s="3" t="s">
        <v>25</v>
      </c>
      <c r="G545" s="3" t="s">
        <v>25</v>
      </c>
      <c r="H545" s="3" t="s">
        <v>25</v>
      </c>
      <c r="I545" s="6">
        <v>44713</v>
      </c>
      <c r="J545" s="4">
        <v>0</v>
      </c>
      <c r="K545" s="4">
        <v>0</v>
      </c>
      <c r="L545" s="4">
        <v>75.396000000000001</v>
      </c>
      <c r="M545" s="4">
        <v>75.396000000000001</v>
      </c>
      <c r="N545" s="4">
        <v>75.396000000000001</v>
      </c>
      <c r="O545" s="4">
        <v>75.396000000000001</v>
      </c>
      <c r="P545" s="4">
        <v>28</v>
      </c>
      <c r="Q545" s="3" t="s">
        <v>26</v>
      </c>
      <c r="R545" s="3">
        <v>0</v>
      </c>
      <c r="S545" s="3" t="s">
        <v>260</v>
      </c>
      <c r="T545" s="3" t="s">
        <v>385</v>
      </c>
      <c r="U545" s="3">
        <v>0</v>
      </c>
      <c r="V545" s="3">
        <v>43</v>
      </c>
      <c r="W545" s="3">
        <v>81</v>
      </c>
    </row>
  </sheetData>
  <sortState xmlns:xlrd2="http://schemas.microsoft.com/office/spreadsheetml/2017/richdata2" ref="A2:W545">
    <sortCondition ref="B2:B545"/>
    <sortCondition ref="C2:C545"/>
    <sortCondition ref="D2:D545"/>
    <sortCondition ref="E2:E545"/>
    <sortCondition ref="F2:F545"/>
    <sortCondition ref="H2:H54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4642-1501-44D6-B2A6-BB58087E2A46}">
  <dimension ref="A1:H74"/>
  <sheetViews>
    <sheetView showGridLines="0" workbookViewId="0">
      <selection activeCell="G8" sqref="G8"/>
    </sheetView>
  </sheetViews>
  <sheetFormatPr defaultRowHeight="11.25" customHeight="1" x14ac:dyDescent="0.25"/>
  <cols>
    <col min="1" max="1" width="12.140625" style="8" bestFit="1" customWidth="1"/>
    <col min="2" max="2" width="15.85546875" style="8" bestFit="1" customWidth="1"/>
    <col min="3" max="3" width="4.7109375" style="8" bestFit="1" customWidth="1"/>
    <col min="4" max="4" width="6.42578125" style="8" bestFit="1" customWidth="1"/>
    <col min="5" max="5" width="8.42578125" style="8" bestFit="1" customWidth="1"/>
    <col min="6" max="6" width="9.140625" style="8"/>
    <col min="7" max="7" width="18.5703125" style="8" bestFit="1" customWidth="1"/>
    <col min="8" max="8" width="2" style="8" bestFit="1" customWidth="1"/>
    <col min="9" max="16384" width="9.140625" style="8"/>
  </cols>
  <sheetData>
    <row r="1" spans="1:8" s="7" customFormat="1" ht="11.25" customHeight="1" x14ac:dyDescent="0.25">
      <c r="A1" s="7" t="s">
        <v>57</v>
      </c>
      <c r="B1" s="7" t="s">
        <v>58</v>
      </c>
      <c r="C1" s="7" t="s">
        <v>59</v>
      </c>
      <c r="D1" s="7" t="s">
        <v>60</v>
      </c>
      <c r="E1" s="7" t="s">
        <v>61</v>
      </c>
      <c r="G1" s="7" t="s">
        <v>62</v>
      </c>
      <c r="H1" s="7">
        <f>COUNTA(A:A)</f>
        <v>74</v>
      </c>
    </row>
    <row r="2" spans="1:8" ht="11.25" customHeight="1" x14ac:dyDescent="0.25">
      <c r="A2" s="8" t="s">
        <v>286</v>
      </c>
      <c r="B2" s="8" t="s">
        <v>287</v>
      </c>
      <c r="C2" s="8" t="s">
        <v>288</v>
      </c>
      <c r="D2" s="8">
        <v>71</v>
      </c>
      <c r="E2" s="8" t="s">
        <v>289</v>
      </c>
    </row>
    <row r="3" spans="1:8" ht="11.25" customHeight="1" x14ac:dyDescent="0.25">
      <c r="A3" s="8" t="s">
        <v>286</v>
      </c>
      <c r="B3" s="8" t="s">
        <v>287</v>
      </c>
      <c r="C3" s="8" t="s">
        <v>288</v>
      </c>
      <c r="D3" s="8">
        <v>72</v>
      </c>
      <c r="E3" s="8" t="s">
        <v>289</v>
      </c>
    </row>
    <row r="4" spans="1:8" ht="11.25" customHeight="1" x14ac:dyDescent="0.25">
      <c r="A4" s="8" t="s">
        <v>286</v>
      </c>
      <c r="B4" s="8" t="s">
        <v>287</v>
      </c>
      <c r="C4" s="8" t="s">
        <v>288</v>
      </c>
      <c r="D4" s="8">
        <v>73</v>
      </c>
      <c r="E4" s="8" t="s">
        <v>289</v>
      </c>
    </row>
    <row r="5" spans="1:8" ht="11.25" customHeight="1" x14ac:dyDescent="0.25">
      <c r="A5" s="8" t="s">
        <v>286</v>
      </c>
      <c r="B5" s="8" t="s">
        <v>287</v>
      </c>
      <c r="C5" s="8" t="s">
        <v>288</v>
      </c>
      <c r="D5" s="8">
        <v>74</v>
      </c>
      <c r="E5" s="8" t="s">
        <v>289</v>
      </c>
    </row>
    <row r="6" spans="1:8" ht="11.25" customHeight="1" x14ac:dyDescent="0.25">
      <c r="A6" s="8" t="s">
        <v>286</v>
      </c>
      <c r="B6" s="8" t="s">
        <v>287</v>
      </c>
      <c r="C6" s="8" t="s">
        <v>288</v>
      </c>
      <c r="D6" s="8">
        <v>75</v>
      </c>
      <c r="E6" s="8" t="s">
        <v>289</v>
      </c>
    </row>
    <row r="7" spans="1:8" ht="11.25" customHeight="1" x14ac:dyDescent="0.25">
      <c r="A7" s="8" t="s">
        <v>286</v>
      </c>
      <c r="B7" s="8" t="s">
        <v>287</v>
      </c>
      <c r="C7" s="8" t="s">
        <v>288</v>
      </c>
      <c r="D7" s="8">
        <v>76</v>
      </c>
      <c r="E7" s="8" t="s">
        <v>289</v>
      </c>
    </row>
    <row r="8" spans="1:8" ht="11.25" customHeight="1" x14ac:dyDescent="0.25">
      <c r="A8" s="8" t="s">
        <v>286</v>
      </c>
      <c r="B8" s="8" t="s">
        <v>287</v>
      </c>
      <c r="C8" s="8" t="s">
        <v>288</v>
      </c>
      <c r="D8" s="8">
        <v>77</v>
      </c>
      <c r="E8" s="8" t="s">
        <v>289</v>
      </c>
    </row>
    <row r="9" spans="1:8" ht="11.25" customHeight="1" x14ac:dyDescent="0.25">
      <c r="A9" s="8" t="s">
        <v>286</v>
      </c>
      <c r="B9" s="8" t="s">
        <v>287</v>
      </c>
      <c r="C9" s="8" t="s">
        <v>288</v>
      </c>
      <c r="D9" s="8">
        <v>78</v>
      </c>
      <c r="E9" s="8" t="s">
        <v>289</v>
      </c>
    </row>
    <row r="10" spans="1:8" ht="11.25" customHeight="1" x14ac:dyDescent="0.25">
      <c r="A10" s="8" t="s">
        <v>286</v>
      </c>
      <c r="B10" s="8" t="s">
        <v>287</v>
      </c>
      <c r="C10" s="8" t="s">
        <v>288</v>
      </c>
      <c r="D10" s="8">
        <v>79</v>
      </c>
      <c r="E10" s="8" t="s">
        <v>289</v>
      </c>
    </row>
    <row r="11" spans="1:8" ht="11.25" customHeight="1" x14ac:dyDescent="0.25">
      <c r="A11" s="8" t="s">
        <v>286</v>
      </c>
      <c r="B11" s="8" t="s">
        <v>287</v>
      </c>
      <c r="C11" s="8" t="s">
        <v>288</v>
      </c>
      <c r="D11" s="8">
        <v>80</v>
      </c>
      <c r="E11" s="8" t="s">
        <v>289</v>
      </c>
    </row>
    <row r="12" spans="1:8" ht="11.25" customHeight="1" x14ac:dyDescent="0.25">
      <c r="A12" s="8" t="s">
        <v>286</v>
      </c>
      <c r="B12" s="8" t="s">
        <v>287</v>
      </c>
      <c r="C12" s="8" t="s">
        <v>288</v>
      </c>
      <c r="D12" s="8">
        <v>81</v>
      </c>
      <c r="E12" s="8" t="s">
        <v>289</v>
      </c>
    </row>
    <row r="13" spans="1:8" ht="11.25" customHeight="1" x14ac:dyDescent="0.25">
      <c r="A13" s="8" t="s">
        <v>286</v>
      </c>
      <c r="B13" s="8" t="s">
        <v>287</v>
      </c>
      <c r="C13" s="8" t="s">
        <v>288</v>
      </c>
      <c r="D13" s="8">
        <v>82</v>
      </c>
      <c r="E13" s="8" t="s">
        <v>289</v>
      </c>
    </row>
    <row r="14" spans="1:8" ht="11.25" customHeight="1" x14ac:dyDescent="0.25">
      <c r="A14" s="8" t="s">
        <v>286</v>
      </c>
      <c r="B14" s="8" t="s">
        <v>287</v>
      </c>
      <c r="C14" s="8" t="s">
        <v>288</v>
      </c>
      <c r="D14" s="8">
        <v>83</v>
      </c>
      <c r="E14" s="8" t="s">
        <v>289</v>
      </c>
    </row>
    <row r="15" spans="1:8" ht="11.25" customHeight="1" x14ac:dyDescent="0.25">
      <c r="A15" s="8" t="s">
        <v>286</v>
      </c>
      <c r="B15" s="8" t="s">
        <v>287</v>
      </c>
      <c r="C15" s="8" t="s">
        <v>288</v>
      </c>
      <c r="D15" s="8">
        <v>84</v>
      </c>
      <c r="E15" s="8" t="s">
        <v>289</v>
      </c>
    </row>
    <row r="16" spans="1:8" ht="11.25" customHeight="1" x14ac:dyDescent="0.25">
      <c r="A16" s="8" t="s">
        <v>286</v>
      </c>
      <c r="B16" s="8" t="s">
        <v>287</v>
      </c>
      <c r="C16" s="8" t="s">
        <v>288</v>
      </c>
      <c r="D16" s="8">
        <v>85</v>
      </c>
      <c r="E16" s="8" t="s">
        <v>289</v>
      </c>
    </row>
    <row r="17" spans="1:5" ht="11.25" customHeight="1" x14ac:dyDescent="0.25">
      <c r="A17" s="8" t="s">
        <v>286</v>
      </c>
      <c r="B17" s="8" t="s">
        <v>287</v>
      </c>
      <c r="C17" s="8" t="s">
        <v>288</v>
      </c>
      <c r="D17" s="8">
        <v>86</v>
      </c>
      <c r="E17" s="8" t="s">
        <v>289</v>
      </c>
    </row>
    <row r="18" spans="1:5" ht="11.25" customHeight="1" x14ac:dyDescent="0.25">
      <c r="A18" s="8" t="s">
        <v>286</v>
      </c>
      <c r="B18" s="8" t="s">
        <v>287</v>
      </c>
      <c r="C18" s="8" t="s">
        <v>288</v>
      </c>
      <c r="D18" s="8">
        <v>87</v>
      </c>
      <c r="E18" s="8" t="s">
        <v>289</v>
      </c>
    </row>
    <row r="19" spans="1:5" ht="11.25" customHeight="1" x14ac:dyDescent="0.25">
      <c r="A19" s="8" t="s">
        <v>286</v>
      </c>
      <c r="B19" s="8" t="s">
        <v>287</v>
      </c>
      <c r="C19" s="8" t="s">
        <v>288</v>
      </c>
      <c r="D19" s="8">
        <v>88</v>
      </c>
      <c r="E19" s="8" t="s">
        <v>289</v>
      </c>
    </row>
    <row r="20" spans="1:5" ht="11.25" customHeight="1" x14ac:dyDescent="0.25">
      <c r="A20" s="8" t="s">
        <v>286</v>
      </c>
      <c r="B20" s="8" t="s">
        <v>287</v>
      </c>
      <c r="C20" s="8" t="s">
        <v>288</v>
      </c>
      <c r="D20" s="8">
        <v>89</v>
      </c>
      <c r="E20" s="8" t="s">
        <v>289</v>
      </c>
    </row>
    <row r="21" spans="1:5" ht="11.25" customHeight="1" x14ac:dyDescent="0.25">
      <c r="A21" s="8" t="s">
        <v>286</v>
      </c>
      <c r="B21" s="8" t="s">
        <v>287</v>
      </c>
      <c r="C21" s="8" t="s">
        <v>288</v>
      </c>
      <c r="D21" s="8">
        <v>90</v>
      </c>
      <c r="E21" s="8" t="s">
        <v>289</v>
      </c>
    </row>
    <row r="22" spans="1:5" ht="11.25" customHeight="1" x14ac:dyDescent="0.25">
      <c r="A22" s="8" t="s">
        <v>286</v>
      </c>
      <c r="B22" s="8" t="s">
        <v>287</v>
      </c>
      <c r="C22" s="8" t="s">
        <v>288</v>
      </c>
      <c r="D22" s="8">
        <v>91</v>
      </c>
      <c r="E22" s="8" t="s">
        <v>289</v>
      </c>
    </row>
    <row r="23" spans="1:5" ht="11.25" customHeight="1" x14ac:dyDescent="0.25">
      <c r="A23" s="8" t="s">
        <v>286</v>
      </c>
      <c r="B23" s="8" t="s">
        <v>287</v>
      </c>
      <c r="C23" s="8" t="s">
        <v>288</v>
      </c>
      <c r="D23" s="8">
        <v>92</v>
      </c>
      <c r="E23" s="8" t="s">
        <v>289</v>
      </c>
    </row>
    <row r="24" spans="1:5" ht="11.25" customHeight="1" x14ac:dyDescent="0.25">
      <c r="A24" s="8" t="s">
        <v>286</v>
      </c>
      <c r="B24" s="8" t="s">
        <v>287</v>
      </c>
      <c r="C24" s="8" t="s">
        <v>288</v>
      </c>
      <c r="D24" s="8">
        <v>93</v>
      </c>
      <c r="E24" s="8" t="s">
        <v>289</v>
      </c>
    </row>
    <row r="25" spans="1:5" ht="11.25" customHeight="1" x14ac:dyDescent="0.25">
      <c r="A25" s="8" t="s">
        <v>286</v>
      </c>
      <c r="B25" s="8" t="s">
        <v>287</v>
      </c>
      <c r="C25" s="8" t="s">
        <v>288</v>
      </c>
      <c r="D25" s="8">
        <v>128</v>
      </c>
      <c r="E25" s="8" t="s">
        <v>289</v>
      </c>
    </row>
    <row r="26" spans="1:5" ht="11.25" customHeight="1" x14ac:dyDescent="0.25">
      <c r="A26" s="8" t="s">
        <v>286</v>
      </c>
      <c r="B26" s="8" t="s">
        <v>287</v>
      </c>
      <c r="C26" s="8" t="s">
        <v>288</v>
      </c>
      <c r="D26" s="8">
        <v>129</v>
      </c>
      <c r="E26" s="8" t="s">
        <v>289</v>
      </c>
    </row>
    <row r="27" spans="1:5" ht="11.25" customHeight="1" x14ac:dyDescent="0.25">
      <c r="A27" s="8" t="s">
        <v>286</v>
      </c>
      <c r="B27" s="8" t="s">
        <v>287</v>
      </c>
      <c r="C27" s="8" t="s">
        <v>288</v>
      </c>
      <c r="D27" s="8">
        <v>130</v>
      </c>
      <c r="E27" s="8" t="s">
        <v>289</v>
      </c>
    </row>
    <row r="28" spans="1:5" ht="11.25" customHeight="1" x14ac:dyDescent="0.25">
      <c r="A28" s="8" t="s">
        <v>286</v>
      </c>
      <c r="B28" s="8" t="s">
        <v>287</v>
      </c>
      <c r="C28" s="8" t="s">
        <v>288</v>
      </c>
      <c r="D28" s="8">
        <v>131</v>
      </c>
      <c r="E28" s="8" t="s">
        <v>289</v>
      </c>
    </row>
    <row r="29" spans="1:5" ht="11.25" customHeight="1" x14ac:dyDescent="0.25">
      <c r="A29" s="8" t="s">
        <v>286</v>
      </c>
      <c r="B29" s="8" t="s">
        <v>287</v>
      </c>
      <c r="C29" s="8" t="s">
        <v>288</v>
      </c>
      <c r="D29" s="8">
        <v>132</v>
      </c>
      <c r="E29" s="8" t="s">
        <v>289</v>
      </c>
    </row>
    <row r="30" spans="1:5" ht="11.25" customHeight="1" x14ac:dyDescent="0.25">
      <c r="A30" s="8" t="s">
        <v>286</v>
      </c>
      <c r="B30" s="8" t="s">
        <v>287</v>
      </c>
      <c r="C30" s="8" t="s">
        <v>288</v>
      </c>
      <c r="D30" s="8">
        <v>133</v>
      </c>
      <c r="E30" s="8" t="s">
        <v>289</v>
      </c>
    </row>
    <row r="31" spans="1:5" ht="11.25" customHeight="1" x14ac:dyDescent="0.25">
      <c r="A31" s="8" t="s">
        <v>286</v>
      </c>
      <c r="B31" s="8" t="s">
        <v>287</v>
      </c>
      <c r="C31" s="8" t="s">
        <v>288</v>
      </c>
      <c r="D31" s="8">
        <v>134</v>
      </c>
      <c r="E31" s="8" t="s">
        <v>289</v>
      </c>
    </row>
    <row r="32" spans="1:5" ht="11.25" customHeight="1" x14ac:dyDescent="0.25">
      <c r="A32" s="8" t="s">
        <v>286</v>
      </c>
      <c r="B32" s="8" t="s">
        <v>287</v>
      </c>
      <c r="C32" s="8" t="s">
        <v>288</v>
      </c>
      <c r="D32" s="8">
        <v>135</v>
      </c>
      <c r="E32" s="8" t="s">
        <v>289</v>
      </c>
    </row>
    <row r="33" spans="1:5" ht="11.25" customHeight="1" x14ac:dyDescent="0.25">
      <c r="A33" s="8" t="s">
        <v>286</v>
      </c>
      <c r="B33" s="8" t="s">
        <v>287</v>
      </c>
      <c r="C33" s="8" t="s">
        <v>288</v>
      </c>
      <c r="D33" s="8">
        <v>136</v>
      </c>
      <c r="E33" s="8" t="s">
        <v>289</v>
      </c>
    </row>
    <row r="34" spans="1:5" ht="11.25" customHeight="1" x14ac:dyDescent="0.25">
      <c r="A34" s="8" t="s">
        <v>286</v>
      </c>
      <c r="B34" s="8" t="s">
        <v>287</v>
      </c>
      <c r="C34" s="8" t="s">
        <v>288</v>
      </c>
      <c r="D34" s="8">
        <v>137</v>
      </c>
      <c r="E34" s="8" t="s">
        <v>289</v>
      </c>
    </row>
    <row r="35" spans="1:5" ht="11.25" customHeight="1" x14ac:dyDescent="0.25">
      <c r="A35" s="8" t="s">
        <v>286</v>
      </c>
      <c r="B35" s="8" t="s">
        <v>287</v>
      </c>
      <c r="C35" s="8" t="s">
        <v>288</v>
      </c>
      <c r="D35" s="8">
        <v>138</v>
      </c>
      <c r="E35" s="8" t="s">
        <v>289</v>
      </c>
    </row>
    <row r="36" spans="1:5" ht="11.25" customHeight="1" x14ac:dyDescent="0.25">
      <c r="A36" s="8" t="s">
        <v>286</v>
      </c>
      <c r="B36" s="8" t="s">
        <v>287</v>
      </c>
      <c r="C36" s="8" t="s">
        <v>288</v>
      </c>
      <c r="D36" s="8">
        <v>139</v>
      </c>
      <c r="E36" s="8" t="s">
        <v>289</v>
      </c>
    </row>
    <row r="37" spans="1:5" ht="11.25" customHeight="1" x14ac:dyDescent="0.25">
      <c r="A37" s="8" t="s">
        <v>286</v>
      </c>
      <c r="B37" s="8" t="s">
        <v>287</v>
      </c>
      <c r="C37" s="8" t="s">
        <v>288</v>
      </c>
      <c r="D37" s="8">
        <v>140</v>
      </c>
      <c r="E37" s="8" t="s">
        <v>289</v>
      </c>
    </row>
    <row r="38" spans="1:5" ht="11.25" customHeight="1" x14ac:dyDescent="0.25">
      <c r="A38" s="8" t="s">
        <v>286</v>
      </c>
      <c r="B38" s="8" t="s">
        <v>287</v>
      </c>
      <c r="C38" s="8" t="s">
        <v>288</v>
      </c>
      <c r="D38" s="8">
        <v>165</v>
      </c>
      <c r="E38" s="8" t="s">
        <v>289</v>
      </c>
    </row>
    <row r="39" spans="1:5" ht="11.25" customHeight="1" x14ac:dyDescent="0.25">
      <c r="A39" s="8" t="s">
        <v>286</v>
      </c>
      <c r="B39" s="8" t="s">
        <v>287</v>
      </c>
      <c r="C39" s="8" t="s">
        <v>288</v>
      </c>
      <c r="D39" s="8">
        <v>166</v>
      </c>
      <c r="E39" s="8" t="s">
        <v>289</v>
      </c>
    </row>
    <row r="40" spans="1:5" ht="11.25" customHeight="1" x14ac:dyDescent="0.25">
      <c r="A40" s="8" t="s">
        <v>286</v>
      </c>
      <c r="B40" s="8" t="s">
        <v>287</v>
      </c>
      <c r="C40" s="8" t="s">
        <v>288</v>
      </c>
      <c r="D40" s="8">
        <v>167</v>
      </c>
      <c r="E40" s="8" t="s">
        <v>289</v>
      </c>
    </row>
    <row r="41" spans="1:5" ht="11.25" customHeight="1" x14ac:dyDescent="0.25">
      <c r="A41" s="8" t="s">
        <v>286</v>
      </c>
      <c r="B41" s="8" t="s">
        <v>287</v>
      </c>
      <c r="C41" s="8" t="s">
        <v>288</v>
      </c>
      <c r="D41" s="8">
        <v>168</v>
      </c>
      <c r="E41" s="8" t="s">
        <v>289</v>
      </c>
    </row>
    <row r="42" spans="1:5" ht="11.25" customHeight="1" x14ac:dyDescent="0.25">
      <c r="A42" s="8" t="s">
        <v>286</v>
      </c>
      <c r="B42" s="8" t="s">
        <v>287</v>
      </c>
      <c r="C42" s="8" t="s">
        <v>288</v>
      </c>
      <c r="D42" s="8">
        <v>169</v>
      </c>
      <c r="E42" s="8" t="s">
        <v>289</v>
      </c>
    </row>
    <row r="43" spans="1:5" ht="11.25" customHeight="1" x14ac:dyDescent="0.25">
      <c r="A43" s="8" t="s">
        <v>286</v>
      </c>
      <c r="B43" s="8" t="s">
        <v>287</v>
      </c>
      <c r="C43" s="8" t="s">
        <v>288</v>
      </c>
      <c r="D43" s="8">
        <v>170</v>
      </c>
      <c r="E43" s="8" t="s">
        <v>289</v>
      </c>
    </row>
    <row r="44" spans="1:5" ht="11.25" customHeight="1" x14ac:dyDescent="0.25">
      <c r="A44" s="8" t="s">
        <v>286</v>
      </c>
      <c r="B44" s="8" t="s">
        <v>287</v>
      </c>
      <c r="C44" s="8" t="s">
        <v>288</v>
      </c>
      <c r="D44" s="8">
        <v>171</v>
      </c>
      <c r="E44" s="8" t="s">
        <v>289</v>
      </c>
    </row>
    <row r="45" spans="1:5" ht="11.25" customHeight="1" x14ac:dyDescent="0.25">
      <c r="A45" s="8" t="s">
        <v>286</v>
      </c>
      <c r="B45" s="8" t="s">
        <v>287</v>
      </c>
      <c r="C45" s="8" t="s">
        <v>288</v>
      </c>
      <c r="D45" s="8">
        <v>172</v>
      </c>
      <c r="E45" s="8" t="s">
        <v>289</v>
      </c>
    </row>
    <row r="46" spans="1:5" ht="11.25" customHeight="1" x14ac:dyDescent="0.25">
      <c r="A46" s="8" t="s">
        <v>286</v>
      </c>
      <c r="B46" s="8" t="s">
        <v>287</v>
      </c>
      <c r="C46" s="8" t="s">
        <v>288</v>
      </c>
      <c r="D46" s="8">
        <v>173</v>
      </c>
      <c r="E46" s="8" t="s">
        <v>289</v>
      </c>
    </row>
    <row r="47" spans="1:5" ht="11.25" customHeight="1" x14ac:dyDescent="0.25">
      <c r="A47" s="8" t="s">
        <v>286</v>
      </c>
      <c r="B47" s="8" t="s">
        <v>287</v>
      </c>
      <c r="C47" s="8" t="s">
        <v>288</v>
      </c>
      <c r="D47" s="8">
        <v>174</v>
      </c>
      <c r="E47" s="8" t="s">
        <v>289</v>
      </c>
    </row>
    <row r="48" spans="1:5" ht="11.25" customHeight="1" x14ac:dyDescent="0.25">
      <c r="A48" s="8" t="s">
        <v>286</v>
      </c>
      <c r="B48" s="8" t="s">
        <v>287</v>
      </c>
      <c r="C48" s="8" t="s">
        <v>288</v>
      </c>
      <c r="D48" s="8">
        <v>175</v>
      </c>
      <c r="E48" s="8" t="s">
        <v>289</v>
      </c>
    </row>
    <row r="49" spans="1:5" ht="11.25" customHeight="1" x14ac:dyDescent="0.25">
      <c r="A49" s="8" t="s">
        <v>286</v>
      </c>
      <c r="B49" s="8" t="s">
        <v>287</v>
      </c>
      <c r="C49" s="8" t="s">
        <v>288</v>
      </c>
      <c r="D49" s="8">
        <v>176</v>
      </c>
      <c r="E49" s="8" t="s">
        <v>289</v>
      </c>
    </row>
    <row r="50" spans="1:5" ht="11.25" customHeight="1" x14ac:dyDescent="0.25">
      <c r="A50" s="8" t="s">
        <v>286</v>
      </c>
      <c r="B50" s="8" t="s">
        <v>287</v>
      </c>
      <c r="C50" s="8" t="s">
        <v>288</v>
      </c>
      <c r="D50" s="8">
        <v>212</v>
      </c>
      <c r="E50" s="8" t="s">
        <v>289</v>
      </c>
    </row>
    <row r="51" spans="1:5" ht="11.25" customHeight="1" x14ac:dyDescent="0.25">
      <c r="A51" s="8" t="s">
        <v>286</v>
      </c>
      <c r="B51" s="8" t="s">
        <v>287</v>
      </c>
      <c r="C51" s="8" t="s">
        <v>288</v>
      </c>
      <c r="D51" s="8">
        <v>213</v>
      </c>
      <c r="E51" s="8" t="s">
        <v>289</v>
      </c>
    </row>
    <row r="52" spans="1:5" ht="11.25" customHeight="1" x14ac:dyDescent="0.25">
      <c r="A52" s="8" t="s">
        <v>286</v>
      </c>
      <c r="B52" s="8" t="s">
        <v>287</v>
      </c>
      <c r="C52" s="8" t="s">
        <v>288</v>
      </c>
      <c r="D52" s="8">
        <v>214</v>
      </c>
      <c r="E52" s="8" t="s">
        <v>289</v>
      </c>
    </row>
    <row r="53" spans="1:5" ht="11.25" customHeight="1" x14ac:dyDescent="0.25">
      <c r="A53" s="8" t="s">
        <v>286</v>
      </c>
      <c r="B53" s="8" t="s">
        <v>287</v>
      </c>
      <c r="C53" s="8" t="s">
        <v>288</v>
      </c>
      <c r="D53" s="8">
        <v>215</v>
      </c>
      <c r="E53" s="8" t="s">
        <v>289</v>
      </c>
    </row>
    <row r="54" spans="1:5" ht="11.25" customHeight="1" x14ac:dyDescent="0.25">
      <c r="A54" s="8" t="s">
        <v>286</v>
      </c>
      <c r="B54" s="8" t="s">
        <v>287</v>
      </c>
      <c r="C54" s="8" t="s">
        <v>288</v>
      </c>
      <c r="D54" s="8">
        <v>216</v>
      </c>
      <c r="E54" s="8" t="s">
        <v>289</v>
      </c>
    </row>
    <row r="55" spans="1:5" ht="11.25" customHeight="1" x14ac:dyDescent="0.25">
      <c r="A55" s="8" t="s">
        <v>286</v>
      </c>
      <c r="B55" s="8" t="s">
        <v>287</v>
      </c>
      <c r="C55" s="8" t="s">
        <v>288</v>
      </c>
      <c r="D55" s="8">
        <v>217</v>
      </c>
      <c r="E55" s="8" t="s">
        <v>289</v>
      </c>
    </row>
    <row r="56" spans="1:5" ht="11.25" customHeight="1" x14ac:dyDescent="0.25">
      <c r="A56" s="8" t="s">
        <v>286</v>
      </c>
      <c r="B56" s="8" t="s">
        <v>287</v>
      </c>
      <c r="C56" s="8" t="s">
        <v>288</v>
      </c>
      <c r="D56" s="8">
        <v>218</v>
      </c>
      <c r="E56" s="8" t="s">
        <v>289</v>
      </c>
    </row>
    <row r="57" spans="1:5" ht="11.25" customHeight="1" x14ac:dyDescent="0.25">
      <c r="A57" s="8" t="s">
        <v>286</v>
      </c>
      <c r="B57" s="8" t="s">
        <v>287</v>
      </c>
      <c r="C57" s="8" t="s">
        <v>288</v>
      </c>
      <c r="D57" s="8">
        <v>219</v>
      </c>
      <c r="E57" s="8" t="s">
        <v>289</v>
      </c>
    </row>
    <row r="58" spans="1:5" ht="11.25" customHeight="1" x14ac:dyDescent="0.25">
      <c r="A58" s="8" t="s">
        <v>286</v>
      </c>
      <c r="B58" s="8" t="s">
        <v>287</v>
      </c>
      <c r="C58" s="8" t="s">
        <v>288</v>
      </c>
      <c r="D58" s="8">
        <v>220</v>
      </c>
      <c r="E58" s="8" t="s">
        <v>289</v>
      </c>
    </row>
    <row r="59" spans="1:5" ht="11.25" customHeight="1" x14ac:dyDescent="0.25">
      <c r="A59" s="8" t="s">
        <v>286</v>
      </c>
      <c r="B59" s="8" t="s">
        <v>287</v>
      </c>
      <c r="C59" s="8" t="s">
        <v>288</v>
      </c>
      <c r="D59" s="8">
        <v>221</v>
      </c>
      <c r="E59" s="8" t="s">
        <v>289</v>
      </c>
    </row>
    <row r="60" spans="1:5" ht="11.25" customHeight="1" x14ac:dyDescent="0.25">
      <c r="A60" s="8" t="s">
        <v>286</v>
      </c>
      <c r="B60" s="8" t="s">
        <v>287</v>
      </c>
      <c r="C60" s="8" t="s">
        <v>288</v>
      </c>
      <c r="D60" s="8">
        <v>222</v>
      </c>
      <c r="E60" s="8" t="s">
        <v>289</v>
      </c>
    </row>
    <row r="61" spans="1:5" ht="11.25" customHeight="1" x14ac:dyDescent="0.25">
      <c r="A61" s="8" t="s">
        <v>286</v>
      </c>
      <c r="B61" s="8" t="s">
        <v>287</v>
      </c>
      <c r="C61" s="8" t="s">
        <v>288</v>
      </c>
      <c r="D61" s="8">
        <v>223</v>
      </c>
      <c r="E61" s="8" t="s">
        <v>289</v>
      </c>
    </row>
    <row r="62" spans="1:5" ht="11.25" customHeight="1" x14ac:dyDescent="0.25">
      <c r="A62" s="8" t="s">
        <v>286</v>
      </c>
      <c r="B62" s="8" t="s">
        <v>287</v>
      </c>
      <c r="C62" s="8" t="s">
        <v>288</v>
      </c>
      <c r="D62" s="8">
        <v>248</v>
      </c>
      <c r="E62" s="8" t="s">
        <v>289</v>
      </c>
    </row>
    <row r="63" spans="1:5" ht="11.25" customHeight="1" x14ac:dyDescent="0.25">
      <c r="A63" s="8" t="s">
        <v>286</v>
      </c>
      <c r="B63" s="8" t="s">
        <v>287</v>
      </c>
      <c r="C63" s="8" t="s">
        <v>288</v>
      </c>
      <c r="D63" s="8">
        <v>249</v>
      </c>
      <c r="E63" s="8" t="s">
        <v>289</v>
      </c>
    </row>
    <row r="64" spans="1:5" ht="11.25" customHeight="1" x14ac:dyDescent="0.25">
      <c r="A64" s="8" t="s">
        <v>286</v>
      </c>
      <c r="B64" s="8" t="s">
        <v>287</v>
      </c>
      <c r="C64" s="8" t="s">
        <v>288</v>
      </c>
      <c r="D64" s="8">
        <v>250</v>
      </c>
      <c r="E64" s="8" t="s">
        <v>289</v>
      </c>
    </row>
    <row r="65" spans="1:5" ht="11.25" customHeight="1" x14ac:dyDescent="0.25">
      <c r="A65" s="8" t="s">
        <v>286</v>
      </c>
      <c r="B65" s="8" t="s">
        <v>287</v>
      </c>
      <c r="C65" s="8" t="s">
        <v>288</v>
      </c>
      <c r="D65" s="8">
        <v>251</v>
      </c>
      <c r="E65" s="8" t="s">
        <v>289</v>
      </c>
    </row>
    <row r="66" spans="1:5" ht="11.25" customHeight="1" x14ac:dyDescent="0.25">
      <c r="A66" s="8" t="s">
        <v>286</v>
      </c>
      <c r="B66" s="8" t="s">
        <v>287</v>
      </c>
      <c r="C66" s="8" t="s">
        <v>288</v>
      </c>
      <c r="D66" s="8">
        <v>252</v>
      </c>
      <c r="E66" s="8" t="s">
        <v>289</v>
      </c>
    </row>
    <row r="67" spans="1:5" ht="11.25" customHeight="1" x14ac:dyDescent="0.25">
      <c r="A67" s="8" t="s">
        <v>286</v>
      </c>
      <c r="B67" s="8" t="s">
        <v>287</v>
      </c>
      <c r="C67" s="8" t="s">
        <v>288</v>
      </c>
      <c r="D67" s="8">
        <v>253</v>
      </c>
      <c r="E67" s="8" t="s">
        <v>289</v>
      </c>
    </row>
    <row r="68" spans="1:5" ht="11.25" customHeight="1" x14ac:dyDescent="0.25">
      <c r="A68" s="8" t="s">
        <v>286</v>
      </c>
      <c r="B68" s="8" t="s">
        <v>287</v>
      </c>
      <c r="C68" s="8" t="s">
        <v>288</v>
      </c>
      <c r="D68" s="8">
        <v>254</v>
      </c>
      <c r="E68" s="8" t="s">
        <v>289</v>
      </c>
    </row>
    <row r="69" spans="1:5" ht="11.25" customHeight="1" x14ac:dyDescent="0.25">
      <c r="A69" s="8" t="s">
        <v>286</v>
      </c>
      <c r="B69" s="8" t="s">
        <v>287</v>
      </c>
      <c r="C69" s="8" t="s">
        <v>288</v>
      </c>
      <c r="D69" s="8">
        <v>255</v>
      </c>
      <c r="E69" s="8" t="s">
        <v>289</v>
      </c>
    </row>
    <row r="70" spans="1:5" ht="11.25" customHeight="1" x14ac:dyDescent="0.25">
      <c r="A70" s="8" t="s">
        <v>286</v>
      </c>
      <c r="B70" s="8" t="s">
        <v>287</v>
      </c>
      <c r="C70" s="8" t="s">
        <v>288</v>
      </c>
      <c r="D70" s="8">
        <v>256</v>
      </c>
      <c r="E70" s="8" t="s">
        <v>289</v>
      </c>
    </row>
    <row r="71" spans="1:5" ht="11.25" customHeight="1" x14ac:dyDescent="0.25">
      <c r="A71" s="8" t="s">
        <v>286</v>
      </c>
      <c r="B71" s="8" t="s">
        <v>287</v>
      </c>
      <c r="C71" s="8" t="s">
        <v>288</v>
      </c>
      <c r="D71" s="8">
        <v>257</v>
      </c>
      <c r="E71" s="8" t="s">
        <v>289</v>
      </c>
    </row>
    <row r="72" spans="1:5" ht="11.25" customHeight="1" x14ac:dyDescent="0.25">
      <c r="A72" s="8" t="s">
        <v>286</v>
      </c>
      <c r="B72" s="8" t="s">
        <v>287</v>
      </c>
      <c r="C72" s="8" t="s">
        <v>288</v>
      </c>
      <c r="D72" s="8">
        <v>258</v>
      </c>
      <c r="E72" s="8" t="s">
        <v>289</v>
      </c>
    </row>
    <row r="73" spans="1:5" ht="11.25" customHeight="1" x14ac:dyDescent="0.25">
      <c r="A73" s="8" t="s">
        <v>286</v>
      </c>
      <c r="B73" s="8" t="s">
        <v>287</v>
      </c>
      <c r="C73" s="8" t="s">
        <v>288</v>
      </c>
      <c r="D73" s="8">
        <v>259</v>
      </c>
      <c r="E73" s="8" t="s">
        <v>289</v>
      </c>
    </row>
    <row r="74" spans="1:5" ht="11.25" customHeight="1" x14ac:dyDescent="0.25">
      <c r="A74" s="8" t="s">
        <v>286</v>
      </c>
      <c r="C74" s="8" t="s">
        <v>475</v>
      </c>
      <c r="D74" s="8">
        <v>40</v>
      </c>
      <c r="E74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CD9B-3A14-4847-AA7F-0FE2E1C2980B}">
  <dimension ref="A1:AX86"/>
  <sheetViews>
    <sheetView showGridLines="0" workbookViewId="0"/>
  </sheetViews>
  <sheetFormatPr defaultRowHeight="11.25" x14ac:dyDescent="0.25"/>
  <cols>
    <col min="1" max="1" width="4.7109375" style="8" bestFit="1" customWidth="1"/>
    <col min="2" max="2" width="8.85546875" style="8" bestFit="1" customWidth="1"/>
    <col min="3" max="3" width="8.7109375" style="8" bestFit="1" customWidth="1"/>
    <col min="4" max="4" width="27.140625" style="8" bestFit="1" customWidth="1"/>
    <col min="5" max="5" width="13.5703125" style="8" bestFit="1" customWidth="1"/>
    <col min="6" max="6" width="25.140625" style="8" bestFit="1" customWidth="1"/>
    <col min="7" max="9" width="10.28515625" style="8" bestFit="1" customWidth="1"/>
    <col min="10" max="10" width="6.85546875" style="8" bestFit="1" customWidth="1"/>
    <col min="11" max="11" width="4.5703125" style="8" bestFit="1" customWidth="1"/>
    <col min="12" max="12" width="4.42578125" style="8" bestFit="1" customWidth="1"/>
    <col min="13" max="13" width="6.7109375" style="8" bestFit="1" customWidth="1"/>
    <col min="14" max="14" width="6.28515625" style="8" bestFit="1" customWidth="1"/>
    <col min="15" max="15" width="11.140625" style="8" bestFit="1" customWidth="1"/>
    <col min="16" max="16" width="10.42578125" style="8" bestFit="1" customWidth="1"/>
    <col min="17" max="16384" width="9.140625" style="8"/>
  </cols>
  <sheetData>
    <row r="1" spans="1:50" ht="11.25" customHeight="1" x14ac:dyDescent="0.25">
      <c r="A1" s="36" t="s">
        <v>536</v>
      </c>
      <c r="B1" s="36" t="s">
        <v>526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6" t="s">
        <v>527</v>
      </c>
      <c r="K1" s="36" t="s">
        <v>528</v>
      </c>
      <c r="L1" s="36" t="s">
        <v>529</v>
      </c>
      <c r="M1" s="36" t="s">
        <v>530</v>
      </c>
      <c r="N1" s="36" t="s">
        <v>531</v>
      </c>
      <c r="O1" s="36" t="s">
        <v>407</v>
      </c>
      <c r="P1" s="36" t="s">
        <v>393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25">
      <c r="A2" s="37">
        <v>1</v>
      </c>
      <c r="B2" s="37" t="s">
        <v>387</v>
      </c>
      <c r="C2" s="37" t="s">
        <v>35</v>
      </c>
      <c r="D2" s="37" t="s">
        <v>39</v>
      </c>
      <c r="E2" s="37" t="s">
        <v>25</v>
      </c>
      <c r="F2" s="37" t="s">
        <v>25</v>
      </c>
      <c r="G2" s="37" t="s">
        <v>81</v>
      </c>
      <c r="H2" s="37" t="s">
        <v>25</v>
      </c>
      <c r="I2" s="37" t="s">
        <v>38</v>
      </c>
      <c r="J2" s="37" t="s">
        <v>532</v>
      </c>
      <c r="K2" s="37" t="s">
        <v>533</v>
      </c>
      <c r="L2" s="37" t="s">
        <v>73</v>
      </c>
      <c r="M2" s="37">
        <v>2021</v>
      </c>
      <c r="N2" s="37">
        <v>0</v>
      </c>
      <c r="O2" s="37">
        <v>10.039999999999999</v>
      </c>
      <c r="P2" s="37">
        <v>0</v>
      </c>
    </row>
    <row r="3" spans="1:50" ht="11.25" customHeight="1" x14ac:dyDescent="0.25">
      <c r="A3" s="37">
        <v>2</v>
      </c>
      <c r="B3" s="37" t="s">
        <v>387</v>
      </c>
      <c r="C3" s="37" t="s">
        <v>22</v>
      </c>
      <c r="D3" s="37" t="s">
        <v>88</v>
      </c>
      <c r="E3" s="37" t="s">
        <v>24</v>
      </c>
      <c r="F3" s="37" t="s">
        <v>30</v>
      </c>
      <c r="G3" s="37" t="s">
        <v>25</v>
      </c>
      <c r="H3" s="37" t="s">
        <v>25</v>
      </c>
      <c r="I3" s="37" t="s">
        <v>25</v>
      </c>
      <c r="J3" s="37" t="s">
        <v>532</v>
      </c>
      <c r="K3" s="37" t="s">
        <v>533</v>
      </c>
      <c r="L3" s="37" t="s">
        <v>73</v>
      </c>
      <c r="M3" s="37">
        <v>2021</v>
      </c>
      <c r="N3" s="37">
        <v>0</v>
      </c>
      <c r="O3" s="37">
        <v>253.87</v>
      </c>
      <c r="P3" s="37">
        <v>0</v>
      </c>
    </row>
    <row r="4" spans="1:50" ht="11.25" customHeight="1" x14ac:dyDescent="0.25">
      <c r="A4" s="37">
        <v>3</v>
      </c>
      <c r="B4" s="37" t="s">
        <v>387</v>
      </c>
      <c r="C4" s="37" t="s">
        <v>35</v>
      </c>
      <c r="D4" s="37" t="s">
        <v>39</v>
      </c>
      <c r="E4" s="37" t="s">
        <v>25</v>
      </c>
      <c r="F4" s="37" t="s">
        <v>25</v>
      </c>
      <c r="G4" s="37" t="s">
        <v>25</v>
      </c>
      <c r="H4" s="37" t="s">
        <v>25</v>
      </c>
      <c r="I4" s="37" t="s">
        <v>38</v>
      </c>
      <c r="J4" s="37" t="s">
        <v>532</v>
      </c>
      <c r="K4" s="37" t="s">
        <v>533</v>
      </c>
      <c r="L4" s="37" t="s">
        <v>73</v>
      </c>
      <c r="M4" s="37">
        <v>2021</v>
      </c>
      <c r="N4" s="37">
        <v>0</v>
      </c>
      <c r="O4" s="37">
        <v>68.55</v>
      </c>
      <c r="P4" s="37">
        <v>49.6166432407028</v>
      </c>
    </row>
    <row r="5" spans="1:50" ht="11.25" customHeight="1" x14ac:dyDescent="0.25">
      <c r="A5" s="37">
        <v>4</v>
      </c>
      <c r="B5" s="37" t="s">
        <v>387</v>
      </c>
      <c r="C5" s="37" t="s">
        <v>22</v>
      </c>
      <c r="D5" s="37" t="s">
        <v>88</v>
      </c>
      <c r="E5" s="37" t="s">
        <v>24</v>
      </c>
      <c r="F5" s="37" t="s">
        <v>29</v>
      </c>
      <c r="G5" s="37" t="s">
        <v>25</v>
      </c>
      <c r="H5" s="37" t="s">
        <v>25</v>
      </c>
      <c r="I5" s="37" t="s">
        <v>25</v>
      </c>
      <c r="J5" s="37" t="s">
        <v>532</v>
      </c>
      <c r="K5" s="37" t="s">
        <v>533</v>
      </c>
      <c r="L5" s="37" t="s">
        <v>73</v>
      </c>
      <c r="M5" s="37">
        <v>2021</v>
      </c>
      <c r="N5" s="37">
        <v>0</v>
      </c>
      <c r="O5" s="37">
        <v>148.09</v>
      </c>
      <c r="P5" s="37">
        <v>0</v>
      </c>
    </row>
    <row r="6" spans="1:50" ht="11.25" customHeight="1" x14ac:dyDescent="0.25">
      <c r="A6" s="37">
        <v>5</v>
      </c>
      <c r="B6" s="37" t="s">
        <v>387</v>
      </c>
      <c r="C6" s="37" t="s">
        <v>35</v>
      </c>
      <c r="D6" s="37" t="s">
        <v>36</v>
      </c>
      <c r="E6" s="37" t="s">
        <v>25</v>
      </c>
      <c r="F6" s="37" t="s">
        <v>25</v>
      </c>
      <c r="G6" s="37" t="s">
        <v>25</v>
      </c>
      <c r="H6" s="37" t="s">
        <v>25</v>
      </c>
      <c r="I6" s="37" t="s">
        <v>37</v>
      </c>
      <c r="J6" s="37" t="s">
        <v>534</v>
      </c>
      <c r="K6" s="37" t="s">
        <v>533</v>
      </c>
      <c r="L6" s="37" t="s">
        <v>78</v>
      </c>
      <c r="M6" s="37">
        <v>2021</v>
      </c>
      <c r="N6" s="37">
        <v>0</v>
      </c>
      <c r="O6" s="37">
        <v>85.11</v>
      </c>
      <c r="P6" s="37">
        <v>0</v>
      </c>
    </row>
    <row r="7" spans="1:50" ht="11.25" customHeight="1" x14ac:dyDescent="0.25">
      <c r="A7" s="37">
        <v>6</v>
      </c>
      <c r="B7" s="37" t="s">
        <v>387</v>
      </c>
      <c r="C7" s="37" t="s">
        <v>22</v>
      </c>
      <c r="D7" s="37" t="s">
        <v>86</v>
      </c>
      <c r="E7" s="37" t="s">
        <v>24</v>
      </c>
      <c r="F7" s="37" t="s">
        <v>24</v>
      </c>
      <c r="G7" s="37" t="s">
        <v>25</v>
      </c>
      <c r="H7" s="37" t="s">
        <v>25</v>
      </c>
      <c r="I7" s="37" t="s">
        <v>535</v>
      </c>
      <c r="J7" s="37" t="s">
        <v>532</v>
      </c>
      <c r="K7" s="37" t="s">
        <v>533</v>
      </c>
      <c r="L7" s="37" t="s">
        <v>73</v>
      </c>
      <c r="M7" s="37">
        <v>2021</v>
      </c>
      <c r="N7" s="37">
        <v>0</v>
      </c>
      <c r="O7" s="37">
        <v>677.6</v>
      </c>
      <c r="P7" s="37">
        <v>57.030624414600901</v>
      </c>
    </row>
    <row r="8" spans="1:50" ht="11.25" customHeight="1" x14ac:dyDescent="0.25">
      <c r="A8" s="37">
        <v>7</v>
      </c>
      <c r="B8" s="37" t="s">
        <v>387</v>
      </c>
      <c r="C8" s="37" t="s">
        <v>22</v>
      </c>
      <c r="D8" s="37" t="s">
        <v>88</v>
      </c>
      <c r="E8" s="37" t="s">
        <v>24</v>
      </c>
      <c r="F8" s="37" t="s">
        <v>24</v>
      </c>
      <c r="G8" s="37" t="s">
        <v>25</v>
      </c>
      <c r="H8" s="37" t="s">
        <v>25</v>
      </c>
      <c r="I8" s="37" t="s">
        <v>25</v>
      </c>
      <c r="J8" s="37" t="s">
        <v>532</v>
      </c>
      <c r="K8" s="37" t="s">
        <v>533</v>
      </c>
      <c r="L8" s="37" t="s">
        <v>73</v>
      </c>
      <c r="M8" s="37">
        <v>2021</v>
      </c>
      <c r="N8" s="37">
        <v>0</v>
      </c>
      <c r="O8" s="37">
        <v>489.03</v>
      </c>
      <c r="P8" s="37">
        <v>57.030624414600901</v>
      </c>
    </row>
    <row r="9" spans="1:50" ht="11.25" customHeight="1" x14ac:dyDescent="0.25">
      <c r="A9" s="37">
        <v>8</v>
      </c>
      <c r="B9" s="37" t="s">
        <v>387</v>
      </c>
      <c r="C9" s="37" t="s">
        <v>22</v>
      </c>
      <c r="D9" s="37" t="s">
        <v>86</v>
      </c>
      <c r="E9" s="37" t="s">
        <v>24</v>
      </c>
      <c r="F9" s="37" t="s">
        <v>24</v>
      </c>
      <c r="G9" s="37" t="s">
        <v>25</v>
      </c>
      <c r="H9" s="37" t="s">
        <v>25</v>
      </c>
      <c r="I9" s="37" t="s">
        <v>37</v>
      </c>
      <c r="J9" s="37" t="s">
        <v>532</v>
      </c>
      <c r="K9" s="37" t="s">
        <v>533</v>
      </c>
      <c r="L9" s="37" t="s">
        <v>73</v>
      </c>
      <c r="M9" s="37">
        <v>2021</v>
      </c>
      <c r="N9" s="37">
        <v>0</v>
      </c>
      <c r="O9" s="37">
        <v>1070.78</v>
      </c>
      <c r="P9" s="37">
        <v>57.030624414600901</v>
      </c>
    </row>
    <row r="10" spans="1:50" ht="11.25" customHeight="1" x14ac:dyDescent="0.25">
      <c r="A10" s="37">
        <v>9</v>
      </c>
      <c r="B10" s="37" t="s">
        <v>387</v>
      </c>
      <c r="C10" s="37" t="s">
        <v>41</v>
      </c>
      <c r="D10" s="37" t="s">
        <v>86</v>
      </c>
      <c r="E10" s="37" t="s">
        <v>42</v>
      </c>
      <c r="F10" s="37" t="s">
        <v>25</v>
      </c>
      <c r="G10" s="37" t="s">
        <v>25</v>
      </c>
      <c r="H10" s="37" t="s">
        <v>25</v>
      </c>
      <c r="I10" s="37" t="s">
        <v>37</v>
      </c>
      <c r="J10" s="37" t="s">
        <v>532</v>
      </c>
      <c r="K10" s="37" t="s">
        <v>533</v>
      </c>
      <c r="L10" s="37" t="s">
        <v>73</v>
      </c>
      <c r="M10" s="37">
        <v>2021</v>
      </c>
      <c r="N10" s="37">
        <v>0</v>
      </c>
      <c r="O10" s="37">
        <v>995.24</v>
      </c>
      <c r="P10" s="37">
        <v>50.186949484848803</v>
      </c>
    </row>
    <row r="11" spans="1:50" ht="11.25" customHeight="1" x14ac:dyDescent="0.25">
      <c r="A11" s="37">
        <v>10</v>
      </c>
      <c r="B11" s="37" t="s">
        <v>387</v>
      </c>
      <c r="C11" s="37" t="s">
        <v>35</v>
      </c>
      <c r="D11" s="37" t="s">
        <v>36</v>
      </c>
      <c r="E11" s="37" t="s">
        <v>25</v>
      </c>
      <c r="F11" s="37" t="s">
        <v>25</v>
      </c>
      <c r="G11" s="37" t="s">
        <v>81</v>
      </c>
      <c r="H11" s="37" t="s">
        <v>25</v>
      </c>
      <c r="I11" s="37" t="s">
        <v>25</v>
      </c>
      <c r="J11" s="37" t="s">
        <v>532</v>
      </c>
      <c r="K11" s="37" t="s">
        <v>533</v>
      </c>
      <c r="L11" s="37" t="s">
        <v>73</v>
      </c>
      <c r="M11" s="37">
        <v>2021</v>
      </c>
      <c r="N11" s="37">
        <v>0</v>
      </c>
      <c r="O11" s="37">
        <v>10.039999999999999</v>
      </c>
      <c r="P11" s="37">
        <v>0</v>
      </c>
    </row>
    <row r="12" spans="1:50" ht="11.25" customHeight="1" x14ac:dyDescent="0.25">
      <c r="A12" s="37">
        <v>11</v>
      </c>
      <c r="B12" s="37" t="s">
        <v>387</v>
      </c>
      <c r="C12" s="37" t="s">
        <v>22</v>
      </c>
      <c r="D12" s="37" t="s">
        <v>23</v>
      </c>
      <c r="E12" s="37" t="s">
        <v>24</v>
      </c>
      <c r="F12" s="37" t="s">
        <v>29</v>
      </c>
      <c r="G12" s="37" t="s">
        <v>25</v>
      </c>
      <c r="H12" s="37" t="s">
        <v>25</v>
      </c>
      <c r="I12" s="37" t="s">
        <v>25</v>
      </c>
      <c r="J12" s="37" t="s">
        <v>532</v>
      </c>
      <c r="K12" s="37" t="s">
        <v>533</v>
      </c>
      <c r="L12" s="37" t="s">
        <v>73</v>
      </c>
      <c r="M12" s="37">
        <v>2021</v>
      </c>
      <c r="N12" s="37">
        <v>0</v>
      </c>
      <c r="O12" s="37">
        <v>148.09</v>
      </c>
      <c r="P12" s="37">
        <v>0</v>
      </c>
    </row>
    <row r="13" spans="1:50" ht="11.25" customHeight="1" x14ac:dyDescent="0.25">
      <c r="A13" s="37">
        <v>12</v>
      </c>
      <c r="B13" s="37" t="s">
        <v>387</v>
      </c>
      <c r="C13" s="37" t="s">
        <v>35</v>
      </c>
      <c r="D13" s="37" t="s">
        <v>36</v>
      </c>
      <c r="E13" s="37" t="s">
        <v>25</v>
      </c>
      <c r="F13" s="37" t="s">
        <v>25</v>
      </c>
      <c r="G13" s="37" t="s">
        <v>25</v>
      </c>
      <c r="H13" s="37" t="s">
        <v>25</v>
      </c>
      <c r="I13" s="37" t="s">
        <v>38</v>
      </c>
      <c r="J13" s="37" t="s">
        <v>534</v>
      </c>
      <c r="K13" s="37" t="s">
        <v>533</v>
      </c>
      <c r="L13" s="37" t="s">
        <v>78</v>
      </c>
      <c r="M13" s="37">
        <v>2021</v>
      </c>
      <c r="N13" s="37">
        <v>0</v>
      </c>
      <c r="O13" s="37">
        <v>38.520000000000003</v>
      </c>
      <c r="P13" s="37">
        <v>0</v>
      </c>
    </row>
    <row r="14" spans="1:50" ht="11.25" customHeight="1" x14ac:dyDescent="0.25">
      <c r="A14" s="37">
        <v>13</v>
      </c>
      <c r="B14" s="37" t="s">
        <v>387</v>
      </c>
      <c r="C14" s="37" t="s">
        <v>22</v>
      </c>
      <c r="D14" s="37" t="s">
        <v>86</v>
      </c>
      <c r="E14" s="37" t="s">
        <v>24</v>
      </c>
      <c r="F14" s="37" t="s">
        <v>24</v>
      </c>
      <c r="G14" s="37" t="s">
        <v>25</v>
      </c>
      <c r="H14" s="37" t="s">
        <v>25</v>
      </c>
      <c r="I14" s="37" t="s">
        <v>38</v>
      </c>
      <c r="J14" s="37" t="s">
        <v>532</v>
      </c>
      <c r="K14" s="37" t="s">
        <v>533</v>
      </c>
      <c r="L14" s="37" t="s">
        <v>73</v>
      </c>
      <c r="M14" s="37">
        <v>2021</v>
      </c>
      <c r="N14" s="37">
        <v>0</v>
      </c>
      <c r="O14" s="37">
        <v>284.42</v>
      </c>
      <c r="P14" s="37">
        <v>57.030624414600901</v>
      </c>
    </row>
    <row r="15" spans="1:50" ht="11.25" customHeight="1" x14ac:dyDescent="0.25">
      <c r="A15" s="37">
        <v>14</v>
      </c>
      <c r="B15" s="37" t="s">
        <v>387</v>
      </c>
      <c r="C15" s="37" t="s">
        <v>35</v>
      </c>
      <c r="D15" s="37" t="s">
        <v>39</v>
      </c>
      <c r="E15" s="37" t="s">
        <v>25</v>
      </c>
      <c r="F15" s="37" t="s">
        <v>25</v>
      </c>
      <c r="G15" s="37" t="s">
        <v>81</v>
      </c>
      <c r="H15" s="37" t="s">
        <v>25</v>
      </c>
      <c r="I15" s="37" t="s">
        <v>37</v>
      </c>
      <c r="J15" s="37" t="s">
        <v>532</v>
      </c>
      <c r="K15" s="37" t="s">
        <v>533</v>
      </c>
      <c r="L15" s="37" t="s">
        <v>73</v>
      </c>
      <c r="M15" s="37">
        <v>2021</v>
      </c>
      <c r="N15" s="37">
        <v>0</v>
      </c>
      <c r="O15" s="37">
        <v>2056.87</v>
      </c>
      <c r="P15" s="37">
        <v>0</v>
      </c>
    </row>
    <row r="16" spans="1:50" ht="11.25" customHeight="1" x14ac:dyDescent="0.25">
      <c r="A16" s="37">
        <v>15</v>
      </c>
      <c r="B16" s="37" t="s">
        <v>387</v>
      </c>
      <c r="C16" s="37" t="s">
        <v>35</v>
      </c>
      <c r="D16" s="37" t="s">
        <v>39</v>
      </c>
      <c r="E16" s="37" t="s">
        <v>25</v>
      </c>
      <c r="F16" s="37" t="s">
        <v>25</v>
      </c>
      <c r="G16" s="37" t="s">
        <v>25</v>
      </c>
      <c r="H16" s="37" t="s">
        <v>25</v>
      </c>
      <c r="I16" s="37" t="s">
        <v>37</v>
      </c>
      <c r="J16" s="37" t="s">
        <v>532</v>
      </c>
      <c r="K16" s="37" t="s">
        <v>533</v>
      </c>
      <c r="L16" s="37" t="s">
        <v>73</v>
      </c>
      <c r="M16" s="37">
        <v>2021</v>
      </c>
      <c r="N16" s="37">
        <v>0</v>
      </c>
      <c r="O16" s="37">
        <v>2115.38</v>
      </c>
      <c r="P16" s="37">
        <v>49.6166432407028</v>
      </c>
    </row>
    <row r="17" spans="1:16" ht="11.25" customHeight="1" x14ac:dyDescent="0.25">
      <c r="A17" s="37">
        <v>16</v>
      </c>
      <c r="B17" s="37" t="s">
        <v>387</v>
      </c>
      <c r="C17" s="37" t="s">
        <v>82</v>
      </c>
      <c r="D17" s="37" t="s">
        <v>53</v>
      </c>
      <c r="E17" s="37" t="s">
        <v>25</v>
      </c>
      <c r="F17" s="37" t="s">
        <v>25</v>
      </c>
      <c r="G17" s="37" t="s">
        <v>83</v>
      </c>
      <c r="H17" s="37" t="s">
        <v>25</v>
      </c>
      <c r="I17" s="37" t="s">
        <v>25</v>
      </c>
      <c r="J17" s="37" t="s">
        <v>534</v>
      </c>
      <c r="K17" s="37" t="s">
        <v>533</v>
      </c>
      <c r="L17" s="37" t="s">
        <v>78</v>
      </c>
      <c r="M17" s="37">
        <v>2021</v>
      </c>
      <c r="N17" s="37">
        <v>0</v>
      </c>
      <c r="O17" s="37">
        <v>0</v>
      </c>
      <c r="P17" s="37">
        <v>0</v>
      </c>
    </row>
    <row r="18" spans="1:16" ht="11.25" customHeight="1" x14ac:dyDescent="0.25">
      <c r="A18" s="37">
        <v>17</v>
      </c>
      <c r="B18" s="37" t="s">
        <v>387</v>
      </c>
      <c r="C18" s="37" t="s">
        <v>22</v>
      </c>
      <c r="D18" s="37" t="s">
        <v>88</v>
      </c>
      <c r="E18" s="37" t="s">
        <v>24</v>
      </c>
      <c r="F18" s="37" t="s">
        <v>31</v>
      </c>
      <c r="G18" s="37" t="s">
        <v>25</v>
      </c>
      <c r="H18" s="37" t="s">
        <v>25</v>
      </c>
      <c r="I18" s="37" t="s">
        <v>25</v>
      </c>
      <c r="J18" s="37" t="s">
        <v>532</v>
      </c>
      <c r="K18" s="37" t="s">
        <v>533</v>
      </c>
      <c r="L18" s="37" t="s">
        <v>73</v>
      </c>
      <c r="M18" s="37">
        <v>2021</v>
      </c>
      <c r="N18" s="37">
        <v>0</v>
      </c>
      <c r="O18" s="37">
        <v>380.8</v>
      </c>
      <c r="P18" s="37">
        <v>0</v>
      </c>
    </row>
    <row r="19" spans="1:16" ht="11.25" customHeight="1" x14ac:dyDescent="0.25">
      <c r="A19" s="37">
        <v>18</v>
      </c>
      <c r="B19" s="37" t="s">
        <v>387</v>
      </c>
      <c r="C19" s="37" t="s">
        <v>22</v>
      </c>
      <c r="D19" s="37" t="s">
        <v>23</v>
      </c>
      <c r="E19" s="37" t="s">
        <v>24</v>
      </c>
      <c r="F19" s="37" t="s">
        <v>32</v>
      </c>
      <c r="G19" s="37" t="s">
        <v>25</v>
      </c>
      <c r="H19" s="37" t="s">
        <v>25</v>
      </c>
      <c r="I19" s="37" t="s">
        <v>25</v>
      </c>
      <c r="J19" s="37" t="s">
        <v>532</v>
      </c>
      <c r="K19" s="37" t="s">
        <v>533</v>
      </c>
      <c r="L19" s="37" t="s">
        <v>73</v>
      </c>
      <c r="M19" s="37">
        <v>2021</v>
      </c>
      <c r="N19" s="37">
        <v>0</v>
      </c>
      <c r="O19" s="37">
        <v>423.11</v>
      </c>
      <c r="P19" s="37">
        <v>0</v>
      </c>
    </row>
    <row r="20" spans="1:16" ht="11.25" customHeight="1" x14ac:dyDescent="0.25">
      <c r="A20" s="37">
        <v>19</v>
      </c>
      <c r="B20" s="37" t="s">
        <v>387</v>
      </c>
      <c r="C20" s="37" t="s">
        <v>35</v>
      </c>
      <c r="D20" s="37" t="s">
        <v>36</v>
      </c>
      <c r="E20" s="37" t="s">
        <v>25</v>
      </c>
      <c r="F20" s="37" t="s">
        <v>25</v>
      </c>
      <c r="G20" s="37" t="s">
        <v>25</v>
      </c>
      <c r="H20" s="37" t="s">
        <v>25</v>
      </c>
      <c r="I20" s="37" t="s">
        <v>25</v>
      </c>
      <c r="J20" s="37" t="s">
        <v>532</v>
      </c>
      <c r="K20" s="37" t="s">
        <v>533</v>
      </c>
      <c r="L20" s="37" t="s">
        <v>73</v>
      </c>
      <c r="M20" s="37">
        <v>2021</v>
      </c>
      <c r="N20" s="37">
        <v>0</v>
      </c>
      <c r="O20" s="37">
        <v>68.55</v>
      </c>
      <c r="P20" s="37">
        <v>49.6166432407028</v>
      </c>
    </row>
    <row r="21" spans="1:16" ht="11.25" customHeight="1" x14ac:dyDescent="0.25">
      <c r="A21" s="37">
        <v>20</v>
      </c>
      <c r="B21" s="37" t="s">
        <v>387</v>
      </c>
      <c r="C21" s="37" t="s">
        <v>22</v>
      </c>
      <c r="D21" s="37" t="s">
        <v>23</v>
      </c>
      <c r="E21" s="37" t="s">
        <v>24</v>
      </c>
      <c r="F21" s="37" t="s">
        <v>24</v>
      </c>
      <c r="G21" s="37" t="s">
        <v>25</v>
      </c>
      <c r="H21" s="37" t="s">
        <v>25</v>
      </c>
      <c r="I21" s="37" t="s">
        <v>25</v>
      </c>
      <c r="J21" s="37" t="s">
        <v>532</v>
      </c>
      <c r="K21" s="37" t="s">
        <v>533</v>
      </c>
      <c r="L21" s="37" t="s">
        <v>73</v>
      </c>
      <c r="M21" s="37">
        <v>2021</v>
      </c>
      <c r="N21" s="37">
        <v>0</v>
      </c>
      <c r="O21" s="37">
        <v>489.03</v>
      </c>
      <c r="P21" s="37">
        <v>57.030624414600901</v>
      </c>
    </row>
    <row r="22" spans="1:16" ht="11.25" customHeight="1" x14ac:dyDescent="0.25">
      <c r="A22" s="37">
        <v>21</v>
      </c>
      <c r="B22" s="37" t="s">
        <v>387</v>
      </c>
      <c r="C22" s="37" t="s">
        <v>82</v>
      </c>
      <c r="D22" s="37" t="s">
        <v>53</v>
      </c>
      <c r="E22" s="37" t="s">
        <v>25</v>
      </c>
      <c r="F22" s="37" t="s">
        <v>25</v>
      </c>
      <c r="G22" s="37" t="s">
        <v>84</v>
      </c>
      <c r="H22" s="37" t="s">
        <v>25</v>
      </c>
      <c r="I22" s="37" t="s">
        <v>25</v>
      </c>
      <c r="J22" s="37" t="s">
        <v>534</v>
      </c>
      <c r="K22" s="37" t="s">
        <v>533</v>
      </c>
      <c r="L22" s="37" t="s">
        <v>78</v>
      </c>
      <c r="M22" s="37">
        <v>2021</v>
      </c>
      <c r="N22" s="37">
        <v>0</v>
      </c>
      <c r="O22" s="37">
        <v>0</v>
      </c>
      <c r="P22" s="37">
        <v>0</v>
      </c>
    </row>
    <row r="23" spans="1:16" ht="11.25" customHeight="1" x14ac:dyDescent="0.25">
      <c r="A23" s="37">
        <v>22</v>
      </c>
      <c r="B23" s="37" t="s">
        <v>387</v>
      </c>
      <c r="C23" s="37" t="s">
        <v>22</v>
      </c>
      <c r="D23" s="37" t="s">
        <v>88</v>
      </c>
      <c r="E23" s="37" t="s">
        <v>24</v>
      </c>
      <c r="F23" s="37" t="s">
        <v>32</v>
      </c>
      <c r="G23" s="37" t="s">
        <v>25</v>
      </c>
      <c r="H23" s="37" t="s">
        <v>25</v>
      </c>
      <c r="I23" s="37" t="s">
        <v>25</v>
      </c>
      <c r="J23" s="37" t="s">
        <v>532</v>
      </c>
      <c r="K23" s="37" t="s">
        <v>533</v>
      </c>
      <c r="L23" s="37" t="s">
        <v>73</v>
      </c>
      <c r="M23" s="37">
        <v>2021</v>
      </c>
      <c r="N23" s="37">
        <v>0</v>
      </c>
      <c r="O23" s="37">
        <v>423.11</v>
      </c>
      <c r="P23" s="37">
        <v>0</v>
      </c>
    </row>
    <row r="24" spans="1:16" ht="11.25" customHeight="1" x14ac:dyDescent="0.25">
      <c r="A24" s="37">
        <v>23</v>
      </c>
      <c r="B24" s="37" t="s">
        <v>387</v>
      </c>
      <c r="C24" s="37" t="s">
        <v>41</v>
      </c>
      <c r="D24" s="37" t="s">
        <v>86</v>
      </c>
      <c r="E24" s="37" t="s">
        <v>42</v>
      </c>
      <c r="F24" s="37" t="s">
        <v>90</v>
      </c>
      <c r="G24" s="37" t="s">
        <v>25</v>
      </c>
      <c r="H24" s="37" t="s">
        <v>25</v>
      </c>
      <c r="I24" s="37" t="s">
        <v>535</v>
      </c>
      <c r="J24" s="37" t="s">
        <v>532</v>
      </c>
      <c r="K24" s="37" t="s">
        <v>533</v>
      </c>
      <c r="L24" s="37" t="s">
        <v>73</v>
      </c>
      <c r="M24" s="37">
        <v>2021</v>
      </c>
      <c r="N24" s="37">
        <v>0</v>
      </c>
      <c r="O24" s="37">
        <v>599.51</v>
      </c>
      <c r="P24" s="37">
        <v>47.905724508264697</v>
      </c>
    </row>
    <row r="25" spans="1:16" ht="11.25" customHeight="1" x14ac:dyDescent="0.25">
      <c r="A25" s="37">
        <v>24</v>
      </c>
      <c r="B25" s="37" t="s">
        <v>415</v>
      </c>
      <c r="C25" s="37" t="s">
        <v>35</v>
      </c>
      <c r="D25" s="37" t="s">
        <v>72</v>
      </c>
      <c r="E25" s="37" t="s">
        <v>25</v>
      </c>
      <c r="F25" s="37" t="s">
        <v>25</v>
      </c>
      <c r="G25" s="37" t="s">
        <v>25</v>
      </c>
      <c r="H25" s="37" t="s">
        <v>25</v>
      </c>
      <c r="I25" s="37" t="s">
        <v>37</v>
      </c>
      <c r="J25" s="37" t="s">
        <v>532</v>
      </c>
      <c r="K25" s="37" t="s">
        <v>533</v>
      </c>
      <c r="L25" s="37" t="s">
        <v>73</v>
      </c>
      <c r="M25" s="37">
        <v>2021</v>
      </c>
      <c r="N25" s="37">
        <v>0</v>
      </c>
      <c r="O25" s="37">
        <v>211.54</v>
      </c>
      <c r="P25" s="37"/>
    </row>
    <row r="26" spans="1:16" ht="11.25" customHeight="1" x14ac:dyDescent="0.25">
      <c r="A26" s="37">
        <v>25</v>
      </c>
      <c r="B26" s="37" t="s">
        <v>387</v>
      </c>
      <c r="C26" s="37" t="s">
        <v>35</v>
      </c>
      <c r="D26" s="37" t="s">
        <v>53</v>
      </c>
      <c r="E26" s="37" t="s">
        <v>25</v>
      </c>
      <c r="F26" s="37" t="s">
        <v>25</v>
      </c>
      <c r="G26" s="37" t="s">
        <v>25</v>
      </c>
      <c r="H26" s="37" t="s">
        <v>25</v>
      </c>
      <c r="I26" s="37" t="s">
        <v>25</v>
      </c>
      <c r="J26" s="37" t="s">
        <v>534</v>
      </c>
      <c r="K26" s="37" t="s">
        <v>533</v>
      </c>
      <c r="L26" s="37" t="s">
        <v>78</v>
      </c>
      <c r="M26" s="37">
        <v>2021</v>
      </c>
      <c r="N26" s="37">
        <v>0</v>
      </c>
      <c r="O26" s="37">
        <v>9.1</v>
      </c>
      <c r="P26" s="37">
        <v>0</v>
      </c>
    </row>
    <row r="27" spans="1:16" ht="11.25" customHeight="1" x14ac:dyDescent="0.25">
      <c r="A27" s="37">
        <v>26</v>
      </c>
      <c r="B27" s="37" t="s">
        <v>387</v>
      </c>
      <c r="C27" s="37" t="s">
        <v>22</v>
      </c>
      <c r="D27" s="37" t="s">
        <v>23</v>
      </c>
      <c r="E27" s="37" t="s">
        <v>24</v>
      </c>
      <c r="F27" s="37" t="s">
        <v>31</v>
      </c>
      <c r="G27" s="37" t="s">
        <v>25</v>
      </c>
      <c r="H27" s="37" t="s">
        <v>25</v>
      </c>
      <c r="I27" s="37" t="s">
        <v>25</v>
      </c>
      <c r="J27" s="37" t="s">
        <v>532</v>
      </c>
      <c r="K27" s="37" t="s">
        <v>533</v>
      </c>
      <c r="L27" s="37" t="s">
        <v>73</v>
      </c>
      <c r="M27" s="37">
        <v>2021</v>
      </c>
      <c r="N27" s="37">
        <v>0</v>
      </c>
      <c r="O27" s="37">
        <v>380.8</v>
      </c>
      <c r="P27" s="37">
        <v>0</v>
      </c>
    </row>
    <row r="28" spans="1:16" ht="11.25" customHeight="1" x14ac:dyDescent="0.25">
      <c r="A28" s="37">
        <v>27</v>
      </c>
      <c r="B28" s="37" t="s">
        <v>387</v>
      </c>
      <c r="C28" s="37" t="s">
        <v>41</v>
      </c>
      <c r="D28" s="37" t="s">
        <v>86</v>
      </c>
      <c r="E28" s="37" t="s">
        <v>42</v>
      </c>
      <c r="F28" s="37" t="s">
        <v>25</v>
      </c>
      <c r="G28" s="37" t="s">
        <v>25</v>
      </c>
      <c r="H28" s="37" t="s">
        <v>25</v>
      </c>
      <c r="I28" s="37" t="s">
        <v>535</v>
      </c>
      <c r="J28" s="37" t="s">
        <v>532</v>
      </c>
      <c r="K28" s="37" t="s">
        <v>533</v>
      </c>
      <c r="L28" s="37" t="s">
        <v>73</v>
      </c>
      <c r="M28" s="37">
        <v>2021</v>
      </c>
      <c r="N28" s="37">
        <v>0</v>
      </c>
      <c r="O28" s="37">
        <v>628.05999999999995</v>
      </c>
      <c r="P28" s="37">
        <v>50.186949484848803</v>
      </c>
    </row>
    <row r="29" spans="1:16" ht="11.25" customHeight="1" x14ac:dyDescent="0.25">
      <c r="A29" s="37">
        <v>28</v>
      </c>
      <c r="B29" s="37" t="s">
        <v>387</v>
      </c>
      <c r="C29" s="37" t="s">
        <v>33</v>
      </c>
      <c r="D29" s="37" t="s">
        <v>86</v>
      </c>
      <c r="E29" s="37" t="s">
        <v>25</v>
      </c>
      <c r="F29" s="37" t="s">
        <v>25</v>
      </c>
      <c r="G29" s="37" t="s">
        <v>25</v>
      </c>
      <c r="H29" s="37" t="s">
        <v>25</v>
      </c>
      <c r="I29" s="37" t="s">
        <v>37</v>
      </c>
      <c r="J29" s="37" t="s">
        <v>532</v>
      </c>
      <c r="K29" s="37" t="s">
        <v>533</v>
      </c>
      <c r="L29" s="37" t="s">
        <v>73</v>
      </c>
      <c r="M29" s="37">
        <v>2021</v>
      </c>
      <c r="N29" s="37">
        <v>0</v>
      </c>
      <c r="O29" s="37">
        <v>1291.44</v>
      </c>
      <c r="P29" s="37">
        <v>57.030624414600901</v>
      </c>
    </row>
    <row r="30" spans="1:16" ht="11.25" customHeight="1" x14ac:dyDescent="0.25">
      <c r="A30" s="37">
        <v>29</v>
      </c>
      <c r="B30" s="37" t="s">
        <v>387</v>
      </c>
      <c r="C30" s="37" t="s">
        <v>41</v>
      </c>
      <c r="D30" s="37" t="s">
        <v>23</v>
      </c>
      <c r="E30" s="37" t="s">
        <v>42</v>
      </c>
      <c r="F30" s="37" t="s">
        <v>90</v>
      </c>
      <c r="G30" s="37" t="s">
        <v>25</v>
      </c>
      <c r="H30" s="37" t="s">
        <v>25</v>
      </c>
      <c r="I30" s="37" t="s">
        <v>25</v>
      </c>
      <c r="J30" s="37" t="s">
        <v>532</v>
      </c>
      <c r="K30" s="37" t="s">
        <v>533</v>
      </c>
      <c r="L30" s="37" t="s">
        <v>73</v>
      </c>
      <c r="M30" s="37">
        <v>2021</v>
      </c>
      <c r="N30" s="37">
        <v>0</v>
      </c>
      <c r="O30" s="37">
        <v>410.79</v>
      </c>
      <c r="P30" s="37">
        <v>47.905724508264697</v>
      </c>
    </row>
    <row r="31" spans="1:16" ht="11.25" customHeight="1" x14ac:dyDescent="0.25">
      <c r="A31" s="37">
        <v>30</v>
      </c>
      <c r="B31" s="37" t="s">
        <v>415</v>
      </c>
      <c r="C31" s="37" t="s">
        <v>35</v>
      </c>
      <c r="D31" s="37" t="s">
        <v>76</v>
      </c>
      <c r="E31" s="37" t="s">
        <v>25</v>
      </c>
      <c r="F31" s="37" t="s">
        <v>25</v>
      </c>
      <c r="G31" s="37" t="s">
        <v>25</v>
      </c>
      <c r="H31" s="37" t="s">
        <v>25</v>
      </c>
      <c r="I31" s="37" t="s">
        <v>25</v>
      </c>
      <c r="J31" s="37" t="s">
        <v>532</v>
      </c>
      <c r="K31" s="37" t="s">
        <v>533</v>
      </c>
      <c r="L31" s="37" t="s">
        <v>73</v>
      </c>
      <c r="M31" s="37">
        <v>2021</v>
      </c>
      <c r="N31" s="37">
        <v>0</v>
      </c>
      <c r="O31" s="37">
        <v>211.54</v>
      </c>
      <c r="P31" s="37"/>
    </row>
    <row r="32" spans="1:16" ht="11.25" customHeight="1" x14ac:dyDescent="0.25">
      <c r="A32" s="37">
        <v>31</v>
      </c>
      <c r="B32" s="37" t="s">
        <v>387</v>
      </c>
      <c r="C32" s="37" t="s">
        <v>35</v>
      </c>
      <c r="D32" s="37" t="s">
        <v>39</v>
      </c>
      <c r="E32" s="37" t="s">
        <v>25</v>
      </c>
      <c r="F32" s="37" t="s">
        <v>25</v>
      </c>
      <c r="G32" s="37" t="s">
        <v>25</v>
      </c>
      <c r="H32" s="37" t="s">
        <v>25</v>
      </c>
      <c r="I32" s="37" t="s">
        <v>25</v>
      </c>
      <c r="J32" s="37" t="s">
        <v>534</v>
      </c>
      <c r="K32" s="37" t="s">
        <v>533</v>
      </c>
      <c r="L32" s="37" t="s">
        <v>78</v>
      </c>
      <c r="M32" s="37">
        <v>2021</v>
      </c>
      <c r="N32" s="37">
        <v>0</v>
      </c>
      <c r="O32" s="37">
        <v>38.520000000000003</v>
      </c>
      <c r="P32" s="37">
        <v>0</v>
      </c>
    </row>
    <row r="33" spans="1:16" ht="11.25" customHeight="1" x14ac:dyDescent="0.25">
      <c r="A33" s="37">
        <v>32</v>
      </c>
      <c r="B33" s="37" t="s">
        <v>387</v>
      </c>
      <c r="C33" s="37" t="s">
        <v>41</v>
      </c>
      <c r="D33" s="37" t="s">
        <v>86</v>
      </c>
      <c r="E33" s="37" t="s">
        <v>42</v>
      </c>
      <c r="F33" s="37" t="s">
        <v>25</v>
      </c>
      <c r="G33" s="37" t="s">
        <v>25</v>
      </c>
      <c r="H33" s="37" t="s">
        <v>25</v>
      </c>
      <c r="I33" s="37" t="s">
        <v>38</v>
      </c>
      <c r="J33" s="37" t="s">
        <v>532</v>
      </c>
      <c r="K33" s="37" t="s">
        <v>533</v>
      </c>
      <c r="L33" s="37" t="s">
        <v>73</v>
      </c>
      <c r="M33" s="37">
        <v>2021</v>
      </c>
      <c r="N33" s="37">
        <v>0</v>
      </c>
      <c r="O33" s="37">
        <v>260.88</v>
      </c>
      <c r="P33" s="37">
        <v>50.186949484848803</v>
      </c>
    </row>
    <row r="34" spans="1:16" ht="11.25" customHeight="1" x14ac:dyDescent="0.25">
      <c r="A34" s="37">
        <v>33</v>
      </c>
      <c r="B34" s="37" t="s">
        <v>387</v>
      </c>
      <c r="C34" s="37" t="s">
        <v>33</v>
      </c>
      <c r="D34" s="37" t="s">
        <v>86</v>
      </c>
      <c r="E34" s="37" t="s">
        <v>25</v>
      </c>
      <c r="F34" s="37" t="s">
        <v>25</v>
      </c>
      <c r="G34" s="37" t="s">
        <v>25</v>
      </c>
      <c r="H34" s="37" t="s">
        <v>25</v>
      </c>
      <c r="I34" s="37" t="s">
        <v>535</v>
      </c>
      <c r="J34" s="37" t="s">
        <v>532</v>
      </c>
      <c r="K34" s="37" t="s">
        <v>533</v>
      </c>
      <c r="L34" s="37" t="s">
        <v>73</v>
      </c>
      <c r="M34" s="37">
        <v>2021</v>
      </c>
      <c r="N34" s="37">
        <v>0</v>
      </c>
      <c r="O34" s="37">
        <v>810</v>
      </c>
      <c r="P34" s="37">
        <v>57.030624414600901</v>
      </c>
    </row>
    <row r="35" spans="1:16" ht="11.25" customHeight="1" x14ac:dyDescent="0.25">
      <c r="A35" s="37">
        <v>34</v>
      </c>
      <c r="B35" s="37" t="s">
        <v>387</v>
      </c>
      <c r="C35" s="37" t="s">
        <v>41</v>
      </c>
      <c r="D35" s="37" t="s">
        <v>86</v>
      </c>
      <c r="E35" s="37" t="s">
        <v>42</v>
      </c>
      <c r="F35" s="37" t="s">
        <v>89</v>
      </c>
      <c r="G35" s="37" t="s">
        <v>25</v>
      </c>
      <c r="H35" s="37" t="s">
        <v>25</v>
      </c>
      <c r="I35" s="37" t="s">
        <v>37</v>
      </c>
      <c r="J35" s="37" t="s">
        <v>532</v>
      </c>
      <c r="K35" s="37" t="s">
        <v>533</v>
      </c>
      <c r="L35" s="37" t="s">
        <v>73</v>
      </c>
      <c r="M35" s="37">
        <v>2021</v>
      </c>
      <c r="N35" s="37">
        <v>0</v>
      </c>
      <c r="O35" s="37">
        <v>995.24</v>
      </c>
      <c r="P35" s="37">
        <v>50.186949484848803</v>
      </c>
    </row>
    <row r="36" spans="1:16" ht="11.25" customHeight="1" x14ac:dyDescent="0.25">
      <c r="A36" s="37">
        <v>35</v>
      </c>
      <c r="B36" s="37" t="s">
        <v>387</v>
      </c>
      <c r="C36" s="37" t="s">
        <v>33</v>
      </c>
      <c r="D36" s="37" t="s">
        <v>23</v>
      </c>
      <c r="E36" s="37" t="s">
        <v>25</v>
      </c>
      <c r="F36" s="37" t="s">
        <v>25</v>
      </c>
      <c r="G36" s="37" t="s">
        <v>25</v>
      </c>
      <c r="H36" s="37" t="s">
        <v>25</v>
      </c>
      <c r="I36" s="37" t="s">
        <v>25</v>
      </c>
      <c r="J36" s="37" t="s">
        <v>532</v>
      </c>
      <c r="K36" s="37" t="s">
        <v>533</v>
      </c>
      <c r="L36" s="37" t="s">
        <v>73</v>
      </c>
      <c r="M36" s="37">
        <v>2021</v>
      </c>
      <c r="N36" s="37">
        <v>0</v>
      </c>
      <c r="O36" s="37">
        <v>489.03</v>
      </c>
      <c r="P36" s="37">
        <v>57.030624414600901</v>
      </c>
    </row>
    <row r="37" spans="1:16" ht="11.25" customHeight="1" x14ac:dyDescent="0.25">
      <c r="A37" s="37">
        <v>36</v>
      </c>
      <c r="B37" s="37" t="s">
        <v>387</v>
      </c>
      <c r="C37" s="37" t="s">
        <v>41</v>
      </c>
      <c r="D37" s="37" t="s">
        <v>86</v>
      </c>
      <c r="E37" s="37" t="s">
        <v>42</v>
      </c>
      <c r="F37" s="37" t="s">
        <v>90</v>
      </c>
      <c r="G37" s="37" t="s">
        <v>25</v>
      </c>
      <c r="H37" s="37" t="s">
        <v>25</v>
      </c>
      <c r="I37" s="37" t="s">
        <v>37</v>
      </c>
      <c r="J37" s="37" t="s">
        <v>532</v>
      </c>
      <c r="K37" s="37" t="s">
        <v>533</v>
      </c>
      <c r="L37" s="37" t="s">
        <v>73</v>
      </c>
      <c r="M37" s="37">
        <v>2021</v>
      </c>
      <c r="N37" s="37">
        <v>0</v>
      </c>
      <c r="O37" s="37">
        <v>950</v>
      </c>
      <c r="P37" s="37">
        <v>47.905724508264697</v>
      </c>
    </row>
    <row r="38" spans="1:16" ht="11.25" customHeight="1" x14ac:dyDescent="0.25">
      <c r="A38" s="37">
        <v>37</v>
      </c>
      <c r="B38" s="37" t="s">
        <v>387</v>
      </c>
      <c r="C38" s="37" t="s">
        <v>44</v>
      </c>
      <c r="D38" s="37" t="s">
        <v>23</v>
      </c>
      <c r="E38" s="37" t="s">
        <v>45</v>
      </c>
      <c r="F38" s="37" t="s">
        <v>91</v>
      </c>
      <c r="G38" s="37" t="s">
        <v>25</v>
      </c>
      <c r="H38" s="37" t="s">
        <v>25</v>
      </c>
      <c r="I38" s="37" t="s">
        <v>25</v>
      </c>
      <c r="J38" s="37" t="s">
        <v>532</v>
      </c>
      <c r="K38" s="37" t="s">
        <v>533</v>
      </c>
      <c r="L38" s="37" t="s">
        <v>73</v>
      </c>
      <c r="M38" s="37">
        <v>2021</v>
      </c>
      <c r="N38" s="37">
        <v>0</v>
      </c>
      <c r="O38" s="37">
        <v>293.42</v>
      </c>
      <c r="P38" s="37">
        <v>34.218374648760502</v>
      </c>
    </row>
    <row r="39" spans="1:16" ht="11.25" customHeight="1" x14ac:dyDescent="0.25">
      <c r="A39" s="37">
        <v>38</v>
      </c>
      <c r="B39" s="37" t="s">
        <v>387</v>
      </c>
      <c r="C39" s="37" t="s">
        <v>41</v>
      </c>
      <c r="D39" s="37" t="s">
        <v>88</v>
      </c>
      <c r="E39" s="37" t="s">
        <v>42</v>
      </c>
      <c r="F39" s="37" t="s">
        <v>25</v>
      </c>
      <c r="G39" s="37" t="s">
        <v>25</v>
      </c>
      <c r="H39" s="37" t="s">
        <v>25</v>
      </c>
      <c r="I39" s="37" t="s">
        <v>25</v>
      </c>
      <c r="J39" s="37" t="s">
        <v>532</v>
      </c>
      <c r="K39" s="37" t="s">
        <v>533</v>
      </c>
      <c r="L39" s="37" t="s">
        <v>73</v>
      </c>
      <c r="M39" s="37">
        <v>2021</v>
      </c>
      <c r="N39" s="37">
        <v>0</v>
      </c>
      <c r="O39" s="37">
        <v>430.35</v>
      </c>
      <c r="P39" s="37">
        <v>50.186949484848803</v>
      </c>
    </row>
    <row r="40" spans="1:16" ht="11.25" customHeight="1" x14ac:dyDescent="0.25">
      <c r="A40" s="37">
        <v>39</v>
      </c>
      <c r="B40" s="37" t="s">
        <v>415</v>
      </c>
      <c r="C40" s="37" t="s">
        <v>22</v>
      </c>
      <c r="D40" s="37" t="s">
        <v>72</v>
      </c>
      <c r="E40" s="37" t="s">
        <v>24</v>
      </c>
      <c r="F40" s="37" t="s">
        <v>24</v>
      </c>
      <c r="G40" s="37" t="s">
        <v>25</v>
      </c>
      <c r="H40" s="37" t="s">
        <v>25</v>
      </c>
      <c r="I40" s="37" t="s">
        <v>37</v>
      </c>
      <c r="J40" s="37" t="s">
        <v>532</v>
      </c>
      <c r="K40" s="37" t="s">
        <v>533</v>
      </c>
      <c r="L40" s="37" t="s">
        <v>73</v>
      </c>
      <c r="M40" s="37">
        <v>2021</v>
      </c>
      <c r="N40" s="37">
        <v>0</v>
      </c>
      <c r="O40" s="37">
        <v>211.54</v>
      </c>
      <c r="P40" s="37"/>
    </row>
    <row r="41" spans="1:16" ht="11.25" customHeight="1" x14ac:dyDescent="0.25">
      <c r="A41" s="37">
        <v>40</v>
      </c>
      <c r="B41" s="37" t="s">
        <v>387</v>
      </c>
      <c r="C41" s="37" t="s">
        <v>22</v>
      </c>
      <c r="D41" s="37" t="s">
        <v>23</v>
      </c>
      <c r="E41" s="37" t="s">
        <v>24</v>
      </c>
      <c r="F41" s="37" t="s">
        <v>30</v>
      </c>
      <c r="G41" s="37" t="s">
        <v>25</v>
      </c>
      <c r="H41" s="37" t="s">
        <v>25</v>
      </c>
      <c r="I41" s="37" t="s">
        <v>25</v>
      </c>
      <c r="J41" s="37" t="s">
        <v>532</v>
      </c>
      <c r="K41" s="37" t="s">
        <v>533</v>
      </c>
      <c r="L41" s="37" t="s">
        <v>73</v>
      </c>
      <c r="M41" s="37">
        <v>2021</v>
      </c>
      <c r="N41" s="37">
        <v>0</v>
      </c>
      <c r="O41" s="37">
        <v>253.87</v>
      </c>
      <c r="P41" s="37">
        <v>0</v>
      </c>
    </row>
    <row r="42" spans="1:16" ht="11.25" customHeight="1" x14ac:dyDescent="0.25">
      <c r="A42" s="37">
        <v>41</v>
      </c>
      <c r="B42" s="37" t="s">
        <v>387</v>
      </c>
      <c r="C42" s="37" t="s">
        <v>41</v>
      </c>
      <c r="D42" s="37" t="s">
        <v>23</v>
      </c>
      <c r="E42" s="37" t="s">
        <v>42</v>
      </c>
      <c r="F42" s="37" t="s">
        <v>89</v>
      </c>
      <c r="G42" s="37" t="s">
        <v>25</v>
      </c>
      <c r="H42" s="37" t="s">
        <v>25</v>
      </c>
      <c r="I42" s="37" t="s">
        <v>25</v>
      </c>
      <c r="J42" s="37" t="s">
        <v>532</v>
      </c>
      <c r="K42" s="37" t="s">
        <v>533</v>
      </c>
      <c r="L42" s="37" t="s">
        <v>73</v>
      </c>
      <c r="M42" s="37">
        <v>2021</v>
      </c>
      <c r="N42" s="37">
        <v>0</v>
      </c>
      <c r="O42" s="37">
        <v>430.35</v>
      </c>
      <c r="P42" s="37">
        <v>50.186949484848803</v>
      </c>
    </row>
    <row r="43" spans="1:16" ht="11.25" customHeight="1" x14ac:dyDescent="0.25">
      <c r="A43" s="37">
        <v>42</v>
      </c>
      <c r="B43" s="37" t="s">
        <v>387</v>
      </c>
      <c r="C43" s="37" t="s">
        <v>41</v>
      </c>
      <c r="D43" s="37" t="s">
        <v>23</v>
      </c>
      <c r="E43" s="37" t="s">
        <v>42</v>
      </c>
      <c r="F43" s="37" t="s">
        <v>25</v>
      </c>
      <c r="G43" s="37" t="s">
        <v>25</v>
      </c>
      <c r="H43" s="37" t="s">
        <v>25</v>
      </c>
      <c r="I43" s="37" t="s">
        <v>25</v>
      </c>
      <c r="J43" s="37" t="s">
        <v>532</v>
      </c>
      <c r="K43" s="37" t="s">
        <v>533</v>
      </c>
      <c r="L43" s="37" t="s">
        <v>73</v>
      </c>
      <c r="M43" s="37">
        <v>2021</v>
      </c>
      <c r="N43" s="37">
        <v>0</v>
      </c>
      <c r="O43" s="37">
        <v>430.35</v>
      </c>
      <c r="P43" s="37">
        <v>50.186949484848803</v>
      </c>
    </row>
    <row r="44" spans="1:16" ht="11.25" customHeight="1" x14ac:dyDescent="0.25">
      <c r="A44" s="37">
        <v>43</v>
      </c>
      <c r="B44" s="37" t="s">
        <v>387</v>
      </c>
      <c r="C44" s="37" t="s">
        <v>44</v>
      </c>
      <c r="D44" s="37" t="s">
        <v>23</v>
      </c>
      <c r="E44" s="37" t="s">
        <v>45</v>
      </c>
      <c r="F44" s="37" t="s">
        <v>46</v>
      </c>
      <c r="G44" s="37" t="s">
        <v>25</v>
      </c>
      <c r="H44" s="37" t="s">
        <v>25</v>
      </c>
      <c r="I44" s="37" t="s">
        <v>25</v>
      </c>
      <c r="J44" s="37" t="s">
        <v>532</v>
      </c>
      <c r="K44" s="37" t="s">
        <v>533</v>
      </c>
      <c r="L44" s="37" t="s">
        <v>73</v>
      </c>
      <c r="M44" s="37">
        <v>2021</v>
      </c>
      <c r="N44" s="37">
        <v>0</v>
      </c>
      <c r="O44" s="37">
        <v>268.97000000000003</v>
      </c>
      <c r="P44" s="37">
        <v>31.366843428030499</v>
      </c>
    </row>
    <row r="45" spans="1:16" ht="11.25" customHeight="1" x14ac:dyDescent="0.25">
      <c r="A45" s="37">
        <v>44</v>
      </c>
      <c r="B45" s="37" t="s">
        <v>387</v>
      </c>
      <c r="C45" s="37" t="s">
        <v>41</v>
      </c>
      <c r="D45" s="37" t="s">
        <v>86</v>
      </c>
      <c r="E45" s="37" t="s">
        <v>42</v>
      </c>
      <c r="F45" s="37" t="s">
        <v>89</v>
      </c>
      <c r="G45" s="37" t="s">
        <v>25</v>
      </c>
      <c r="H45" s="37" t="s">
        <v>25</v>
      </c>
      <c r="I45" s="37" t="s">
        <v>38</v>
      </c>
      <c r="J45" s="37" t="s">
        <v>532</v>
      </c>
      <c r="K45" s="37" t="s">
        <v>533</v>
      </c>
      <c r="L45" s="37" t="s">
        <v>73</v>
      </c>
      <c r="M45" s="37">
        <v>2021</v>
      </c>
      <c r="N45" s="37">
        <v>0</v>
      </c>
      <c r="O45" s="37">
        <v>260.88</v>
      </c>
      <c r="P45" s="37">
        <v>50.186949484848803</v>
      </c>
    </row>
    <row r="46" spans="1:16" ht="11.25" customHeight="1" x14ac:dyDescent="0.25">
      <c r="A46" s="37">
        <v>45</v>
      </c>
      <c r="B46" s="37" t="s">
        <v>387</v>
      </c>
      <c r="C46" s="37" t="s">
        <v>33</v>
      </c>
      <c r="D46" s="37" t="s">
        <v>88</v>
      </c>
      <c r="E46" s="37" t="s">
        <v>25</v>
      </c>
      <c r="F46" s="37" t="s">
        <v>25</v>
      </c>
      <c r="G46" s="37" t="s">
        <v>25</v>
      </c>
      <c r="H46" s="37" t="s">
        <v>25</v>
      </c>
      <c r="I46" s="37" t="s">
        <v>25</v>
      </c>
      <c r="J46" s="37" t="s">
        <v>532</v>
      </c>
      <c r="K46" s="37" t="s">
        <v>533</v>
      </c>
      <c r="L46" s="37" t="s">
        <v>73</v>
      </c>
      <c r="M46" s="37">
        <v>2021</v>
      </c>
      <c r="N46" s="37">
        <v>0</v>
      </c>
      <c r="O46" s="37">
        <v>489.03</v>
      </c>
      <c r="P46" s="37">
        <v>57.030624414600901</v>
      </c>
    </row>
    <row r="47" spans="1:16" ht="11.25" customHeight="1" x14ac:dyDescent="0.25">
      <c r="A47" s="37">
        <v>46</v>
      </c>
      <c r="B47" s="37" t="s">
        <v>387</v>
      </c>
      <c r="C47" s="37" t="s">
        <v>41</v>
      </c>
      <c r="D47" s="37" t="s">
        <v>86</v>
      </c>
      <c r="E47" s="37" t="s">
        <v>42</v>
      </c>
      <c r="F47" s="37" t="s">
        <v>89</v>
      </c>
      <c r="G47" s="37" t="s">
        <v>25</v>
      </c>
      <c r="H47" s="37" t="s">
        <v>25</v>
      </c>
      <c r="I47" s="37" t="s">
        <v>535</v>
      </c>
      <c r="J47" s="37" t="s">
        <v>532</v>
      </c>
      <c r="K47" s="37" t="s">
        <v>533</v>
      </c>
      <c r="L47" s="37" t="s">
        <v>73</v>
      </c>
      <c r="M47" s="37">
        <v>2021</v>
      </c>
      <c r="N47" s="37">
        <v>0</v>
      </c>
      <c r="O47" s="37">
        <v>628.05999999999995</v>
      </c>
      <c r="P47" s="37">
        <v>50.186949484848803</v>
      </c>
    </row>
    <row r="48" spans="1:16" ht="11.25" customHeight="1" x14ac:dyDescent="0.25">
      <c r="A48" s="37">
        <v>47</v>
      </c>
      <c r="B48" s="37" t="s">
        <v>387</v>
      </c>
      <c r="C48" s="37" t="s">
        <v>41</v>
      </c>
      <c r="D48" s="37" t="s">
        <v>86</v>
      </c>
      <c r="E48" s="37" t="s">
        <v>42</v>
      </c>
      <c r="F48" s="37" t="s">
        <v>90</v>
      </c>
      <c r="G48" s="37" t="s">
        <v>25</v>
      </c>
      <c r="H48" s="37" t="s">
        <v>25</v>
      </c>
      <c r="I48" s="37" t="s">
        <v>38</v>
      </c>
      <c r="J48" s="37" t="s">
        <v>532</v>
      </c>
      <c r="K48" s="37" t="s">
        <v>533</v>
      </c>
      <c r="L48" s="37" t="s">
        <v>73</v>
      </c>
      <c r="M48" s="37">
        <v>2021</v>
      </c>
      <c r="N48" s="37">
        <v>0</v>
      </c>
      <c r="O48" s="37">
        <v>249.02</v>
      </c>
      <c r="P48" s="37">
        <v>47.905724508264697</v>
      </c>
    </row>
    <row r="49" spans="1:16" ht="11.25" customHeight="1" x14ac:dyDescent="0.25">
      <c r="A49" s="37">
        <v>48</v>
      </c>
      <c r="B49" s="37" t="s">
        <v>415</v>
      </c>
      <c r="C49" s="37" t="s">
        <v>35</v>
      </c>
      <c r="D49" s="37" t="s">
        <v>72</v>
      </c>
      <c r="E49" s="37" t="s">
        <v>25</v>
      </c>
      <c r="F49" s="37" t="s">
        <v>25</v>
      </c>
      <c r="G49" s="37" t="s">
        <v>25</v>
      </c>
      <c r="H49" s="37" t="s">
        <v>25</v>
      </c>
      <c r="I49" s="37" t="s">
        <v>38</v>
      </c>
      <c r="J49" s="37" t="s">
        <v>532</v>
      </c>
      <c r="K49" s="37" t="s">
        <v>533</v>
      </c>
      <c r="L49" s="37" t="s">
        <v>73</v>
      </c>
      <c r="M49" s="37">
        <v>2021</v>
      </c>
      <c r="N49" s="37">
        <v>0</v>
      </c>
      <c r="O49" s="37">
        <v>211.54</v>
      </c>
      <c r="P49" s="37"/>
    </row>
    <row r="50" spans="1:16" ht="11.25" customHeight="1" x14ac:dyDescent="0.25">
      <c r="A50" s="37">
        <v>49</v>
      </c>
      <c r="B50" s="37" t="s">
        <v>387</v>
      </c>
      <c r="C50" s="37" t="s">
        <v>33</v>
      </c>
      <c r="D50" s="37" t="s">
        <v>86</v>
      </c>
      <c r="E50" s="37" t="s">
        <v>25</v>
      </c>
      <c r="F50" s="37" t="s">
        <v>25</v>
      </c>
      <c r="G50" s="37" t="s">
        <v>25</v>
      </c>
      <c r="H50" s="37" t="s">
        <v>25</v>
      </c>
      <c r="I50" s="37" t="s">
        <v>38</v>
      </c>
      <c r="J50" s="37" t="s">
        <v>532</v>
      </c>
      <c r="K50" s="37" t="s">
        <v>533</v>
      </c>
      <c r="L50" s="37" t="s">
        <v>73</v>
      </c>
      <c r="M50" s="37">
        <v>2021</v>
      </c>
      <c r="N50" s="37">
        <v>0</v>
      </c>
      <c r="O50" s="37">
        <v>328.55</v>
      </c>
      <c r="P50" s="37">
        <v>57.030624414600901</v>
      </c>
    </row>
    <row r="51" spans="1:16" ht="11.25" customHeight="1" x14ac:dyDescent="0.25">
      <c r="A51" s="37">
        <v>50</v>
      </c>
      <c r="B51" s="37" t="s">
        <v>387</v>
      </c>
      <c r="C51" s="37" t="s">
        <v>41</v>
      </c>
      <c r="D51" s="37" t="s">
        <v>88</v>
      </c>
      <c r="E51" s="37" t="s">
        <v>42</v>
      </c>
      <c r="F51" s="37" t="s">
        <v>90</v>
      </c>
      <c r="G51" s="37" t="s">
        <v>25</v>
      </c>
      <c r="H51" s="37" t="s">
        <v>25</v>
      </c>
      <c r="I51" s="37" t="s">
        <v>25</v>
      </c>
      <c r="J51" s="37" t="s">
        <v>532</v>
      </c>
      <c r="K51" s="37" t="s">
        <v>533</v>
      </c>
      <c r="L51" s="37" t="s">
        <v>73</v>
      </c>
      <c r="M51" s="37">
        <v>2021</v>
      </c>
      <c r="N51" s="37">
        <v>0</v>
      </c>
      <c r="O51" s="37">
        <v>410.79</v>
      </c>
      <c r="P51" s="37">
        <v>47.905724508264697</v>
      </c>
    </row>
    <row r="52" spans="1:16" ht="11.25" customHeight="1" x14ac:dyDescent="0.25">
      <c r="A52" s="37">
        <v>51</v>
      </c>
      <c r="B52" s="37" t="s">
        <v>415</v>
      </c>
      <c r="C52" s="37" t="s">
        <v>22</v>
      </c>
      <c r="D52" s="37" t="s">
        <v>87</v>
      </c>
      <c r="E52" s="37" t="s">
        <v>24</v>
      </c>
      <c r="F52" s="37" t="s">
        <v>24</v>
      </c>
      <c r="G52" s="37" t="s">
        <v>25</v>
      </c>
      <c r="H52" s="37" t="s">
        <v>25</v>
      </c>
      <c r="I52" s="37" t="s">
        <v>25</v>
      </c>
      <c r="J52" s="37" t="s">
        <v>532</v>
      </c>
      <c r="K52" s="37" t="s">
        <v>533</v>
      </c>
      <c r="L52" s="37" t="s">
        <v>73</v>
      </c>
      <c r="M52" s="37">
        <v>2021</v>
      </c>
      <c r="N52" s="37">
        <v>0</v>
      </c>
      <c r="O52" s="37">
        <v>211.54</v>
      </c>
      <c r="P52" s="37"/>
    </row>
    <row r="53" spans="1:16" ht="11.25" customHeight="1" x14ac:dyDescent="0.25">
      <c r="A53" s="37">
        <v>52</v>
      </c>
      <c r="B53" s="37" t="s">
        <v>415</v>
      </c>
      <c r="C53" s="37" t="s">
        <v>22</v>
      </c>
      <c r="D53" s="37" t="s">
        <v>76</v>
      </c>
      <c r="E53" s="37" t="s">
        <v>24</v>
      </c>
      <c r="F53" s="37" t="s">
        <v>32</v>
      </c>
      <c r="G53" s="37" t="s">
        <v>25</v>
      </c>
      <c r="H53" s="37" t="s">
        <v>25</v>
      </c>
      <c r="I53" s="37" t="s">
        <v>25</v>
      </c>
      <c r="J53" s="37" t="s">
        <v>532</v>
      </c>
      <c r="K53" s="37" t="s">
        <v>533</v>
      </c>
      <c r="L53" s="37" t="s">
        <v>73</v>
      </c>
      <c r="M53" s="37">
        <v>2021</v>
      </c>
      <c r="N53" s="37">
        <v>0</v>
      </c>
      <c r="O53" s="37">
        <v>211.54</v>
      </c>
      <c r="P53" s="37"/>
    </row>
    <row r="54" spans="1:16" ht="11.25" customHeight="1" x14ac:dyDescent="0.25">
      <c r="A54" s="37">
        <v>53</v>
      </c>
      <c r="B54" s="37" t="s">
        <v>387</v>
      </c>
      <c r="C54" s="37" t="s">
        <v>41</v>
      </c>
      <c r="D54" s="37" t="s">
        <v>88</v>
      </c>
      <c r="E54" s="37" t="s">
        <v>42</v>
      </c>
      <c r="F54" s="37" t="s">
        <v>89</v>
      </c>
      <c r="G54" s="37" t="s">
        <v>25</v>
      </c>
      <c r="H54" s="37" t="s">
        <v>25</v>
      </c>
      <c r="I54" s="37" t="s">
        <v>25</v>
      </c>
      <c r="J54" s="37" t="s">
        <v>532</v>
      </c>
      <c r="K54" s="37" t="s">
        <v>533</v>
      </c>
      <c r="L54" s="37" t="s">
        <v>73</v>
      </c>
      <c r="M54" s="37">
        <v>2021</v>
      </c>
      <c r="N54" s="37">
        <v>0</v>
      </c>
      <c r="O54" s="37">
        <v>430.35</v>
      </c>
      <c r="P54" s="37">
        <v>50.186949484848803</v>
      </c>
    </row>
    <row r="55" spans="1:16" ht="11.25" customHeight="1" x14ac:dyDescent="0.25">
      <c r="A55" s="37">
        <v>54</v>
      </c>
      <c r="B55" s="37" t="s">
        <v>415</v>
      </c>
      <c r="C55" s="37" t="s">
        <v>22</v>
      </c>
      <c r="D55" s="37" t="s">
        <v>87</v>
      </c>
      <c r="E55" s="37" t="s">
        <v>24</v>
      </c>
      <c r="F55" s="37" t="s">
        <v>29</v>
      </c>
      <c r="G55" s="37" t="s">
        <v>25</v>
      </c>
      <c r="H55" s="37" t="s">
        <v>25</v>
      </c>
      <c r="I55" s="37" t="s">
        <v>25</v>
      </c>
      <c r="J55" s="37" t="s">
        <v>532</v>
      </c>
      <c r="K55" s="37" t="s">
        <v>533</v>
      </c>
      <c r="L55" s="37" t="s">
        <v>73</v>
      </c>
      <c r="M55" s="37">
        <v>2021</v>
      </c>
      <c r="N55" s="37">
        <v>0</v>
      </c>
      <c r="O55" s="37">
        <v>74.040000000000006</v>
      </c>
      <c r="P55" s="37"/>
    </row>
    <row r="56" spans="1:16" ht="11.25" customHeight="1" x14ac:dyDescent="0.25">
      <c r="A56" s="37">
        <v>55</v>
      </c>
      <c r="B56" s="37" t="s">
        <v>415</v>
      </c>
      <c r="C56" s="37" t="s">
        <v>22</v>
      </c>
      <c r="D56" s="37" t="s">
        <v>76</v>
      </c>
      <c r="E56" s="37" t="s">
        <v>24</v>
      </c>
      <c r="F56" s="37" t="s">
        <v>30</v>
      </c>
      <c r="G56" s="37" t="s">
        <v>25</v>
      </c>
      <c r="H56" s="37" t="s">
        <v>25</v>
      </c>
      <c r="I56" s="37" t="s">
        <v>25</v>
      </c>
      <c r="J56" s="37" t="s">
        <v>532</v>
      </c>
      <c r="K56" s="37" t="s">
        <v>533</v>
      </c>
      <c r="L56" s="37" t="s">
        <v>73</v>
      </c>
      <c r="M56" s="37">
        <v>2021</v>
      </c>
      <c r="N56" s="37">
        <v>0</v>
      </c>
      <c r="O56" s="37">
        <v>126.93</v>
      </c>
      <c r="P56" s="37"/>
    </row>
    <row r="57" spans="1:16" ht="11.25" customHeight="1" x14ac:dyDescent="0.25">
      <c r="A57" s="37">
        <v>56</v>
      </c>
      <c r="B57" s="37" t="s">
        <v>415</v>
      </c>
      <c r="C57" s="37" t="s">
        <v>41</v>
      </c>
      <c r="D57" s="37" t="s">
        <v>72</v>
      </c>
      <c r="E57" s="37" t="s">
        <v>42</v>
      </c>
      <c r="F57" s="37" t="s">
        <v>89</v>
      </c>
      <c r="G57" s="37" t="s">
        <v>25</v>
      </c>
      <c r="H57" s="37" t="s">
        <v>25</v>
      </c>
      <c r="I57" s="37" t="s">
        <v>535</v>
      </c>
      <c r="J57" s="37" t="s">
        <v>532</v>
      </c>
      <c r="K57" s="37" t="s">
        <v>533</v>
      </c>
      <c r="L57" s="37" t="s">
        <v>73</v>
      </c>
      <c r="M57" s="37">
        <v>2021</v>
      </c>
      <c r="N57" s="37">
        <v>0</v>
      </c>
      <c r="O57" s="37">
        <v>186.16</v>
      </c>
      <c r="P57" s="37"/>
    </row>
    <row r="58" spans="1:16" ht="11.25" customHeight="1" x14ac:dyDescent="0.25">
      <c r="A58" s="37">
        <v>57</v>
      </c>
      <c r="B58" s="37" t="s">
        <v>415</v>
      </c>
      <c r="C58" s="37" t="s">
        <v>41</v>
      </c>
      <c r="D58" s="37" t="s">
        <v>72</v>
      </c>
      <c r="E58" s="37" t="s">
        <v>42</v>
      </c>
      <c r="F58" s="37" t="s">
        <v>90</v>
      </c>
      <c r="G58" s="37" t="s">
        <v>25</v>
      </c>
      <c r="H58" s="37" t="s">
        <v>25</v>
      </c>
      <c r="I58" s="37" t="s">
        <v>535</v>
      </c>
      <c r="J58" s="37" t="s">
        <v>532</v>
      </c>
      <c r="K58" s="37" t="s">
        <v>533</v>
      </c>
      <c r="L58" s="37" t="s">
        <v>73</v>
      </c>
      <c r="M58" s="37">
        <v>2021</v>
      </c>
      <c r="N58" s="37">
        <v>0</v>
      </c>
      <c r="O58" s="37">
        <v>177.7</v>
      </c>
      <c r="P58" s="37"/>
    </row>
    <row r="59" spans="1:16" ht="11.25" customHeight="1" x14ac:dyDescent="0.25">
      <c r="A59" s="37">
        <v>58</v>
      </c>
      <c r="B59" s="37" t="s">
        <v>415</v>
      </c>
      <c r="C59" s="37" t="s">
        <v>22</v>
      </c>
      <c r="D59" s="37" t="s">
        <v>87</v>
      </c>
      <c r="E59" s="37" t="s">
        <v>24</v>
      </c>
      <c r="F59" s="37" t="s">
        <v>32</v>
      </c>
      <c r="G59" s="37" t="s">
        <v>25</v>
      </c>
      <c r="H59" s="37" t="s">
        <v>25</v>
      </c>
      <c r="I59" s="37" t="s">
        <v>25</v>
      </c>
      <c r="J59" s="37" t="s">
        <v>532</v>
      </c>
      <c r="K59" s="37" t="s">
        <v>533</v>
      </c>
      <c r="L59" s="37" t="s">
        <v>73</v>
      </c>
      <c r="M59" s="37">
        <v>2021</v>
      </c>
      <c r="N59" s="37">
        <v>0</v>
      </c>
      <c r="O59" s="37">
        <v>211.54</v>
      </c>
      <c r="P59" s="37"/>
    </row>
    <row r="60" spans="1:16" ht="11.25" customHeight="1" x14ac:dyDescent="0.25">
      <c r="A60" s="37">
        <v>59</v>
      </c>
      <c r="B60" s="37" t="s">
        <v>415</v>
      </c>
      <c r="C60" s="37" t="s">
        <v>41</v>
      </c>
      <c r="D60" s="37" t="s">
        <v>87</v>
      </c>
      <c r="E60" s="37" t="s">
        <v>42</v>
      </c>
      <c r="F60" s="37" t="s">
        <v>89</v>
      </c>
      <c r="G60" s="37" t="s">
        <v>25</v>
      </c>
      <c r="H60" s="37" t="s">
        <v>25</v>
      </c>
      <c r="I60" s="37" t="s">
        <v>25</v>
      </c>
      <c r="J60" s="37" t="s">
        <v>532</v>
      </c>
      <c r="K60" s="37" t="s">
        <v>533</v>
      </c>
      <c r="L60" s="37" t="s">
        <v>73</v>
      </c>
      <c r="M60" s="37">
        <v>2021</v>
      </c>
      <c r="N60" s="37">
        <v>0</v>
      </c>
      <c r="O60" s="37">
        <v>186.16</v>
      </c>
      <c r="P60" s="37"/>
    </row>
    <row r="61" spans="1:16" ht="11.25" customHeight="1" x14ac:dyDescent="0.25">
      <c r="A61" s="37">
        <v>60</v>
      </c>
      <c r="B61" s="37" t="s">
        <v>415</v>
      </c>
      <c r="C61" s="37" t="s">
        <v>22</v>
      </c>
      <c r="D61" s="37" t="s">
        <v>87</v>
      </c>
      <c r="E61" s="37" t="s">
        <v>24</v>
      </c>
      <c r="F61" s="37" t="s">
        <v>30</v>
      </c>
      <c r="G61" s="37" t="s">
        <v>25</v>
      </c>
      <c r="H61" s="37" t="s">
        <v>25</v>
      </c>
      <c r="I61" s="37" t="s">
        <v>25</v>
      </c>
      <c r="J61" s="37" t="s">
        <v>532</v>
      </c>
      <c r="K61" s="37" t="s">
        <v>533</v>
      </c>
      <c r="L61" s="37" t="s">
        <v>73</v>
      </c>
      <c r="M61" s="37">
        <v>2021</v>
      </c>
      <c r="N61" s="37">
        <v>0</v>
      </c>
      <c r="O61" s="37">
        <v>126.93</v>
      </c>
      <c r="P61" s="37"/>
    </row>
    <row r="62" spans="1:16" ht="11.25" customHeight="1" x14ac:dyDescent="0.25">
      <c r="A62" s="37">
        <v>61</v>
      </c>
      <c r="B62" s="37" t="s">
        <v>415</v>
      </c>
      <c r="C62" s="37" t="s">
        <v>41</v>
      </c>
      <c r="D62" s="37" t="s">
        <v>76</v>
      </c>
      <c r="E62" s="37" t="s">
        <v>42</v>
      </c>
      <c r="F62" s="37" t="s">
        <v>90</v>
      </c>
      <c r="G62" s="37" t="s">
        <v>25</v>
      </c>
      <c r="H62" s="37" t="s">
        <v>25</v>
      </c>
      <c r="I62" s="37" t="s">
        <v>25</v>
      </c>
      <c r="J62" s="37" t="s">
        <v>532</v>
      </c>
      <c r="K62" s="37" t="s">
        <v>533</v>
      </c>
      <c r="L62" s="37" t="s">
        <v>73</v>
      </c>
      <c r="M62" s="37">
        <v>2021</v>
      </c>
      <c r="N62" s="37">
        <v>0</v>
      </c>
      <c r="O62" s="37">
        <v>177.7</v>
      </c>
      <c r="P62" s="37"/>
    </row>
    <row r="63" spans="1:16" ht="11.25" customHeight="1" x14ac:dyDescent="0.25">
      <c r="A63" s="37">
        <v>62</v>
      </c>
      <c r="B63" s="37" t="s">
        <v>415</v>
      </c>
      <c r="C63" s="37" t="s">
        <v>22</v>
      </c>
      <c r="D63" s="37" t="s">
        <v>76</v>
      </c>
      <c r="E63" s="37" t="s">
        <v>24</v>
      </c>
      <c r="F63" s="37" t="s">
        <v>24</v>
      </c>
      <c r="G63" s="37" t="s">
        <v>25</v>
      </c>
      <c r="H63" s="37" t="s">
        <v>25</v>
      </c>
      <c r="I63" s="37" t="s">
        <v>25</v>
      </c>
      <c r="J63" s="37" t="s">
        <v>532</v>
      </c>
      <c r="K63" s="37" t="s">
        <v>533</v>
      </c>
      <c r="L63" s="37" t="s">
        <v>73</v>
      </c>
      <c r="M63" s="37">
        <v>2021</v>
      </c>
      <c r="N63" s="37">
        <v>0</v>
      </c>
      <c r="O63" s="37">
        <v>211.54</v>
      </c>
      <c r="P63" s="37"/>
    </row>
    <row r="64" spans="1:16" ht="11.25" customHeight="1" x14ac:dyDescent="0.25">
      <c r="A64" s="37">
        <v>63</v>
      </c>
      <c r="B64" s="37" t="s">
        <v>415</v>
      </c>
      <c r="C64" s="37" t="s">
        <v>41</v>
      </c>
      <c r="D64" s="37" t="s">
        <v>76</v>
      </c>
      <c r="E64" s="37" t="s">
        <v>42</v>
      </c>
      <c r="F64" s="37" t="s">
        <v>25</v>
      </c>
      <c r="G64" s="37" t="s">
        <v>25</v>
      </c>
      <c r="H64" s="37" t="s">
        <v>25</v>
      </c>
      <c r="I64" s="37" t="s">
        <v>25</v>
      </c>
      <c r="J64" s="37" t="s">
        <v>532</v>
      </c>
      <c r="K64" s="37" t="s">
        <v>533</v>
      </c>
      <c r="L64" s="37" t="s">
        <v>73</v>
      </c>
      <c r="M64" s="37">
        <v>2021</v>
      </c>
      <c r="N64" s="37">
        <v>0</v>
      </c>
      <c r="O64" s="37">
        <v>186.16</v>
      </c>
      <c r="P64" s="37"/>
    </row>
    <row r="65" spans="1:16" ht="11.25" customHeight="1" x14ac:dyDescent="0.25">
      <c r="A65" s="37">
        <v>64</v>
      </c>
      <c r="B65" s="37" t="s">
        <v>415</v>
      </c>
      <c r="C65" s="37" t="s">
        <v>41</v>
      </c>
      <c r="D65" s="37" t="s">
        <v>72</v>
      </c>
      <c r="E65" s="37" t="s">
        <v>42</v>
      </c>
      <c r="F65" s="37" t="s">
        <v>90</v>
      </c>
      <c r="G65" s="37" t="s">
        <v>25</v>
      </c>
      <c r="H65" s="37" t="s">
        <v>25</v>
      </c>
      <c r="I65" s="37" t="s">
        <v>38</v>
      </c>
      <c r="J65" s="37" t="s">
        <v>532</v>
      </c>
      <c r="K65" s="37" t="s">
        <v>533</v>
      </c>
      <c r="L65" s="37" t="s">
        <v>73</v>
      </c>
      <c r="M65" s="37">
        <v>2021</v>
      </c>
      <c r="N65" s="37">
        <v>0</v>
      </c>
      <c r="O65" s="37">
        <v>177.7</v>
      </c>
      <c r="P65" s="37"/>
    </row>
    <row r="66" spans="1:16" ht="11.25" customHeight="1" x14ac:dyDescent="0.25">
      <c r="A66" s="37">
        <v>65</v>
      </c>
      <c r="B66" s="37" t="s">
        <v>415</v>
      </c>
      <c r="C66" s="37" t="s">
        <v>41</v>
      </c>
      <c r="D66" s="37" t="s">
        <v>72</v>
      </c>
      <c r="E66" s="37" t="s">
        <v>42</v>
      </c>
      <c r="F66" s="37" t="s">
        <v>25</v>
      </c>
      <c r="G66" s="37" t="s">
        <v>25</v>
      </c>
      <c r="H66" s="37" t="s">
        <v>25</v>
      </c>
      <c r="I66" s="37" t="s">
        <v>37</v>
      </c>
      <c r="J66" s="37" t="s">
        <v>532</v>
      </c>
      <c r="K66" s="37" t="s">
        <v>533</v>
      </c>
      <c r="L66" s="37" t="s">
        <v>73</v>
      </c>
      <c r="M66" s="37">
        <v>2021</v>
      </c>
      <c r="N66" s="37">
        <v>0</v>
      </c>
      <c r="O66" s="37">
        <v>186.16</v>
      </c>
      <c r="P66" s="37"/>
    </row>
    <row r="67" spans="1:16" ht="11.25" customHeight="1" x14ac:dyDescent="0.25">
      <c r="A67" s="37">
        <v>66</v>
      </c>
      <c r="B67" s="37" t="s">
        <v>415</v>
      </c>
      <c r="C67" s="37" t="s">
        <v>41</v>
      </c>
      <c r="D67" s="37" t="s">
        <v>87</v>
      </c>
      <c r="E67" s="37" t="s">
        <v>42</v>
      </c>
      <c r="F67" s="37" t="s">
        <v>90</v>
      </c>
      <c r="G67" s="37" t="s">
        <v>25</v>
      </c>
      <c r="H67" s="37" t="s">
        <v>25</v>
      </c>
      <c r="I67" s="37" t="s">
        <v>25</v>
      </c>
      <c r="J67" s="37" t="s">
        <v>532</v>
      </c>
      <c r="K67" s="37" t="s">
        <v>533</v>
      </c>
      <c r="L67" s="37" t="s">
        <v>73</v>
      </c>
      <c r="M67" s="37">
        <v>2021</v>
      </c>
      <c r="N67" s="37">
        <v>0</v>
      </c>
      <c r="O67" s="37">
        <v>177.7</v>
      </c>
      <c r="P67" s="37"/>
    </row>
    <row r="68" spans="1:16" ht="11.25" customHeight="1" x14ac:dyDescent="0.25">
      <c r="A68" s="37">
        <v>67</v>
      </c>
      <c r="B68" s="37" t="s">
        <v>415</v>
      </c>
      <c r="C68" s="37" t="s">
        <v>22</v>
      </c>
      <c r="D68" s="37" t="s">
        <v>87</v>
      </c>
      <c r="E68" s="37" t="s">
        <v>24</v>
      </c>
      <c r="F68" s="37" t="s">
        <v>31</v>
      </c>
      <c r="G68" s="37" t="s">
        <v>25</v>
      </c>
      <c r="H68" s="37" t="s">
        <v>25</v>
      </c>
      <c r="I68" s="37" t="s">
        <v>25</v>
      </c>
      <c r="J68" s="37" t="s">
        <v>532</v>
      </c>
      <c r="K68" s="37" t="s">
        <v>533</v>
      </c>
      <c r="L68" s="37" t="s">
        <v>73</v>
      </c>
      <c r="M68" s="37">
        <v>2021</v>
      </c>
      <c r="N68" s="37">
        <v>0</v>
      </c>
      <c r="O68" s="37">
        <v>190.39</v>
      </c>
      <c r="P68" s="37"/>
    </row>
    <row r="69" spans="1:16" ht="11.25" customHeight="1" x14ac:dyDescent="0.25">
      <c r="A69" s="37">
        <v>68</v>
      </c>
      <c r="B69" s="37" t="s">
        <v>415</v>
      </c>
      <c r="C69" s="37" t="s">
        <v>22</v>
      </c>
      <c r="D69" s="37" t="s">
        <v>72</v>
      </c>
      <c r="E69" s="37" t="s">
        <v>24</v>
      </c>
      <c r="F69" s="37" t="s">
        <v>24</v>
      </c>
      <c r="G69" s="37" t="s">
        <v>25</v>
      </c>
      <c r="H69" s="37" t="s">
        <v>25</v>
      </c>
      <c r="I69" s="37" t="s">
        <v>38</v>
      </c>
      <c r="J69" s="37" t="s">
        <v>532</v>
      </c>
      <c r="K69" s="37" t="s">
        <v>533</v>
      </c>
      <c r="L69" s="37" t="s">
        <v>73</v>
      </c>
      <c r="M69" s="37">
        <v>2021</v>
      </c>
      <c r="N69" s="37">
        <v>0</v>
      </c>
      <c r="O69" s="37">
        <v>211.54</v>
      </c>
      <c r="P69" s="37"/>
    </row>
    <row r="70" spans="1:16" ht="11.25" customHeight="1" x14ac:dyDescent="0.25">
      <c r="A70" s="37">
        <v>69</v>
      </c>
      <c r="B70" s="37" t="s">
        <v>415</v>
      </c>
      <c r="C70" s="37" t="s">
        <v>41</v>
      </c>
      <c r="D70" s="37" t="s">
        <v>72</v>
      </c>
      <c r="E70" s="37" t="s">
        <v>42</v>
      </c>
      <c r="F70" s="37" t="s">
        <v>25</v>
      </c>
      <c r="G70" s="37" t="s">
        <v>25</v>
      </c>
      <c r="H70" s="37" t="s">
        <v>25</v>
      </c>
      <c r="I70" s="37" t="s">
        <v>38</v>
      </c>
      <c r="J70" s="37" t="s">
        <v>532</v>
      </c>
      <c r="K70" s="37" t="s">
        <v>533</v>
      </c>
      <c r="L70" s="37" t="s">
        <v>73</v>
      </c>
      <c r="M70" s="37">
        <v>2021</v>
      </c>
      <c r="N70" s="37">
        <v>0</v>
      </c>
      <c r="O70" s="37">
        <v>186.16</v>
      </c>
      <c r="P70" s="37"/>
    </row>
    <row r="71" spans="1:16" ht="11.25" customHeight="1" x14ac:dyDescent="0.25">
      <c r="A71" s="37">
        <v>70</v>
      </c>
      <c r="B71" s="37" t="s">
        <v>415</v>
      </c>
      <c r="C71" s="37" t="s">
        <v>33</v>
      </c>
      <c r="D71" s="37" t="s">
        <v>87</v>
      </c>
      <c r="E71" s="37" t="s">
        <v>25</v>
      </c>
      <c r="F71" s="37" t="s">
        <v>25</v>
      </c>
      <c r="G71" s="37" t="s">
        <v>25</v>
      </c>
      <c r="H71" s="37" t="s">
        <v>25</v>
      </c>
      <c r="I71" s="37" t="s">
        <v>25</v>
      </c>
      <c r="J71" s="37" t="s">
        <v>532</v>
      </c>
      <c r="K71" s="37" t="s">
        <v>533</v>
      </c>
      <c r="L71" s="37" t="s">
        <v>73</v>
      </c>
      <c r="M71" s="37">
        <v>2021</v>
      </c>
      <c r="N71" s="37">
        <v>0</v>
      </c>
      <c r="O71" s="37">
        <v>211.54</v>
      </c>
      <c r="P71" s="37"/>
    </row>
    <row r="72" spans="1:16" ht="11.25" customHeight="1" x14ac:dyDescent="0.25">
      <c r="A72" s="37">
        <v>71</v>
      </c>
      <c r="B72" s="37" t="s">
        <v>415</v>
      </c>
      <c r="C72" s="37" t="s">
        <v>22</v>
      </c>
      <c r="D72" s="37" t="s">
        <v>76</v>
      </c>
      <c r="E72" s="37" t="s">
        <v>24</v>
      </c>
      <c r="F72" s="37" t="s">
        <v>29</v>
      </c>
      <c r="G72" s="37" t="s">
        <v>25</v>
      </c>
      <c r="H72" s="37" t="s">
        <v>25</v>
      </c>
      <c r="I72" s="37" t="s">
        <v>25</v>
      </c>
      <c r="J72" s="37" t="s">
        <v>532</v>
      </c>
      <c r="K72" s="37" t="s">
        <v>533</v>
      </c>
      <c r="L72" s="37" t="s">
        <v>73</v>
      </c>
      <c r="M72" s="37">
        <v>2021</v>
      </c>
      <c r="N72" s="37">
        <v>0</v>
      </c>
      <c r="O72" s="37">
        <v>74.040000000000006</v>
      </c>
      <c r="P72" s="37"/>
    </row>
    <row r="73" spans="1:16" ht="11.25" customHeight="1" x14ac:dyDescent="0.25">
      <c r="A73" s="37">
        <v>72</v>
      </c>
      <c r="B73" s="37" t="s">
        <v>415</v>
      </c>
      <c r="C73" s="37" t="s">
        <v>41</v>
      </c>
      <c r="D73" s="37" t="s">
        <v>72</v>
      </c>
      <c r="E73" s="37" t="s">
        <v>42</v>
      </c>
      <c r="F73" s="37" t="s">
        <v>89</v>
      </c>
      <c r="G73" s="37" t="s">
        <v>25</v>
      </c>
      <c r="H73" s="37" t="s">
        <v>25</v>
      </c>
      <c r="I73" s="37" t="s">
        <v>37</v>
      </c>
      <c r="J73" s="37" t="s">
        <v>532</v>
      </c>
      <c r="K73" s="37" t="s">
        <v>533</v>
      </c>
      <c r="L73" s="37" t="s">
        <v>73</v>
      </c>
      <c r="M73" s="37">
        <v>2021</v>
      </c>
      <c r="N73" s="37">
        <v>0</v>
      </c>
      <c r="O73" s="37">
        <v>186.16</v>
      </c>
      <c r="P73" s="37"/>
    </row>
    <row r="74" spans="1:16" ht="11.25" customHeight="1" x14ac:dyDescent="0.25">
      <c r="A74" s="37">
        <v>73</v>
      </c>
      <c r="B74" s="37" t="s">
        <v>415</v>
      </c>
      <c r="C74" s="37" t="s">
        <v>22</v>
      </c>
      <c r="D74" s="37" t="s">
        <v>76</v>
      </c>
      <c r="E74" s="37" t="s">
        <v>24</v>
      </c>
      <c r="F74" s="37" t="s">
        <v>31</v>
      </c>
      <c r="G74" s="37" t="s">
        <v>25</v>
      </c>
      <c r="H74" s="37" t="s">
        <v>25</v>
      </c>
      <c r="I74" s="37" t="s">
        <v>25</v>
      </c>
      <c r="J74" s="37" t="s">
        <v>532</v>
      </c>
      <c r="K74" s="37" t="s">
        <v>533</v>
      </c>
      <c r="L74" s="37" t="s">
        <v>73</v>
      </c>
      <c r="M74" s="37">
        <v>2021</v>
      </c>
      <c r="N74" s="37">
        <v>0</v>
      </c>
      <c r="O74" s="37">
        <v>190.39</v>
      </c>
      <c r="P74" s="37"/>
    </row>
    <row r="75" spans="1:16" ht="11.25" customHeight="1" x14ac:dyDescent="0.25">
      <c r="A75" s="37">
        <v>74</v>
      </c>
      <c r="B75" s="37" t="s">
        <v>415</v>
      </c>
      <c r="C75" s="37" t="s">
        <v>41</v>
      </c>
      <c r="D75" s="37" t="s">
        <v>76</v>
      </c>
      <c r="E75" s="37" t="s">
        <v>42</v>
      </c>
      <c r="F75" s="37" t="s">
        <v>89</v>
      </c>
      <c r="G75" s="37" t="s">
        <v>25</v>
      </c>
      <c r="H75" s="37" t="s">
        <v>25</v>
      </c>
      <c r="I75" s="37" t="s">
        <v>25</v>
      </c>
      <c r="J75" s="37" t="s">
        <v>532</v>
      </c>
      <c r="K75" s="37" t="s">
        <v>533</v>
      </c>
      <c r="L75" s="37" t="s">
        <v>73</v>
      </c>
      <c r="M75" s="37">
        <v>2021</v>
      </c>
      <c r="N75" s="37">
        <v>0</v>
      </c>
      <c r="O75" s="37">
        <v>186.16</v>
      </c>
      <c r="P75" s="37"/>
    </row>
    <row r="76" spans="1:16" ht="11.25" customHeight="1" x14ac:dyDescent="0.25">
      <c r="A76" s="37">
        <v>75</v>
      </c>
      <c r="B76" s="37" t="s">
        <v>415</v>
      </c>
      <c r="C76" s="37" t="s">
        <v>33</v>
      </c>
      <c r="D76" s="37" t="s">
        <v>72</v>
      </c>
      <c r="E76" s="37" t="s">
        <v>25</v>
      </c>
      <c r="F76" s="37" t="s">
        <v>25</v>
      </c>
      <c r="G76" s="37" t="s">
        <v>25</v>
      </c>
      <c r="H76" s="37" t="s">
        <v>25</v>
      </c>
      <c r="I76" s="37" t="s">
        <v>38</v>
      </c>
      <c r="J76" s="37" t="s">
        <v>532</v>
      </c>
      <c r="K76" s="37" t="s">
        <v>533</v>
      </c>
      <c r="L76" s="37" t="s">
        <v>73</v>
      </c>
      <c r="M76" s="37">
        <v>2021</v>
      </c>
      <c r="N76" s="37">
        <v>0</v>
      </c>
      <c r="O76" s="37">
        <v>211.54</v>
      </c>
      <c r="P76" s="37"/>
    </row>
    <row r="77" spans="1:16" ht="11.25" customHeight="1" x14ac:dyDescent="0.25">
      <c r="A77" s="37">
        <v>76</v>
      </c>
      <c r="B77" s="37" t="s">
        <v>415</v>
      </c>
      <c r="C77" s="37" t="s">
        <v>33</v>
      </c>
      <c r="D77" s="37" t="s">
        <v>72</v>
      </c>
      <c r="E77" s="37" t="s">
        <v>25</v>
      </c>
      <c r="F77" s="37" t="s">
        <v>25</v>
      </c>
      <c r="G77" s="37" t="s">
        <v>25</v>
      </c>
      <c r="H77" s="37" t="s">
        <v>25</v>
      </c>
      <c r="I77" s="37" t="s">
        <v>535</v>
      </c>
      <c r="J77" s="37" t="s">
        <v>532</v>
      </c>
      <c r="K77" s="37" t="s">
        <v>533</v>
      </c>
      <c r="L77" s="37" t="s">
        <v>73</v>
      </c>
      <c r="M77" s="37">
        <v>2021</v>
      </c>
      <c r="N77" s="37">
        <v>0</v>
      </c>
      <c r="O77" s="37">
        <v>211.54</v>
      </c>
      <c r="P77" s="37"/>
    </row>
    <row r="78" spans="1:16" ht="11.25" customHeight="1" x14ac:dyDescent="0.25">
      <c r="A78" s="37">
        <v>77</v>
      </c>
      <c r="B78" s="37" t="s">
        <v>415</v>
      </c>
      <c r="C78" s="37" t="s">
        <v>41</v>
      </c>
      <c r="D78" s="37" t="s">
        <v>72</v>
      </c>
      <c r="E78" s="37" t="s">
        <v>42</v>
      </c>
      <c r="F78" s="37" t="s">
        <v>89</v>
      </c>
      <c r="G78" s="37" t="s">
        <v>25</v>
      </c>
      <c r="H78" s="37" t="s">
        <v>25</v>
      </c>
      <c r="I78" s="37" t="s">
        <v>38</v>
      </c>
      <c r="J78" s="37" t="s">
        <v>532</v>
      </c>
      <c r="K78" s="37" t="s">
        <v>533</v>
      </c>
      <c r="L78" s="37" t="s">
        <v>73</v>
      </c>
      <c r="M78" s="37">
        <v>2021</v>
      </c>
      <c r="N78" s="37">
        <v>0</v>
      </c>
      <c r="O78" s="37">
        <v>186.16</v>
      </c>
      <c r="P78" s="37"/>
    </row>
    <row r="79" spans="1:16" ht="11.25" customHeight="1" x14ac:dyDescent="0.25">
      <c r="A79" s="37">
        <v>78</v>
      </c>
      <c r="B79" s="37" t="s">
        <v>415</v>
      </c>
      <c r="C79" s="37" t="s">
        <v>22</v>
      </c>
      <c r="D79" s="37" t="s">
        <v>72</v>
      </c>
      <c r="E79" s="37" t="s">
        <v>24</v>
      </c>
      <c r="F79" s="37" t="s">
        <v>24</v>
      </c>
      <c r="G79" s="37" t="s">
        <v>25</v>
      </c>
      <c r="H79" s="37" t="s">
        <v>25</v>
      </c>
      <c r="I79" s="37" t="s">
        <v>535</v>
      </c>
      <c r="J79" s="37" t="s">
        <v>532</v>
      </c>
      <c r="K79" s="37" t="s">
        <v>533</v>
      </c>
      <c r="L79" s="37" t="s">
        <v>73</v>
      </c>
      <c r="M79" s="37">
        <v>2021</v>
      </c>
      <c r="N79" s="37">
        <v>0</v>
      </c>
      <c r="O79" s="37">
        <v>211.54</v>
      </c>
      <c r="P79" s="37"/>
    </row>
    <row r="80" spans="1:16" ht="11.25" customHeight="1" x14ac:dyDescent="0.25">
      <c r="A80" s="37">
        <v>79</v>
      </c>
      <c r="B80" s="37" t="s">
        <v>415</v>
      </c>
      <c r="C80" s="37" t="s">
        <v>41</v>
      </c>
      <c r="D80" s="37" t="s">
        <v>72</v>
      </c>
      <c r="E80" s="37" t="s">
        <v>42</v>
      </c>
      <c r="F80" s="37" t="s">
        <v>25</v>
      </c>
      <c r="G80" s="37" t="s">
        <v>25</v>
      </c>
      <c r="H80" s="37" t="s">
        <v>25</v>
      </c>
      <c r="I80" s="37" t="s">
        <v>535</v>
      </c>
      <c r="J80" s="37" t="s">
        <v>532</v>
      </c>
      <c r="K80" s="37" t="s">
        <v>533</v>
      </c>
      <c r="L80" s="37" t="s">
        <v>73</v>
      </c>
      <c r="M80" s="37">
        <v>2021</v>
      </c>
      <c r="N80" s="37">
        <v>0</v>
      </c>
      <c r="O80" s="37">
        <v>186.16</v>
      </c>
      <c r="P80" s="37"/>
    </row>
    <row r="81" spans="1:16" ht="11.25" customHeight="1" x14ac:dyDescent="0.25">
      <c r="A81" s="37">
        <v>80</v>
      </c>
      <c r="B81" s="37" t="s">
        <v>415</v>
      </c>
      <c r="C81" s="37" t="s">
        <v>41</v>
      </c>
      <c r="D81" s="37" t="s">
        <v>87</v>
      </c>
      <c r="E81" s="37" t="s">
        <v>42</v>
      </c>
      <c r="F81" s="37" t="s">
        <v>25</v>
      </c>
      <c r="G81" s="37" t="s">
        <v>25</v>
      </c>
      <c r="H81" s="37" t="s">
        <v>25</v>
      </c>
      <c r="I81" s="37" t="s">
        <v>25</v>
      </c>
      <c r="J81" s="37" t="s">
        <v>532</v>
      </c>
      <c r="K81" s="37" t="s">
        <v>533</v>
      </c>
      <c r="L81" s="37" t="s">
        <v>73</v>
      </c>
      <c r="M81" s="37">
        <v>2021</v>
      </c>
      <c r="N81" s="37">
        <v>0</v>
      </c>
      <c r="O81" s="37">
        <v>186.16</v>
      </c>
      <c r="P81" s="37"/>
    </row>
    <row r="82" spans="1:16" ht="11.25" customHeight="1" x14ac:dyDescent="0.25">
      <c r="A82" s="37">
        <v>81</v>
      </c>
      <c r="B82" s="37" t="s">
        <v>415</v>
      </c>
      <c r="C82" s="37" t="s">
        <v>44</v>
      </c>
      <c r="D82" s="37" t="s">
        <v>76</v>
      </c>
      <c r="E82" s="37" t="s">
        <v>45</v>
      </c>
      <c r="F82" s="37" t="s">
        <v>46</v>
      </c>
      <c r="G82" s="37" t="s">
        <v>25</v>
      </c>
      <c r="H82" s="37" t="s">
        <v>25</v>
      </c>
      <c r="I82" s="37" t="s">
        <v>25</v>
      </c>
      <c r="J82" s="37" t="s">
        <v>532</v>
      </c>
      <c r="K82" s="37" t="s">
        <v>533</v>
      </c>
      <c r="L82" s="37" t="s">
        <v>73</v>
      </c>
      <c r="M82" s="37">
        <v>2021</v>
      </c>
      <c r="N82" s="37">
        <v>0</v>
      </c>
      <c r="O82" s="37">
        <v>116.35</v>
      </c>
      <c r="P82" s="37"/>
    </row>
    <row r="83" spans="1:16" ht="11.25" customHeight="1" x14ac:dyDescent="0.25">
      <c r="A83" s="37">
        <v>82</v>
      </c>
      <c r="B83" s="37" t="s">
        <v>415</v>
      </c>
      <c r="C83" s="37" t="s">
        <v>33</v>
      </c>
      <c r="D83" s="37" t="s">
        <v>72</v>
      </c>
      <c r="E83" s="37" t="s">
        <v>25</v>
      </c>
      <c r="F83" s="37" t="s">
        <v>25</v>
      </c>
      <c r="G83" s="37" t="s">
        <v>25</v>
      </c>
      <c r="H83" s="37" t="s">
        <v>25</v>
      </c>
      <c r="I83" s="37" t="s">
        <v>37</v>
      </c>
      <c r="J83" s="37" t="s">
        <v>532</v>
      </c>
      <c r="K83" s="37" t="s">
        <v>533</v>
      </c>
      <c r="L83" s="37" t="s">
        <v>73</v>
      </c>
      <c r="M83" s="37">
        <v>2021</v>
      </c>
      <c r="N83" s="37">
        <v>0</v>
      </c>
      <c r="O83" s="37">
        <v>211.54</v>
      </c>
      <c r="P83" s="37"/>
    </row>
    <row r="84" spans="1:16" ht="11.25" customHeight="1" x14ac:dyDescent="0.25">
      <c r="A84" s="37">
        <v>83</v>
      </c>
      <c r="B84" s="37" t="s">
        <v>415</v>
      </c>
      <c r="C84" s="37" t="s">
        <v>33</v>
      </c>
      <c r="D84" s="37" t="s">
        <v>76</v>
      </c>
      <c r="E84" s="37" t="s">
        <v>25</v>
      </c>
      <c r="F84" s="37" t="s">
        <v>25</v>
      </c>
      <c r="G84" s="37" t="s">
        <v>25</v>
      </c>
      <c r="H84" s="37" t="s">
        <v>25</v>
      </c>
      <c r="I84" s="37" t="s">
        <v>25</v>
      </c>
      <c r="J84" s="37" t="s">
        <v>532</v>
      </c>
      <c r="K84" s="37" t="s">
        <v>533</v>
      </c>
      <c r="L84" s="37" t="s">
        <v>73</v>
      </c>
      <c r="M84" s="37">
        <v>2021</v>
      </c>
      <c r="N84" s="37">
        <v>0</v>
      </c>
      <c r="O84" s="37">
        <v>211.54</v>
      </c>
      <c r="P84" s="37"/>
    </row>
    <row r="85" spans="1:16" ht="11.25" customHeight="1" x14ac:dyDescent="0.25">
      <c r="A85" s="37">
        <v>84</v>
      </c>
      <c r="B85" s="37" t="s">
        <v>415</v>
      </c>
      <c r="C85" s="37" t="s">
        <v>41</v>
      </c>
      <c r="D85" s="37" t="s">
        <v>72</v>
      </c>
      <c r="E85" s="37" t="s">
        <v>42</v>
      </c>
      <c r="F85" s="37" t="s">
        <v>90</v>
      </c>
      <c r="G85" s="37" t="s">
        <v>25</v>
      </c>
      <c r="H85" s="37" t="s">
        <v>25</v>
      </c>
      <c r="I85" s="37" t="s">
        <v>37</v>
      </c>
      <c r="J85" s="37" t="s">
        <v>532</v>
      </c>
      <c r="K85" s="37" t="s">
        <v>533</v>
      </c>
      <c r="L85" s="37" t="s">
        <v>73</v>
      </c>
      <c r="M85" s="37">
        <v>2021</v>
      </c>
      <c r="N85" s="37">
        <v>0</v>
      </c>
      <c r="O85" s="37">
        <v>177.7</v>
      </c>
      <c r="P85" s="37"/>
    </row>
    <row r="86" spans="1:16" ht="11.25" customHeight="1" x14ac:dyDescent="0.25">
      <c r="A86" s="37">
        <v>85</v>
      </c>
      <c r="B86" s="37" t="s">
        <v>415</v>
      </c>
      <c r="C86" s="37" t="s">
        <v>44</v>
      </c>
      <c r="D86" s="37" t="s">
        <v>76</v>
      </c>
      <c r="E86" s="37" t="s">
        <v>45</v>
      </c>
      <c r="F86" s="37" t="s">
        <v>91</v>
      </c>
      <c r="G86" s="37" t="s">
        <v>25</v>
      </c>
      <c r="H86" s="37" t="s">
        <v>25</v>
      </c>
      <c r="I86" s="37" t="s">
        <v>25</v>
      </c>
      <c r="J86" s="37" t="s">
        <v>532</v>
      </c>
      <c r="K86" s="37" t="s">
        <v>533</v>
      </c>
      <c r="L86" s="37" t="s">
        <v>73</v>
      </c>
      <c r="M86" s="37">
        <v>2021</v>
      </c>
      <c r="N86" s="37">
        <v>0</v>
      </c>
      <c r="O86" s="37">
        <v>126.93</v>
      </c>
      <c r="P86" s="3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869F-3609-4638-BA1F-1C62C9E814C9}">
  <dimension ref="A1:AD49"/>
  <sheetViews>
    <sheetView showGridLines="0" workbookViewId="0">
      <selection sqref="A1:W49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63</v>
      </c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  <c r="G1" s="10" t="s">
        <v>69</v>
      </c>
      <c r="H1" s="10" t="s">
        <v>70</v>
      </c>
      <c r="I1" s="11">
        <v>44378</v>
      </c>
      <c r="J1" s="11">
        <v>44409</v>
      </c>
      <c r="K1" s="11">
        <v>44440</v>
      </c>
      <c r="L1" s="11">
        <v>44470</v>
      </c>
      <c r="M1" s="11">
        <v>44501</v>
      </c>
      <c r="N1" s="11">
        <v>44531</v>
      </c>
      <c r="O1" s="11">
        <v>44562</v>
      </c>
      <c r="P1" s="11">
        <v>44593</v>
      </c>
      <c r="Q1" s="11">
        <v>44621</v>
      </c>
      <c r="R1" s="11">
        <v>44652</v>
      </c>
      <c r="S1" s="11">
        <v>44682</v>
      </c>
      <c r="T1" s="11">
        <v>44713</v>
      </c>
      <c r="U1" s="10" t="s">
        <v>71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94" t="s">
        <v>35</v>
      </c>
      <c r="B2" s="94" t="s">
        <v>36</v>
      </c>
      <c r="C2" s="94" t="s">
        <v>25</v>
      </c>
      <c r="D2" s="94" t="s">
        <v>25</v>
      </c>
      <c r="E2" s="94" t="s">
        <v>25</v>
      </c>
      <c r="F2" s="94" t="s">
        <v>25</v>
      </c>
      <c r="G2" s="13" t="s">
        <v>79</v>
      </c>
      <c r="H2" s="13" t="s">
        <v>78</v>
      </c>
      <c r="I2" s="13">
        <f>SUMIF(Mercado_Receita!$S$2:$S$545,"44378A4AzulNão se aplicaNão se aplicaNão se aplicaNão se aplicaPonta",Mercado_Receita!$J$2:$J$545)+SUMIF(Mercado_Receita!$S$2:$S$545,"44378A4AzulNão se aplicaNão se aplicaAPENão se aplicaPonta",Mercado_Receita!$J$2:$J$545)</f>
        <v>4240</v>
      </c>
      <c r="J2" s="13">
        <f>SUMIF(Mercado_Receita!$S$2:$S$545,"44409A4AzulNão se aplicaNão se aplicaNão se aplicaNão se aplicaPonta",Mercado_Receita!$J$2:$J$545)+SUMIF(Mercado_Receita!$S$2:$S$545,"44409A4AzulNão se aplicaNão se aplicaAPENão se aplicaPonta",Mercado_Receita!$J$2:$J$545)</f>
        <v>4287</v>
      </c>
      <c r="K2" s="13">
        <f>SUMIF(Mercado_Receita!$S$2:$S$545,"44440A4AzulNão se aplicaNão se aplicaNão se aplicaNão se aplicaPonta",Mercado_Receita!$J$2:$J$545)+SUMIF(Mercado_Receita!$S$2:$S$545,"44440A4AzulNão se aplicaNão se aplicaAPENão se aplicaPonta",Mercado_Receita!$J$2:$J$545)</f>
        <v>4615</v>
      </c>
      <c r="L2" s="13">
        <f>SUMIF(Mercado_Receita!$S$2:$S$545,"44470A4AzulNão se aplicaNão se aplicaNão se aplicaNão se aplicaPonta",Mercado_Receita!$J$2:$J$545)+SUMIF(Mercado_Receita!$S$2:$S$545,"44470A4AzulNão se aplicaNão se aplicaAPENão se aplicaPonta",Mercado_Receita!$J$2:$J$545)</f>
        <v>4361</v>
      </c>
      <c r="M2" s="13">
        <f>SUMIF(Mercado_Receita!$S$2:$S$545,"44501A4AzulNão se aplicaNão se aplicaNão se aplicaNão se aplicaPonta",Mercado_Receita!$J$2:$J$545)+SUMIF(Mercado_Receita!$S$2:$S$545,"44501A4AzulNão se aplicaNão se aplicaAPENão se aplicaPonta",Mercado_Receita!$J$2:$J$545)</f>
        <v>4416</v>
      </c>
      <c r="N2" s="13">
        <f>SUMIF(Mercado_Receita!$S$2:$S$545,"44531A4AzulNão se aplicaNão se aplicaNão se aplicaNão se aplicaPonta",Mercado_Receita!$J$2:$J$545)+SUMIF(Mercado_Receita!$S$2:$S$545,"44531A4AzulNão se aplicaNão se aplicaAPENão se aplicaPonta",Mercado_Receita!$J$2:$J$545)</f>
        <v>4282</v>
      </c>
      <c r="O2" s="13">
        <f>SUMIF(Mercado_Receita!$S$2:$S$545,"44562A4AzulNão se aplicaNão se aplicaNão se aplicaNão se aplicaPonta",Mercado_Receita!$J$2:$J$545)+SUMIF(Mercado_Receita!$S$2:$S$545,"44562A4AzulNão se aplicaNão se aplicaAPENão se aplicaPonta",Mercado_Receita!$J$2:$J$545)</f>
        <v>4384</v>
      </c>
      <c r="P2" s="13">
        <f>SUMIF(Mercado_Receita!$S$2:$S$545,"44593A4AzulNão se aplicaNão se aplicaNão se aplicaNão se aplicaPonta",Mercado_Receita!$J$2:$J$545)+SUMIF(Mercado_Receita!$S$2:$S$545,"44593A4AzulNão se aplicaNão se aplicaAPENão se aplicaPonta",Mercado_Receita!$J$2:$J$545)</f>
        <v>4420</v>
      </c>
      <c r="Q2" s="13">
        <f>SUMIF(Mercado_Receita!$S$2:$S$545,"44621A4AzulNão se aplicaNão se aplicaNão se aplicaNão se aplicaPonta",Mercado_Receita!$J$2:$J$545)+SUMIF(Mercado_Receita!$S$2:$S$545,"44621A4AzulNão se aplicaNão se aplicaAPENão se aplicaPonta",Mercado_Receita!$J$2:$J$545)</f>
        <v>6340</v>
      </c>
      <c r="R2" s="13">
        <f>SUMIF(Mercado_Receita!$S$2:$S$545,"44652A4AzulNão se aplicaNão se aplicaNão se aplicaNão se aplicaPonta",Mercado_Receita!$J$2:$J$545)+SUMIF(Mercado_Receita!$S$2:$S$545,"44652A4AzulNão se aplicaNão se aplicaAPENão se aplicaPonta",Mercado_Receita!$J$2:$J$545)</f>
        <v>6340</v>
      </c>
      <c r="S2" s="13">
        <f>SUMIF(Mercado_Receita!$S$2:$S$545,"44682A4AzulNão se aplicaNão se aplicaNão se aplicaNão se aplicaPonta",Mercado_Receita!$J$2:$J$545)+SUMIF(Mercado_Receita!$S$2:$S$545,"44682A4AzulNão se aplicaNão se aplicaAPENão se aplicaPonta",Mercado_Receita!$J$2:$J$545)</f>
        <v>6340</v>
      </c>
      <c r="T2" s="13">
        <f>SUMIF(Mercado_Receita!$S$2:$S$545,"44713A4AzulNão se aplicaNão se aplicaNão se aplicaNão se aplicaPonta",Mercado_Receita!$J$2:$J$545)+SUMIF(Mercado_Receita!$S$2:$S$545,"44713A4AzulNão se aplicaNão se aplicaAPENão se aplicaPonta",Mercado_Receita!$J$2:$J$545)</f>
        <v>6340</v>
      </c>
      <c r="U2" s="13">
        <f t="shared" ref="U2:U48" si="0">SUM(I2:T2)</f>
        <v>60365</v>
      </c>
      <c r="V2" s="13"/>
      <c r="W2" s="13"/>
    </row>
    <row r="3" spans="1:30" ht="11.25" customHeight="1" x14ac:dyDescent="0.25">
      <c r="A3" s="95"/>
      <c r="B3" s="95"/>
      <c r="C3" s="95"/>
      <c r="D3" s="95"/>
      <c r="E3" s="95"/>
      <c r="F3" s="95"/>
      <c r="G3" s="13" t="s">
        <v>80</v>
      </c>
      <c r="H3" s="13" t="s">
        <v>78</v>
      </c>
      <c r="I3" s="13">
        <f>SUMIF(Mercado_Receita!$S$2:$S$545,"44378A4AzulNão se aplicaNão se aplicaNão se aplicaNão se aplicaFora ponta",Mercado_Receita!$J$2:$J$545)+SUMIF(Mercado_Receita!$S$2:$S$545,"44378A4AzulNão se aplicaNão se aplicaAPENão se aplicaFora ponta",Mercado_Receita!$J$2:$J$545)</f>
        <v>4694</v>
      </c>
      <c r="J3" s="13">
        <f>SUMIF(Mercado_Receita!$S$2:$S$545,"44409A4AzulNão se aplicaNão se aplicaNão se aplicaNão se aplicaFora ponta",Mercado_Receita!$J$2:$J$545)+SUMIF(Mercado_Receita!$S$2:$S$545,"44409A4AzulNão se aplicaNão se aplicaAPENão se aplicaFora ponta",Mercado_Receita!$J$2:$J$545)</f>
        <v>4729</v>
      </c>
      <c r="K3" s="13">
        <f>SUMIF(Mercado_Receita!$S$2:$S$545,"44440A4AzulNão se aplicaNão se aplicaNão se aplicaNão se aplicaFora ponta",Mercado_Receita!$J$2:$J$545)+SUMIF(Mercado_Receita!$S$2:$S$545,"44440A4AzulNão se aplicaNão se aplicaAPENão se aplicaFora ponta",Mercado_Receita!$J$2:$J$545)</f>
        <v>4934</v>
      </c>
      <c r="L3" s="13">
        <f>SUMIF(Mercado_Receita!$S$2:$S$545,"44470A4AzulNão se aplicaNão se aplicaNão se aplicaNão se aplicaFora ponta",Mercado_Receita!$J$2:$J$545)+SUMIF(Mercado_Receita!$S$2:$S$545,"44470A4AzulNão se aplicaNão se aplicaAPENão se aplicaFora ponta",Mercado_Receita!$J$2:$J$545)</f>
        <v>4844</v>
      </c>
      <c r="M3" s="13">
        <f>SUMIF(Mercado_Receita!$S$2:$S$545,"44501A4AzulNão se aplicaNão se aplicaNão se aplicaNão se aplicaFora ponta",Mercado_Receita!$J$2:$J$545)+SUMIF(Mercado_Receita!$S$2:$S$545,"44501A4AzulNão se aplicaNão se aplicaAPENão se aplicaFora ponta",Mercado_Receita!$J$2:$J$545)</f>
        <v>5085</v>
      </c>
      <c r="N3" s="13">
        <f>SUMIF(Mercado_Receita!$S$2:$S$545,"44531A4AzulNão se aplicaNão se aplicaNão se aplicaNão se aplicaFora ponta",Mercado_Receita!$J$2:$J$545)+SUMIF(Mercado_Receita!$S$2:$S$545,"44531A4AzulNão se aplicaNão se aplicaAPENão se aplicaFora ponta",Mercado_Receita!$J$2:$J$545)</f>
        <v>5098</v>
      </c>
      <c r="O3" s="13">
        <f>SUMIF(Mercado_Receita!$S$2:$S$545,"44562A4AzulNão se aplicaNão se aplicaNão se aplicaNão se aplicaFora ponta",Mercado_Receita!$J$2:$J$545)+SUMIF(Mercado_Receita!$S$2:$S$545,"44562A4AzulNão se aplicaNão se aplicaAPENão se aplicaFora ponta",Mercado_Receita!$J$2:$J$545)</f>
        <v>5078</v>
      </c>
      <c r="P3" s="13">
        <f>SUMIF(Mercado_Receita!$S$2:$S$545,"44593A4AzulNão se aplicaNão se aplicaNão se aplicaNão se aplicaFora ponta",Mercado_Receita!$J$2:$J$545)+SUMIF(Mercado_Receita!$S$2:$S$545,"44593A4AzulNão se aplicaNão se aplicaAPENão se aplicaFora ponta",Mercado_Receita!$J$2:$J$545)</f>
        <v>5048</v>
      </c>
      <c r="Q3" s="13">
        <f>SUMIF(Mercado_Receita!$S$2:$S$545,"44621A4AzulNão se aplicaNão se aplicaNão se aplicaNão se aplicaFora ponta",Mercado_Receita!$J$2:$J$545)+SUMIF(Mercado_Receita!$S$2:$S$545,"44621A4AzulNão se aplicaNão se aplicaAPENão se aplicaFora ponta",Mercado_Receita!$J$2:$J$545)</f>
        <v>6637</v>
      </c>
      <c r="R3" s="13">
        <f>SUMIF(Mercado_Receita!$S$2:$S$545,"44652A4AzulNão se aplicaNão se aplicaNão se aplicaNão se aplicaFora ponta",Mercado_Receita!$J$2:$J$545)+SUMIF(Mercado_Receita!$S$2:$S$545,"44652A4AzulNão se aplicaNão se aplicaAPENão se aplicaFora ponta",Mercado_Receita!$J$2:$J$545)</f>
        <v>6612</v>
      </c>
      <c r="S3" s="13">
        <f>SUMIF(Mercado_Receita!$S$2:$S$545,"44682A4AzulNão se aplicaNão se aplicaNão se aplicaNão se aplicaFora ponta",Mercado_Receita!$J$2:$J$545)+SUMIF(Mercado_Receita!$S$2:$S$545,"44682A4AzulNão se aplicaNão se aplicaAPENão se aplicaFora ponta",Mercado_Receita!$J$2:$J$545)</f>
        <v>6610</v>
      </c>
      <c r="T3" s="13">
        <f>SUMIF(Mercado_Receita!$S$2:$S$545,"44713A4AzulNão se aplicaNão se aplicaNão se aplicaNão se aplicaFora ponta",Mercado_Receita!$J$2:$J$545)+SUMIF(Mercado_Receita!$S$2:$S$545,"44713A4AzulNão se aplicaNão se aplicaAPENão se aplicaFora ponta",Mercado_Receita!$J$2:$J$545)</f>
        <v>6610</v>
      </c>
      <c r="U3" s="13">
        <f t="shared" si="0"/>
        <v>65979</v>
      </c>
      <c r="V3" s="13"/>
      <c r="W3" s="13"/>
    </row>
    <row r="4" spans="1:30" ht="11.25" customHeight="1" x14ac:dyDescent="0.25">
      <c r="A4" s="95"/>
      <c r="B4" s="95"/>
      <c r="C4" s="95"/>
      <c r="D4" s="95"/>
      <c r="E4" s="95"/>
      <c r="F4" s="95"/>
      <c r="G4" s="13" t="s">
        <v>77</v>
      </c>
      <c r="H4" s="13" t="s">
        <v>73</v>
      </c>
      <c r="I4" s="13">
        <f>SUMIF(Mercado_Receita!$S$2:$S$545,"44378A4AzulNão se aplicaNão se aplicaNão se aplicaNão se aplicaPonta",Mercado_Receita!$L$2:$L$545)+SUMIF(Mercado_Receita!$S$2:$S$545,"44378A4AzulNão se aplicaNão se aplicaNão se aplicaNão se aplicaFora ponta",Mercado_Receita!$L$2:$L$545)+SUMIF(Mercado_Receita!$S$2:$S$545,"44378A4AzulNão se aplicaNão se aplicaNão se aplicaNão se aplicaIntermediário",Mercado_Receita!$L$2:$L$545)+SUMIF(Mercado_Receita!$S$2:$S$545,"44378A4AzulNão se aplicaNão se aplicaNão se aplicaNão se aplicaNão se aplica",Mercado_Receita!$L$2:$L$545)</f>
        <v>2108.3140000000003</v>
      </c>
      <c r="J4" s="13">
        <f>SUMIF(Mercado_Receita!$S$2:$S$545,"44409A4AzulNão se aplicaNão se aplicaNão se aplicaNão se aplicaPonta",Mercado_Receita!$L$2:$L$545)+SUMIF(Mercado_Receita!$S$2:$S$545,"44409A4AzulNão se aplicaNão se aplicaNão se aplicaNão se aplicaFora ponta",Mercado_Receita!$L$2:$L$545)+SUMIF(Mercado_Receita!$S$2:$S$545,"44409A4AzulNão se aplicaNão se aplicaNão se aplicaNão se aplicaIntermediário",Mercado_Receita!$L$2:$L$545)+SUMIF(Mercado_Receita!$S$2:$S$545,"44409A4AzulNão se aplicaNão se aplicaNão se aplicaNão se aplicaNão se aplica",Mercado_Receita!$L$2:$L$545)</f>
        <v>2136.4560000000001</v>
      </c>
      <c r="K4" s="13">
        <f>SUMIF(Mercado_Receita!$S$2:$S$545,"44440A4AzulNão se aplicaNão se aplicaNão se aplicaNão se aplicaPonta",Mercado_Receita!$L$2:$L$545)+SUMIF(Mercado_Receita!$S$2:$S$545,"44440A4AzulNão se aplicaNão se aplicaNão se aplicaNão se aplicaFora ponta",Mercado_Receita!$L$2:$L$545)+SUMIF(Mercado_Receita!$S$2:$S$545,"44440A4AzulNão se aplicaNão se aplicaNão se aplicaNão se aplicaIntermediário",Mercado_Receita!$L$2:$L$545)+SUMIF(Mercado_Receita!$S$2:$S$545,"44440A4AzulNão se aplicaNão se aplicaNão se aplicaNão se aplicaNão se aplica",Mercado_Receita!$L$2:$L$545)</f>
        <v>2137.0300000000002</v>
      </c>
      <c r="L4" s="13">
        <f>SUMIF(Mercado_Receita!$S$2:$S$545,"44470A4AzulNão se aplicaNão se aplicaNão se aplicaNão se aplicaPonta",Mercado_Receita!$L$2:$L$545)+SUMIF(Mercado_Receita!$S$2:$S$545,"44470A4AzulNão se aplicaNão se aplicaNão se aplicaNão se aplicaFora ponta",Mercado_Receita!$L$2:$L$545)+SUMIF(Mercado_Receita!$S$2:$S$545,"44470A4AzulNão se aplicaNão se aplicaNão se aplicaNão se aplicaIntermediário",Mercado_Receita!$L$2:$L$545)+SUMIF(Mercado_Receita!$S$2:$S$545,"44470A4AzulNão se aplicaNão se aplicaNão se aplicaNão se aplicaNão se aplica",Mercado_Receita!$L$2:$L$545)</f>
        <v>2181.067</v>
      </c>
      <c r="M4" s="13">
        <f>SUMIF(Mercado_Receita!$S$2:$S$545,"44501A4AzulNão se aplicaNão se aplicaNão se aplicaNão se aplicaPonta",Mercado_Receita!$L$2:$L$545)+SUMIF(Mercado_Receita!$S$2:$S$545,"44501A4AzulNão se aplicaNão se aplicaNão se aplicaNão se aplicaFora ponta",Mercado_Receita!$L$2:$L$545)+SUMIF(Mercado_Receita!$S$2:$S$545,"44501A4AzulNão se aplicaNão se aplicaNão se aplicaNão se aplicaIntermediário",Mercado_Receita!$L$2:$L$545)+SUMIF(Mercado_Receita!$S$2:$S$545,"44501A4AzulNão se aplicaNão se aplicaNão se aplicaNão se aplicaNão se aplica",Mercado_Receita!$L$2:$L$545)</f>
        <v>2177.011</v>
      </c>
      <c r="N4" s="13">
        <f>SUMIF(Mercado_Receita!$S$2:$S$545,"44531A4AzulNão se aplicaNão se aplicaNão se aplicaNão se aplicaPonta",Mercado_Receita!$L$2:$L$545)+SUMIF(Mercado_Receita!$S$2:$S$545,"44531A4AzulNão se aplicaNão se aplicaNão se aplicaNão se aplicaFora ponta",Mercado_Receita!$L$2:$L$545)+SUMIF(Mercado_Receita!$S$2:$S$545,"44531A4AzulNão se aplicaNão se aplicaNão se aplicaNão se aplicaIntermediário",Mercado_Receita!$L$2:$L$545)+SUMIF(Mercado_Receita!$S$2:$S$545,"44531A4AzulNão se aplicaNão se aplicaNão se aplicaNão se aplicaNão se aplica",Mercado_Receita!$L$2:$L$545)</f>
        <v>2174.34</v>
      </c>
      <c r="O4" s="13">
        <f>SUMIF(Mercado_Receita!$S$2:$S$545,"44562A4AzulNão se aplicaNão se aplicaNão se aplicaNão se aplicaPonta",Mercado_Receita!$L$2:$L$545)+SUMIF(Mercado_Receita!$S$2:$S$545,"44562A4AzulNão se aplicaNão se aplicaNão se aplicaNão se aplicaFora ponta",Mercado_Receita!$L$2:$L$545)+SUMIF(Mercado_Receita!$S$2:$S$545,"44562A4AzulNão se aplicaNão se aplicaNão se aplicaNão se aplicaIntermediário",Mercado_Receita!$L$2:$L$545)+SUMIF(Mercado_Receita!$S$2:$S$545,"44562A4AzulNão se aplicaNão se aplicaNão se aplicaNão se aplicaNão se aplica",Mercado_Receita!$L$2:$L$545)</f>
        <v>2220.8440000000001</v>
      </c>
      <c r="P4" s="13">
        <f>SUMIF(Mercado_Receita!$S$2:$S$545,"44593A4AzulNão se aplicaNão se aplicaNão se aplicaNão se aplicaPonta",Mercado_Receita!$L$2:$L$545)+SUMIF(Mercado_Receita!$S$2:$S$545,"44593A4AzulNão se aplicaNão se aplicaNão se aplicaNão se aplicaFora ponta",Mercado_Receita!$L$2:$L$545)+SUMIF(Mercado_Receita!$S$2:$S$545,"44593A4AzulNão se aplicaNão se aplicaNão se aplicaNão se aplicaIntermediário",Mercado_Receita!$L$2:$L$545)+SUMIF(Mercado_Receita!$S$2:$S$545,"44593A4AzulNão se aplicaNão se aplicaNão se aplicaNão se aplicaNão se aplica",Mercado_Receita!$L$2:$L$545)</f>
        <v>2278.1010000000001</v>
      </c>
      <c r="Q4" s="13">
        <f>SUMIF(Mercado_Receita!$S$2:$S$545,"44621A4AzulNão se aplicaNão se aplicaNão se aplicaNão se aplicaPonta",Mercado_Receita!$L$2:$L$545)+SUMIF(Mercado_Receita!$S$2:$S$545,"44621A4AzulNão se aplicaNão se aplicaNão se aplicaNão se aplicaFora ponta",Mercado_Receita!$L$2:$L$545)+SUMIF(Mercado_Receita!$S$2:$S$545,"44621A4AzulNão se aplicaNão se aplicaNão se aplicaNão se aplicaIntermediário",Mercado_Receita!$L$2:$L$545)+SUMIF(Mercado_Receita!$S$2:$S$545,"44621A4AzulNão se aplicaNão se aplicaNão se aplicaNão se aplicaNão se aplica",Mercado_Receita!$L$2:$L$545)</f>
        <v>2516.4920000000002</v>
      </c>
      <c r="R4" s="13">
        <f>SUMIF(Mercado_Receita!$S$2:$S$545,"44652A4AzulNão se aplicaNão se aplicaNão se aplicaNão se aplicaPonta",Mercado_Receita!$L$2:$L$545)+SUMIF(Mercado_Receita!$S$2:$S$545,"44652A4AzulNão se aplicaNão se aplicaNão se aplicaNão se aplicaFora ponta",Mercado_Receita!$L$2:$L$545)+SUMIF(Mercado_Receita!$S$2:$S$545,"44652A4AzulNão se aplicaNão se aplicaNão se aplicaNão se aplicaIntermediário",Mercado_Receita!$L$2:$L$545)+SUMIF(Mercado_Receita!$S$2:$S$545,"44652A4AzulNão se aplicaNão se aplicaNão se aplicaNão se aplicaNão se aplica",Mercado_Receita!$L$2:$L$545)</f>
        <v>1918.095</v>
      </c>
      <c r="S4" s="13">
        <f>SUMIF(Mercado_Receita!$S$2:$S$545,"44682A4AzulNão se aplicaNão se aplicaNão se aplicaNão se aplicaPonta",Mercado_Receita!$L$2:$L$545)+SUMIF(Mercado_Receita!$S$2:$S$545,"44682A4AzulNão se aplicaNão se aplicaNão se aplicaNão se aplicaFora ponta",Mercado_Receita!$L$2:$L$545)+SUMIF(Mercado_Receita!$S$2:$S$545,"44682A4AzulNão se aplicaNão se aplicaNão se aplicaNão se aplicaIntermediário",Mercado_Receita!$L$2:$L$545)+SUMIF(Mercado_Receita!$S$2:$S$545,"44682A4AzulNão se aplicaNão se aplicaNão se aplicaNão se aplicaNão se aplica",Mercado_Receita!$L$2:$L$545)</f>
        <v>2134.373</v>
      </c>
      <c r="T4" s="13">
        <f>SUMIF(Mercado_Receita!$S$2:$S$545,"44713A4AzulNão se aplicaNão se aplicaNão se aplicaNão se aplicaPonta",Mercado_Receita!$L$2:$L$545)+SUMIF(Mercado_Receita!$S$2:$S$545,"44713A4AzulNão se aplicaNão se aplicaNão se aplicaNão se aplicaFora ponta",Mercado_Receita!$L$2:$L$545)+SUMIF(Mercado_Receita!$S$2:$S$545,"44713A4AzulNão se aplicaNão se aplicaNão se aplicaNão se aplicaIntermediário",Mercado_Receita!$L$2:$L$545)+SUMIF(Mercado_Receita!$S$2:$S$545,"44713A4AzulNão se aplicaNão se aplicaNão se aplicaNão se aplicaNão se aplica",Mercado_Receita!$L$2:$L$545)</f>
        <v>1997.7910000000002</v>
      </c>
      <c r="U4" s="13">
        <f t="shared" si="0"/>
        <v>25979.914000000001</v>
      </c>
      <c r="V4" s="13"/>
      <c r="W4" s="13"/>
    </row>
    <row r="5" spans="1:30" ht="11.25" customHeight="1" x14ac:dyDescent="0.25">
      <c r="A5" s="95"/>
      <c r="B5" s="95"/>
      <c r="C5" s="95"/>
      <c r="D5" s="95"/>
      <c r="E5" s="12" t="s">
        <v>81</v>
      </c>
      <c r="F5" s="12" t="s">
        <v>25</v>
      </c>
      <c r="G5" s="13" t="s">
        <v>77</v>
      </c>
      <c r="H5" s="13" t="s">
        <v>73</v>
      </c>
      <c r="I5" s="13">
        <f>SUMIF(Mercado_Receita!$S$2:$S$545,"44378A4AzulNão se aplicaNão se aplicaAPENão se aplicaPonta",Mercado_Receita!$L$2:$L$545)+SUMIF(Mercado_Receita!$S$2:$S$545,"44378A4AzulNão se aplicaNão se aplicaAPENão se aplicaFora ponta",Mercado_Receita!$L$2:$L$545)+SUMIF(Mercado_Receita!$S$2:$S$545,"44378A4AzulNão se aplicaNão se aplicaAPENão se aplicaIntermediário",Mercado_Receita!$L$2:$L$545)+SUMIF(Mercado_Receita!$S$2:$S$545,"44378A4AzulNão se aplicaNão se aplicaAPENão se aplicaNão se aplica",Mercado_Receita!$L$2:$L$545)</f>
        <v>0</v>
      </c>
      <c r="J5" s="13">
        <f>SUMIF(Mercado_Receita!$S$2:$S$545,"44409A4AzulNão se aplicaNão se aplicaAPENão se aplicaPonta",Mercado_Receita!$L$2:$L$545)+SUMIF(Mercado_Receita!$S$2:$S$545,"44409A4AzulNão se aplicaNão se aplicaAPENão se aplicaFora ponta",Mercado_Receita!$L$2:$L$545)+SUMIF(Mercado_Receita!$S$2:$S$545,"44409A4AzulNão se aplicaNão se aplicaAPENão se aplicaIntermediário",Mercado_Receita!$L$2:$L$545)+SUMIF(Mercado_Receita!$S$2:$S$545,"44409A4AzulNão se aplicaNão se aplicaAPENão se aplicaNão se aplica",Mercado_Receita!$L$2:$L$545)</f>
        <v>0</v>
      </c>
      <c r="K5" s="13">
        <f>SUMIF(Mercado_Receita!$S$2:$S$545,"44440A4AzulNão se aplicaNão se aplicaAPENão se aplicaPonta",Mercado_Receita!$L$2:$L$545)+SUMIF(Mercado_Receita!$S$2:$S$545,"44440A4AzulNão se aplicaNão se aplicaAPENão se aplicaFora ponta",Mercado_Receita!$L$2:$L$545)+SUMIF(Mercado_Receita!$S$2:$S$545,"44440A4AzulNão se aplicaNão se aplicaAPENão se aplicaIntermediário",Mercado_Receita!$L$2:$L$545)+SUMIF(Mercado_Receita!$S$2:$S$545,"44440A4AzulNão se aplicaNão se aplicaAPENão se aplicaNão se aplica",Mercado_Receita!$L$2:$L$545)</f>
        <v>0</v>
      </c>
      <c r="L5" s="13">
        <f>SUMIF(Mercado_Receita!$S$2:$S$545,"44470A4AzulNão se aplicaNão se aplicaAPENão se aplicaPonta",Mercado_Receita!$L$2:$L$545)+SUMIF(Mercado_Receita!$S$2:$S$545,"44470A4AzulNão se aplicaNão se aplicaAPENão se aplicaFora ponta",Mercado_Receita!$L$2:$L$545)+SUMIF(Mercado_Receita!$S$2:$S$545,"44470A4AzulNão se aplicaNão se aplicaAPENão se aplicaIntermediário",Mercado_Receita!$L$2:$L$545)+SUMIF(Mercado_Receita!$S$2:$S$545,"44470A4AzulNão se aplicaNão se aplicaAPENão se aplicaNão se aplica",Mercado_Receita!$L$2:$L$545)</f>
        <v>0</v>
      </c>
      <c r="M5" s="13">
        <f>SUMIF(Mercado_Receita!$S$2:$S$545,"44501A4AzulNão se aplicaNão se aplicaAPENão se aplicaPonta",Mercado_Receita!$L$2:$L$545)+SUMIF(Mercado_Receita!$S$2:$S$545,"44501A4AzulNão se aplicaNão se aplicaAPENão se aplicaFora ponta",Mercado_Receita!$L$2:$L$545)+SUMIF(Mercado_Receita!$S$2:$S$545,"44501A4AzulNão se aplicaNão se aplicaAPENão se aplicaIntermediário",Mercado_Receita!$L$2:$L$545)+SUMIF(Mercado_Receita!$S$2:$S$545,"44501A4AzulNão se aplicaNão se aplicaAPENão se aplicaNão se aplica",Mercado_Receita!$L$2:$L$545)</f>
        <v>0</v>
      </c>
      <c r="N5" s="13">
        <f>SUMIF(Mercado_Receita!$S$2:$S$545,"44531A4AzulNão se aplicaNão se aplicaAPENão se aplicaPonta",Mercado_Receita!$L$2:$L$545)+SUMIF(Mercado_Receita!$S$2:$S$545,"44531A4AzulNão se aplicaNão se aplicaAPENão se aplicaFora ponta",Mercado_Receita!$L$2:$L$545)+SUMIF(Mercado_Receita!$S$2:$S$545,"44531A4AzulNão se aplicaNão se aplicaAPENão se aplicaIntermediário",Mercado_Receita!$L$2:$L$545)+SUMIF(Mercado_Receita!$S$2:$S$545,"44531A4AzulNão se aplicaNão se aplicaAPENão se aplicaNão se aplica",Mercado_Receita!$L$2:$L$545)</f>
        <v>0</v>
      </c>
      <c r="O5" s="13">
        <f>SUMIF(Mercado_Receita!$S$2:$S$545,"44562A4AzulNão se aplicaNão se aplicaAPENão se aplicaPonta",Mercado_Receita!$L$2:$L$545)+SUMIF(Mercado_Receita!$S$2:$S$545,"44562A4AzulNão se aplicaNão se aplicaAPENão se aplicaFora ponta",Mercado_Receita!$L$2:$L$545)+SUMIF(Mercado_Receita!$S$2:$S$545,"44562A4AzulNão se aplicaNão se aplicaAPENão se aplicaIntermediário",Mercado_Receita!$L$2:$L$545)+SUMIF(Mercado_Receita!$S$2:$S$545,"44562A4AzulNão se aplicaNão se aplicaAPENão se aplicaNão se aplica",Mercado_Receita!$L$2:$L$545)</f>
        <v>0</v>
      </c>
      <c r="P5" s="13">
        <f>SUMIF(Mercado_Receita!$S$2:$S$545,"44593A4AzulNão se aplicaNão se aplicaAPENão se aplicaPonta",Mercado_Receita!$L$2:$L$545)+SUMIF(Mercado_Receita!$S$2:$S$545,"44593A4AzulNão se aplicaNão se aplicaAPENão se aplicaFora ponta",Mercado_Receita!$L$2:$L$545)+SUMIF(Mercado_Receita!$S$2:$S$545,"44593A4AzulNão se aplicaNão se aplicaAPENão se aplicaIntermediário",Mercado_Receita!$L$2:$L$545)+SUMIF(Mercado_Receita!$S$2:$S$545,"44593A4AzulNão se aplicaNão se aplicaAPENão se aplicaNão se aplica",Mercado_Receita!$L$2:$L$545)</f>
        <v>0</v>
      </c>
      <c r="Q5" s="13">
        <f>SUMIF(Mercado_Receita!$S$2:$S$545,"44621A4AzulNão se aplicaNão se aplicaAPENão se aplicaPonta",Mercado_Receita!$L$2:$L$545)+SUMIF(Mercado_Receita!$S$2:$S$545,"44621A4AzulNão se aplicaNão se aplicaAPENão se aplicaFora ponta",Mercado_Receita!$L$2:$L$545)+SUMIF(Mercado_Receita!$S$2:$S$545,"44621A4AzulNão se aplicaNão se aplicaAPENão se aplicaIntermediário",Mercado_Receita!$L$2:$L$545)+SUMIF(Mercado_Receita!$S$2:$S$545,"44621A4AzulNão se aplicaNão se aplicaAPENão se aplicaNão se aplica",Mercado_Receita!$L$2:$L$545)</f>
        <v>0</v>
      </c>
      <c r="R5" s="13">
        <f>SUMIF(Mercado_Receita!$S$2:$S$545,"44652A4AzulNão se aplicaNão se aplicaAPENão se aplicaPonta",Mercado_Receita!$L$2:$L$545)+SUMIF(Mercado_Receita!$S$2:$S$545,"44652A4AzulNão se aplicaNão se aplicaAPENão se aplicaFora ponta",Mercado_Receita!$L$2:$L$545)+SUMIF(Mercado_Receita!$S$2:$S$545,"44652A4AzulNão se aplicaNão se aplicaAPENão se aplicaIntermediário",Mercado_Receita!$L$2:$L$545)+SUMIF(Mercado_Receita!$S$2:$S$545,"44652A4AzulNão se aplicaNão se aplicaAPENão se aplicaNão se aplica",Mercado_Receita!$L$2:$L$545)</f>
        <v>0</v>
      </c>
      <c r="S5" s="13">
        <f>SUMIF(Mercado_Receita!$S$2:$S$545,"44682A4AzulNão se aplicaNão se aplicaAPENão se aplicaPonta",Mercado_Receita!$L$2:$L$545)+SUMIF(Mercado_Receita!$S$2:$S$545,"44682A4AzulNão se aplicaNão se aplicaAPENão se aplicaFora ponta",Mercado_Receita!$L$2:$L$545)+SUMIF(Mercado_Receita!$S$2:$S$545,"44682A4AzulNão se aplicaNão se aplicaAPENão se aplicaIntermediário",Mercado_Receita!$L$2:$L$545)+SUMIF(Mercado_Receita!$S$2:$S$545,"44682A4AzulNão se aplicaNão se aplicaAPENão se aplicaNão se aplica",Mercado_Receita!$L$2:$L$545)</f>
        <v>0</v>
      </c>
      <c r="T5" s="13">
        <f>SUMIF(Mercado_Receita!$S$2:$S$545,"44713A4AzulNão se aplicaNão se aplicaAPENão se aplicaPonta",Mercado_Receita!$L$2:$L$545)+SUMIF(Mercado_Receita!$S$2:$S$545,"44713A4AzulNão se aplicaNão se aplicaAPENão se aplicaFora ponta",Mercado_Receita!$L$2:$L$545)+SUMIF(Mercado_Receita!$S$2:$S$545,"44713A4AzulNão se aplicaNão se aplicaAPENão se aplicaIntermediário",Mercado_Receita!$L$2:$L$545)+SUMIF(Mercado_Receita!$S$2:$S$545,"44713A4AzulNão se aplicaNão se aplicaAPENão se aplicaNão se aplica",Mercado_Receita!$L$2:$L$545)</f>
        <v>0</v>
      </c>
      <c r="U5" s="13">
        <f t="shared" si="0"/>
        <v>0</v>
      </c>
      <c r="V5" s="13"/>
      <c r="W5" s="13"/>
    </row>
    <row r="6" spans="1:30" ht="11.25" customHeight="1" x14ac:dyDescent="0.25">
      <c r="A6" s="95"/>
      <c r="B6" s="12" t="s">
        <v>53</v>
      </c>
      <c r="C6" s="12" t="s">
        <v>25</v>
      </c>
      <c r="D6" s="12" t="s">
        <v>25</v>
      </c>
      <c r="E6" s="12" t="s">
        <v>25</v>
      </c>
      <c r="F6" s="12" t="s">
        <v>25</v>
      </c>
      <c r="G6" s="13" t="s">
        <v>9</v>
      </c>
      <c r="H6" s="13" t="s">
        <v>78</v>
      </c>
      <c r="I6" s="13">
        <f>SUMIF(Mercado_Receita!$S$2:$S$545,"44378A4GeraçãoNão se aplicaNão se aplicaNão se aplicaNão se aplicaNão se aplica",Mercado_Receita!$J$2:$J$545)+SUMIF(Mercado_Receita!$S$2:$S$545,"44378A4GeraçãoNão se aplicaNão se aplicaAPENão se aplicaNão se aplica",Mercado_Receita!$J$2:$J$545)</f>
        <v>1720</v>
      </c>
      <c r="J6" s="13">
        <f>SUMIF(Mercado_Receita!$S$2:$S$545,"44409A4GeraçãoNão se aplicaNão se aplicaNão se aplicaNão se aplicaNão se aplica",Mercado_Receita!$J$2:$J$545)+SUMIF(Mercado_Receita!$S$2:$S$545,"44409A4GeraçãoNão se aplicaNão se aplicaAPENão se aplicaNão se aplica",Mercado_Receita!$J$2:$J$545)</f>
        <v>1720</v>
      </c>
      <c r="K6" s="13">
        <f>SUMIF(Mercado_Receita!$S$2:$S$545,"44440A4GeraçãoNão se aplicaNão se aplicaNão se aplicaNão se aplicaNão se aplica",Mercado_Receita!$J$2:$J$545)+SUMIF(Mercado_Receita!$S$2:$S$545,"44440A4GeraçãoNão se aplicaNão se aplicaAPENão se aplicaNão se aplica",Mercado_Receita!$J$2:$J$545)</f>
        <v>1720</v>
      </c>
      <c r="L6" s="13">
        <f>SUMIF(Mercado_Receita!$S$2:$S$545,"44470A4GeraçãoNão se aplicaNão se aplicaNão se aplicaNão se aplicaNão se aplica",Mercado_Receita!$J$2:$J$545)+SUMIF(Mercado_Receita!$S$2:$S$545,"44470A4GeraçãoNão se aplicaNão se aplicaAPENão se aplicaNão se aplica",Mercado_Receita!$J$2:$J$545)</f>
        <v>1720</v>
      </c>
      <c r="M6" s="13">
        <f>SUMIF(Mercado_Receita!$S$2:$S$545,"44501A4GeraçãoNão se aplicaNão se aplicaNão se aplicaNão se aplicaNão se aplica",Mercado_Receita!$J$2:$J$545)+SUMIF(Mercado_Receita!$S$2:$S$545,"44501A4GeraçãoNão se aplicaNão se aplicaAPENão se aplicaNão se aplica",Mercado_Receita!$J$2:$J$545)</f>
        <v>1720</v>
      </c>
      <c r="N6" s="13">
        <f>SUMIF(Mercado_Receita!$S$2:$S$545,"44531A4GeraçãoNão se aplicaNão se aplicaNão se aplicaNão se aplicaNão se aplica",Mercado_Receita!$J$2:$J$545)+SUMIF(Mercado_Receita!$S$2:$S$545,"44531A4GeraçãoNão se aplicaNão se aplicaAPENão se aplicaNão se aplica",Mercado_Receita!$J$2:$J$545)</f>
        <v>1720</v>
      </c>
      <c r="O6" s="13">
        <f>SUMIF(Mercado_Receita!$S$2:$S$545,"44562A4GeraçãoNão se aplicaNão se aplicaNão se aplicaNão se aplicaNão se aplica",Mercado_Receita!$J$2:$J$545)+SUMIF(Mercado_Receita!$S$2:$S$545,"44562A4GeraçãoNão se aplicaNão se aplicaAPENão se aplicaNão se aplica",Mercado_Receita!$J$2:$J$545)</f>
        <v>1720</v>
      </c>
      <c r="P6" s="13">
        <f>SUMIF(Mercado_Receita!$S$2:$S$545,"44593A4GeraçãoNão se aplicaNão se aplicaNão se aplicaNão se aplicaNão se aplica",Mercado_Receita!$J$2:$J$545)+SUMIF(Mercado_Receita!$S$2:$S$545,"44593A4GeraçãoNão se aplicaNão se aplicaAPENão se aplicaNão se aplica",Mercado_Receita!$J$2:$J$545)</f>
        <v>1720</v>
      </c>
      <c r="Q6" s="13">
        <f>SUMIF(Mercado_Receita!$S$2:$S$545,"44621A4GeraçãoNão se aplicaNão se aplicaNão se aplicaNão se aplicaNão se aplica",Mercado_Receita!$J$2:$J$545)+SUMIF(Mercado_Receita!$S$2:$S$545,"44621A4GeraçãoNão se aplicaNão se aplicaAPENão se aplicaNão se aplica",Mercado_Receita!$J$2:$J$545)</f>
        <v>1720</v>
      </c>
      <c r="R6" s="13">
        <f>SUMIF(Mercado_Receita!$S$2:$S$545,"44652A4GeraçãoNão se aplicaNão se aplicaNão se aplicaNão se aplicaNão se aplica",Mercado_Receita!$J$2:$J$545)+SUMIF(Mercado_Receita!$S$2:$S$545,"44652A4GeraçãoNão se aplicaNão se aplicaAPENão se aplicaNão se aplica",Mercado_Receita!$J$2:$J$545)</f>
        <v>1720</v>
      </c>
      <c r="S6" s="13">
        <f>SUMIF(Mercado_Receita!$S$2:$S$545,"44682A4GeraçãoNão se aplicaNão se aplicaNão se aplicaNão se aplicaNão se aplica",Mercado_Receita!$J$2:$J$545)+SUMIF(Mercado_Receita!$S$2:$S$545,"44682A4GeraçãoNão se aplicaNão se aplicaAPENão se aplicaNão se aplica",Mercado_Receita!$J$2:$J$545)</f>
        <v>1720</v>
      </c>
      <c r="T6" s="13">
        <f>SUMIF(Mercado_Receita!$S$2:$S$545,"44713A4GeraçãoNão se aplicaNão se aplicaNão se aplicaNão se aplicaNão se aplica",Mercado_Receita!$J$2:$J$545)+SUMIF(Mercado_Receita!$S$2:$S$545,"44713A4GeraçãoNão se aplicaNão se aplicaAPENão se aplicaNão se aplica",Mercado_Receita!$J$2:$J$545)</f>
        <v>1720</v>
      </c>
      <c r="U6" s="13">
        <f t="shared" si="0"/>
        <v>20640</v>
      </c>
      <c r="V6" s="13"/>
      <c r="W6" s="13"/>
    </row>
    <row r="7" spans="1:30" ht="11.25" customHeight="1" x14ac:dyDescent="0.25">
      <c r="A7" s="95"/>
      <c r="B7" s="94" t="s">
        <v>39</v>
      </c>
      <c r="C7" s="94" t="s">
        <v>25</v>
      </c>
      <c r="D7" s="94" t="s">
        <v>25</v>
      </c>
      <c r="E7" s="94" t="s">
        <v>25</v>
      </c>
      <c r="F7" s="94" t="s">
        <v>25</v>
      </c>
      <c r="G7" s="13" t="s">
        <v>9</v>
      </c>
      <c r="H7" s="13" t="s">
        <v>78</v>
      </c>
      <c r="I7" s="13">
        <f>SUMIF(Mercado_Receita!$S$2:$S$545,"44378A4VerdeNão se aplicaNão se aplicaNão se aplicaNão se aplicaNão se aplica",Mercado_Receita!$J$2:$J$545)+SUMIF(Mercado_Receita!$S$2:$S$545,"44378A4VerdeNão se aplicaNão se aplicaAPENão se aplicaNão se aplica",Mercado_Receita!$J$2:$J$545)</f>
        <v>5487</v>
      </c>
      <c r="J7" s="13">
        <f>SUMIF(Mercado_Receita!$S$2:$S$545,"44409A4VerdeNão se aplicaNão se aplicaNão se aplicaNão se aplicaNão se aplica",Mercado_Receita!$J$2:$J$545)+SUMIF(Mercado_Receita!$S$2:$S$545,"44409A4VerdeNão se aplicaNão se aplicaAPENão se aplicaNão se aplica",Mercado_Receita!$J$2:$J$545)</f>
        <v>5183</v>
      </c>
      <c r="K7" s="13">
        <f>SUMIF(Mercado_Receita!$S$2:$S$545,"44440A4VerdeNão se aplicaNão se aplicaNão se aplicaNão se aplicaNão se aplica",Mercado_Receita!$J$2:$J$545)+SUMIF(Mercado_Receita!$S$2:$S$545,"44440A4VerdeNão se aplicaNão se aplicaAPENão se aplicaNão se aplica",Mercado_Receita!$J$2:$J$545)</f>
        <v>5858</v>
      </c>
      <c r="L7" s="13">
        <f>SUMIF(Mercado_Receita!$S$2:$S$545,"44470A4VerdeNão se aplicaNão se aplicaNão se aplicaNão se aplicaNão se aplica",Mercado_Receita!$J$2:$J$545)+SUMIF(Mercado_Receita!$S$2:$S$545,"44470A4VerdeNão se aplicaNão se aplicaAPENão se aplicaNão se aplica",Mercado_Receita!$J$2:$J$545)</f>
        <v>5855</v>
      </c>
      <c r="M7" s="13">
        <f>SUMIF(Mercado_Receita!$S$2:$S$545,"44501A4VerdeNão se aplicaNão se aplicaNão se aplicaNão se aplicaNão se aplica",Mercado_Receita!$J$2:$J$545)+SUMIF(Mercado_Receita!$S$2:$S$545,"44501A4VerdeNão se aplicaNão se aplicaAPENão se aplicaNão se aplica",Mercado_Receita!$J$2:$J$545)</f>
        <v>6205</v>
      </c>
      <c r="N7" s="13">
        <f>SUMIF(Mercado_Receita!$S$2:$S$545,"44531A4VerdeNão se aplicaNão se aplicaNão se aplicaNão se aplicaNão se aplica",Mercado_Receita!$J$2:$J$545)+SUMIF(Mercado_Receita!$S$2:$S$545,"44531A4VerdeNão se aplicaNão se aplicaAPENão se aplicaNão se aplica",Mercado_Receita!$J$2:$J$545)</f>
        <v>6125</v>
      </c>
      <c r="O7" s="13">
        <f>SUMIF(Mercado_Receita!$S$2:$S$545,"44562A4VerdeNão se aplicaNão se aplicaNão se aplicaNão se aplicaNão se aplica",Mercado_Receita!$J$2:$J$545)+SUMIF(Mercado_Receita!$S$2:$S$545,"44562A4VerdeNão se aplicaNão se aplicaAPENão se aplicaNão se aplica",Mercado_Receita!$J$2:$J$545)</f>
        <v>5950</v>
      </c>
      <c r="P7" s="13">
        <f>SUMIF(Mercado_Receita!$S$2:$S$545,"44593A4VerdeNão se aplicaNão se aplicaNão se aplicaNão se aplicaNão se aplica",Mercado_Receita!$J$2:$J$545)+SUMIF(Mercado_Receita!$S$2:$S$545,"44593A4VerdeNão se aplicaNão se aplicaAPENão se aplicaNão se aplica",Mercado_Receita!$J$2:$J$545)</f>
        <v>6116</v>
      </c>
      <c r="Q7" s="13">
        <f>SUMIF(Mercado_Receita!$S$2:$S$545,"44621A4VerdeNão se aplicaNão se aplicaNão se aplicaNão se aplicaNão se aplica",Mercado_Receita!$J$2:$J$545)+SUMIF(Mercado_Receita!$S$2:$S$545,"44621A4VerdeNão se aplicaNão se aplicaAPENão se aplicaNão se aplica",Mercado_Receita!$J$2:$J$545)</f>
        <v>6350</v>
      </c>
      <c r="R7" s="13">
        <f>SUMIF(Mercado_Receita!$S$2:$S$545,"44652A4VerdeNão se aplicaNão se aplicaNão se aplicaNão se aplicaNão se aplica",Mercado_Receita!$J$2:$J$545)+SUMIF(Mercado_Receita!$S$2:$S$545,"44652A4VerdeNão se aplicaNão se aplicaAPENão se aplicaNão se aplica",Mercado_Receita!$J$2:$J$545)</f>
        <v>6202</v>
      </c>
      <c r="S7" s="13">
        <f>SUMIF(Mercado_Receita!$S$2:$S$545,"44682A4VerdeNão se aplicaNão se aplicaNão se aplicaNão se aplicaNão se aplica",Mercado_Receita!$J$2:$J$545)+SUMIF(Mercado_Receita!$S$2:$S$545,"44682A4VerdeNão se aplicaNão se aplicaAPENão se aplicaNão se aplica",Mercado_Receita!$J$2:$J$545)</f>
        <v>5919</v>
      </c>
      <c r="T7" s="13">
        <f>SUMIF(Mercado_Receita!$S$2:$S$545,"44713A4VerdeNão se aplicaNão se aplicaNão se aplicaNão se aplicaNão se aplica",Mercado_Receita!$J$2:$J$545)+SUMIF(Mercado_Receita!$S$2:$S$545,"44713A4VerdeNão se aplicaNão se aplicaAPENão se aplicaNão se aplica",Mercado_Receita!$J$2:$J$545)</f>
        <v>6261</v>
      </c>
      <c r="U7" s="13">
        <f t="shared" si="0"/>
        <v>71511</v>
      </c>
      <c r="V7" s="13"/>
      <c r="W7" s="13"/>
    </row>
    <row r="8" spans="1:30" ht="11.25" customHeight="1" x14ac:dyDescent="0.25">
      <c r="A8" s="95"/>
      <c r="B8" s="95"/>
      <c r="C8" s="95"/>
      <c r="D8" s="95"/>
      <c r="E8" s="95"/>
      <c r="F8" s="95"/>
      <c r="G8" s="13" t="s">
        <v>74</v>
      </c>
      <c r="H8" s="13" t="s">
        <v>73</v>
      </c>
      <c r="I8" s="13">
        <f>SUMIF(Mercado_Receita!$S$2:$S$545,"44378A4VerdeNão se aplicaNão se aplicaNão se aplicaNão se aplicaPonta",Mercado_Receita!$L$2:$L$545)</f>
        <v>22.227</v>
      </c>
      <c r="J8" s="13">
        <f>SUMIF(Mercado_Receita!$S$2:$S$545,"44409A4VerdeNão se aplicaNão se aplicaNão se aplicaNão se aplicaPonta",Mercado_Receita!$L$2:$L$545)</f>
        <v>15.78</v>
      </c>
      <c r="K8" s="13">
        <f>SUMIF(Mercado_Receita!$S$2:$S$545,"44440A4VerdeNão se aplicaNão se aplicaNão se aplicaNão se aplicaPonta",Mercado_Receita!$L$2:$L$545)</f>
        <v>17.164000000000001</v>
      </c>
      <c r="L8" s="13">
        <f>SUMIF(Mercado_Receita!$S$2:$S$545,"44470A4VerdeNão se aplicaNão se aplicaNão se aplicaNão se aplicaPonta",Mercado_Receita!$L$2:$L$545)</f>
        <v>24.138999999999999</v>
      </c>
      <c r="M8" s="13">
        <f>SUMIF(Mercado_Receita!$S$2:$S$545,"44501A4VerdeNão se aplicaNão se aplicaNão se aplicaNão se aplicaPonta",Mercado_Receita!$L$2:$L$545)</f>
        <v>34.413000000000004</v>
      </c>
      <c r="N8" s="13">
        <f>SUMIF(Mercado_Receita!$S$2:$S$545,"44531A4VerdeNão se aplicaNão se aplicaNão se aplicaNão se aplicaPonta",Mercado_Receita!$L$2:$L$545)</f>
        <v>31.652000000000001</v>
      </c>
      <c r="O8" s="13">
        <f>SUMIF(Mercado_Receita!$S$2:$S$545,"44562A4VerdeNão se aplicaNão se aplicaNão se aplicaNão se aplicaPonta",Mercado_Receita!$L$2:$L$545)</f>
        <v>25.110999999999997</v>
      </c>
      <c r="P8" s="13">
        <f>SUMIF(Mercado_Receita!$S$2:$S$545,"44593A4VerdeNão se aplicaNão se aplicaNão se aplicaNão se aplicaPonta",Mercado_Receita!$L$2:$L$545)</f>
        <v>31.198</v>
      </c>
      <c r="Q8" s="13">
        <f>SUMIF(Mercado_Receita!$S$2:$S$545,"44621A4VerdeNão se aplicaNão se aplicaNão se aplicaNão se aplicaPonta",Mercado_Receita!$L$2:$L$545)</f>
        <v>45.966000000000001</v>
      </c>
      <c r="R8" s="13">
        <f>SUMIF(Mercado_Receita!$S$2:$S$545,"44652A4VerdeNão se aplicaNão se aplicaNão se aplicaNão se aplicaPonta",Mercado_Receita!$L$2:$L$545)</f>
        <v>38.871000000000002</v>
      </c>
      <c r="S8" s="13">
        <f>SUMIF(Mercado_Receita!$S$2:$S$545,"44682A4VerdeNão se aplicaNão se aplicaNão se aplicaNão se aplicaPonta",Mercado_Receita!$L$2:$L$545)</f>
        <v>41.284999999999997</v>
      </c>
      <c r="T8" s="13">
        <f>SUMIF(Mercado_Receita!$S$2:$S$545,"44713A4VerdeNão se aplicaNão se aplicaNão se aplicaNão se aplicaPonta",Mercado_Receita!$L$2:$L$545)</f>
        <v>25.963999999999999</v>
      </c>
      <c r="U8" s="13">
        <f t="shared" si="0"/>
        <v>353.77000000000004</v>
      </c>
      <c r="V8" s="13"/>
      <c r="W8" s="13"/>
    </row>
    <row r="9" spans="1:30" ht="11.25" customHeight="1" x14ac:dyDescent="0.25">
      <c r="A9" s="95"/>
      <c r="B9" s="95"/>
      <c r="C9" s="95"/>
      <c r="D9" s="95"/>
      <c r="E9" s="95"/>
      <c r="F9" s="95"/>
      <c r="G9" s="13" t="s">
        <v>75</v>
      </c>
      <c r="H9" s="13" t="s">
        <v>73</v>
      </c>
      <c r="I9" s="13">
        <f>SUMIF(Mercado_Receita!$S$2:$S$545,"44378A4VerdeNão se aplicaNão se aplicaNão se aplicaNão se aplicaFora ponta",Mercado_Receita!$L$2:$L$545)</f>
        <v>1203.0719999999999</v>
      </c>
      <c r="J9" s="13">
        <f>SUMIF(Mercado_Receita!$S$2:$S$545,"44409A4VerdeNão se aplicaNão se aplicaNão se aplicaNão se aplicaFora ponta",Mercado_Receita!$L$2:$L$545)</f>
        <v>1195.6509999999998</v>
      </c>
      <c r="K9" s="13">
        <f>SUMIF(Mercado_Receita!$S$2:$S$545,"44440A4VerdeNão se aplicaNão se aplicaNão se aplicaNão se aplicaFora ponta",Mercado_Receita!$L$2:$L$545)</f>
        <v>1204.3800000000001</v>
      </c>
      <c r="L9" s="13">
        <f>SUMIF(Mercado_Receita!$S$2:$S$545,"44470A4VerdeNão se aplicaNão se aplicaNão se aplicaNão se aplicaFora ponta",Mercado_Receita!$L$2:$L$545)</f>
        <v>1253.49</v>
      </c>
      <c r="M9" s="13">
        <f>SUMIF(Mercado_Receita!$S$2:$S$545,"44501A4VerdeNão se aplicaNão se aplicaNão se aplicaNão se aplicaFora ponta",Mercado_Receita!$L$2:$L$545)</f>
        <v>1423.712</v>
      </c>
      <c r="N9" s="13">
        <f>SUMIF(Mercado_Receita!$S$2:$S$545,"44531A4VerdeNão se aplicaNão se aplicaNão se aplicaNão se aplicaFora ponta",Mercado_Receita!$L$2:$L$545)</f>
        <v>1480.0000000000002</v>
      </c>
      <c r="O9" s="13">
        <f>SUMIF(Mercado_Receita!$S$2:$S$545,"44562A4VerdeNão se aplicaNão se aplicaNão se aplicaNão se aplicaFora ponta",Mercado_Receita!$L$2:$L$545)</f>
        <v>1336.3300000000002</v>
      </c>
      <c r="P9" s="13">
        <f>SUMIF(Mercado_Receita!$S$2:$S$545,"44593A4VerdeNão se aplicaNão se aplicaNão se aplicaNão se aplicaFora ponta",Mercado_Receita!$L$2:$L$545)</f>
        <v>1294.0299999999997</v>
      </c>
      <c r="Q9" s="13">
        <f>SUMIF(Mercado_Receita!$S$2:$S$545,"44621A4VerdeNão se aplicaNão se aplicaNão se aplicaNão se aplicaFora ponta",Mercado_Receita!$L$2:$L$545)</f>
        <v>1398.4780000000001</v>
      </c>
      <c r="R9" s="13">
        <f>SUMIF(Mercado_Receita!$S$2:$S$545,"44652A4VerdeNão se aplicaNão se aplicaNão se aplicaNão se aplicaFora ponta",Mercado_Receita!$L$2:$L$545)</f>
        <v>1283.759</v>
      </c>
      <c r="S9" s="13">
        <f>SUMIF(Mercado_Receita!$S$2:$S$545,"44682A4VerdeNão se aplicaNão se aplicaNão se aplicaNão se aplicaFora ponta",Mercado_Receita!$L$2:$L$545)</f>
        <v>1214.731</v>
      </c>
      <c r="T9" s="13">
        <f>SUMIF(Mercado_Receita!$S$2:$S$545,"44713A4VerdeNão se aplicaNão se aplicaNão se aplicaNão se aplicaFora ponta",Mercado_Receita!$L$2:$L$545)</f>
        <v>1073.3439999999998</v>
      </c>
      <c r="U9" s="13">
        <f t="shared" si="0"/>
        <v>15360.976999999999</v>
      </c>
      <c r="V9" s="13"/>
      <c r="W9" s="13"/>
    </row>
    <row r="10" spans="1:30" ht="11.25" customHeight="1" x14ac:dyDescent="0.25">
      <c r="A10" s="95"/>
      <c r="B10" s="95"/>
      <c r="C10" s="95"/>
      <c r="D10" s="95"/>
      <c r="E10" s="94" t="s">
        <v>81</v>
      </c>
      <c r="F10" s="94" t="s">
        <v>25</v>
      </c>
      <c r="G10" s="13" t="s">
        <v>74</v>
      </c>
      <c r="H10" s="13" t="s">
        <v>73</v>
      </c>
      <c r="I10" s="13">
        <f>SUMIF(Mercado_Receita!$S$2:$S$545,"44378A4VerdeNão se aplicaNão se aplicaAPENão se aplicaPonta",Mercado_Receita!$L$2:$L$545)</f>
        <v>0</v>
      </c>
      <c r="J10" s="13">
        <f>SUMIF(Mercado_Receita!$S$2:$S$545,"44409A4VerdeNão se aplicaNão se aplicaAPENão se aplicaPonta",Mercado_Receita!$L$2:$L$545)</f>
        <v>0</v>
      </c>
      <c r="K10" s="13">
        <f>SUMIF(Mercado_Receita!$S$2:$S$545,"44440A4VerdeNão se aplicaNão se aplicaAPENão se aplicaPonta",Mercado_Receita!$L$2:$L$545)</f>
        <v>0</v>
      </c>
      <c r="L10" s="13">
        <f>SUMIF(Mercado_Receita!$S$2:$S$545,"44470A4VerdeNão se aplicaNão se aplicaAPENão se aplicaPonta",Mercado_Receita!$L$2:$L$545)</f>
        <v>0</v>
      </c>
      <c r="M10" s="13">
        <f>SUMIF(Mercado_Receita!$S$2:$S$545,"44501A4VerdeNão se aplicaNão se aplicaAPENão se aplicaPonta",Mercado_Receita!$L$2:$L$545)</f>
        <v>0</v>
      </c>
      <c r="N10" s="13">
        <f>SUMIF(Mercado_Receita!$S$2:$S$545,"44531A4VerdeNão se aplicaNão se aplicaAPENão se aplicaPonta",Mercado_Receita!$L$2:$L$545)</f>
        <v>0</v>
      </c>
      <c r="O10" s="13">
        <f>SUMIF(Mercado_Receita!$S$2:$S$545,"44562A4VerdeNão se aplicaNão se aplicaAPENão se aplicaPonta",Mercado_Receita!$L$2:$L$545)</f>
        <v>0</v>
      </c>
      <c r="P10" s="13">
        <f>SUMIF(Mercado_Receita!$S$2:$S$545,"44593A4VerdeNão se aplicaNão se aplicaAPENão se aplicaPonta",Mercado_Receita!$L$2:$L$545)</f>
        <v>0</v>
      </c>
      <c r="Q10" s="13">
        <f>SUMIF(Mercado_Receita!$S$2:$S$545,"44621A4VerdeNão se aplicaNão se aplicaAPENão se aplicaPonta",Mercado_Receita!$L$2:$L$545)</f>
        <v>0</v>
      </c>
      <c r="R10" s="13">
        <f>SUMIF(Mercado_Receita!$S$2:$S$545,"44652A4VerdeNão se aplicaNão se aplicaAPENão se aplicaPonta",Mercado_Receita!$L$2:$L$545)</f>
        <v>0</v>
      </c>
      <c r="S10" s="13">
        <f>SUMIF(Mercado_Receita!$S$2:$S$545,"44682A4VerdeNão se aplicaNão se aplicaAPENão se aplicaPonta",Mercado_Receita!$L$2:$L$545)</f>
        <v>0</v>
      </c>
      <c r="T10" s="13">
        <f>SUMIF(Mercado_Receita!$S$2:$S$545,"44713A4VerdeNão se aplicaNão se aplicaAPENão se aplicaPonta",Mercado_Receita!$L$2:$L$545)</f>
        <v>0</v>
      </c>
      <c r="U10" s="13">
        <f t="shared" si="0"/>
        <v>0</v>
      </c>
      <c r="V10" s="13"/>
      <c r="W10" s="13"/>
    </row>
    <row r="11" spans="1:30" ht="11.25" customHeight="1" x14ac:dyDescent="0.25">
      <c r="A11" s="95"/>
      <c r="B11" s="95"/>
      <c r="C11" s="95"/>
      <c r="D11" s="95"/>
      <c r="E11" s="95"/>
      <c r="F11" s="95"/>
      <c r="G11" s="13" t="s">
        <v>75</v>
      </c>
      <c r="H11" s="13" t="s">
        <v>73</v>
      </c>
      <c r="I11" s="13">
        <f>SUMIF(Mercado_Receita!$S$2:$S$545,"44378A4VerdeNão se aplicaNão se aplicaAPENão se aplicaFora ponta",Mercado_Receita!$L$2:$L$545)</f>
        <v>0</v>
      </c>
      <c r="J11" s="13">
        <f>SUMIF(Mercado_Receita!$S$2:$S$545,"44409A4VerdeNão se aplicaNão se aplicaAPENão se aplicaFora ponta",Mercado_Receita!$L$2:$L$545)</f>
        <v>0</v>
      </c>
      <c r="K11" s="13">
        <f>SUMIF(Mercado_Receita!$S$2:$S$545,"44440A4VerdeNão se aplicaNão se aplicaAPENão se aplicaFora ponta",Mercado_Receita!$L$2:$L$545)</f>
        <v>0</v>
      </c>
      <c r="L11" s="13">
        <f>SUMIF(Mercado_Receita!$S$2:$S$545,"44470A4VerdeNão se aplicaNão se aplicaAPENão se aplicaFora ponta",Mercado_Receita!$L$2:$L$545)</f>
        <v>0</v>
      </c>
      <c r="M11" s="13">
        <f>SUMIF(Mercado_Receita!$S$2:$S$545,"44501A4VerdeNão se aplicaNão se aplicaAPENão se aplicaFora ponta",Mercado_Receita!$L$2:$L$545)</f>
        <v>0</v>
      </c>
      <c r="N11" s="13">
        <f>SUMIF(Mercado_Receita!$S$2:$S$545,"44531A4VerdeNão se aplicaNão se aplicaAPENão se aplicaFora ponta",Mercado_Receita!$L$2:$L$545)</f>
        <v>0</v>
      </c>
      <c r="O11" s="13">
        <f>SUMIF(Mercado_Receita!$S$2:$S$545,"44562A4VerdeNão se aplicaNão se aplicaAPENão se aplicaFora ponta",Mercado_Receita!$L$2:$L$545)</f>
        <v>0</v>
      </c>
      <c r="P11" s="13">
        <f>SUMIF(Mercado_Receita!$S$2:$S$545,"44593A4VerdeNão se aplicaNão se aplicaAPENão se aplicaFora ponta",Mercado_Receita!$L$2:$L$545)</f>
        <v>0</v>
      </c>
      <c r="Q11" s="13">
        <f>SUMIF(Mercado_Receita!$S$2:$S$545,"44621A4VerdeNão se aplicaNão se aplicaAPENão se aplicaFora ponta",Mercado_Receita!$L$2:$L$545)</f>
        <v>0</v>
      </c>
      <c r="R11" s="13">
        <f>SUMIF(Mercado_Receita!$S$2:$S$545,"44652A4VerdeNão se aplicaNão se aplicaAPENão se aplicaFora ponta",Mercado_Receita!$L$2:$L$545)</f>
        <v>0</v>
      </c>
      <c r="S11" s="13">
        <f>SUMIF(Mercado_Receita!$S$2:$S$545,"44682A4VerdeNão se aplicaNão se aplicaAPENão se aplicaFora ponta",Mercado_Receita!$L$2:$L$545)</f>
        <v>0</v>
      </c>
      <c r="T11" s="13">
        <f>SUMIF(Mercado_Receita!$S$2:$S$545,"44713A4VerdeNão se aplicaNão se aplicaAPENão se aplicaFora ponta",Mercado_Receita!$L$2:$L$545)</f>
        <v>0</v>
      </c>
      <c r="U11" s="13">
        <f t="shared" si="0"/>
        <v>0</v>
      </c>
      <c r="V11" s="13"/>
      <c r="W11" s="13"/>
    </row>
    <row r="12" spans="1:30" ht="11.25" customHeight="1" x14ac:dyDescent="0.25">
      <c r="A12" s="94" t="s">
        <v>82</v>
      </c>
      <c r="B12" s="94" t="s">
        <v>53</v>
      </c>
      <c r="C12" s="94" t="s">
        <v>25</v>
      </c>
      <c r="D12" s="94" t="s">
        <v>25</v>
      </c>
      <c r="E12" s="12" t="s">
        <v>83</v>
      </c>
      <c r="F12" s="12" t="s">
        <v>25</v>
      </c>
      <c r="G12" s="13" t="s">
        <v>9</v>
      </c>
      <c r="H12" s="13" t="s">
        <v>78</v>
      </c>
      <c r="I12" s="13">
        <f>SUMIF(Mercado_Receita!$S$2:$S$545,"44378BGeraçãoNão se aplicaNão se aplicaTIPO 01Não se aplicaNão se aplica",Mercado_Receita!$J$2:$J$545)+SUMIF(Mercado_Receita!$S$2:$S$545,"44378BGeraçãoNão se aplicaNão se aplicaAPENão se aplicaNão se aplica",Mercado_Receita!$J$2:$J$545)</f>
        <v>0</v>
      </c>
      <c r="J12" s="13">
        <f>SUMIF(Mercado_Receita!$S$2:$S$545,"44409BGeraçãoNão se aplicaNão se aplicaTIPO 01Não se aplicaNão se aplica",Mercado_Receita!$J$2:$J$545)+SUMIF(Mercado_Receita!$S$2:$S$545,"44409BGeraçãoNão se aplicaNão se aplicaAPENão se aplicaNão se aplica",Mercado_Receita!$J$2:$J$545)</f>
        <v>0</v>
      </c>
      <c r="K12" s="13">
        <f>SUMIF(Mercado_Receita!$S$2:$S$545,"44440BGeraçãoNão se aplicaNão se aplicaTIPO 01Não se aplicaNão se aplica",Mercado_Receita!$J$2:$J$545)+SUMIF(Mercado_Receita!$S$2:$S$545,"44440BGeraçãoNão se aplicaNão se aplicaAPENão se aplicaNão se aplica",Mercado_Receita!$J$2:$J$545)</f>
        <v>0</v>
      </c>
      <c r="L12" s="13">
        <f>SUMIF(Mercado_Receita!$S$2:$S$545,"44470BGeraçãoNão se aplicaNão se aplicaTIPO 01Não se aplicaNão se aplica",Mercado_Receita!$J$2:$J$545)+SUMIF(Mercado_Receita!$S$2:$S$545,"44470BGeraçãoNão se aplicaNão se aplicaAPENão se aplicaNão se aplica",Mercado_Receita!$J$2:$J$545)</f>
        <v>0</v>
      </c>
      <c r="M12" s="13">
        <f>SUMIF(Mercado_Receita!$S$2:$S$545,"44501BGeraçãoNão se aplicaNão se aplicaTIPO 01Não se aplicaNão se aplica",Mercado_Receita!$J$2:$J$545)+SUMIF(Mercado_Receita!$S$2:$S$545,"44501BGeraçãoNão se aplicaNão se aplicaAPENão se aplicaNão se aplica",Mercado_Receita!$J$2:$J$545)</f>
        <v>0</v>
      </c>
      <c r="N12" s="13">
        <f>SUMIF(Mercado_Receita!$S$2:$S$545,"44531BGeraçãoNão se aplicaNão se aplicaTIPO 01Não se aplicaNão se aplica",Mercado_Receita!$J$2:$J$545)+SUMIF(Mercado_Receita!$S$2:$S$545,"44531BGeraçãoNão se aplicaNão se aplicaAPENão se aplicaNão se aplica",Mercado_Receita!$J$2:$J$545)</f>
        <v>0</v>
      </c>
      <c r="O12" s="13">
        <f>SUMIF(Mercado_Receita!$S$2:$S$545,"44562BGeraçãoNão se aplicaNão se aplicaTIPO 01Não se aplicaNão se aplica",Mercado_Receita!$J$2:$J$545)+SUMIF(Mercado_Receita!$S$2:$S$545,"44562BGeraçãoNão se aplicaNão se aplicaAPENão se aplicaNão se aplica",Mercado_Receita!$J$2:$J$545)</f>
        <v>0</v>
      </c>
      <c r="P12" s="13">
        <f>SUMIF(Mercado_Receita!$S$2:$S$545,"44593BGeraçãoNão se aplicaNão se aplicaTIPO 01Não se aplicaNão se aplica",Mercado_Receita!$J$2:$J$545)+SUMIF(Mercado_Receita!$S$2:$S$545,"44593BGeraçãoNão se aplicaNão se aplicaAPENão se aplicaNão se aplica",Mercado_Receita!$J$2:$J$545)</f>
        <v>0</v>
      </c>
      <c r="Q12" s="13">
        <f>SUMIF(Mercado_Receita!$S$2:$S$545,"44621BGeraçãoNão se aplicaNão se aplicaTIPO 01Não se aplicaNão se aplica",Mercado_Receita!$J$2:$J$545)+SUMIF(Mercado_Receita!$S$2:$S$545,"44621BGeraçãoNão se aplicaNão se aplicaAPENão se aplicaNão se aplica",Mercado_Receita!$J$2:$J$545)</f>
        <v>0</v>
      </c>
      <c r="R12" s="13">
        <f>SUMIF(Mercado_Receita!$S$2:$S$545,"44652BGeraçãoNão se aplicaNão se aplicaTIPO 01Não se aplicaNão se aplica",Mercado_Receita!$J$2:$J$545)+SUMIF(Mercado_Receita!$S$2:$S$545,"44652BGeraçãoNão se aplicaNão se aplicaAPENão se aplicaNão se aplica",Mercado_Receita!$J$2:$J$545)</f>
        <v>0</v>
      </c>
      <c r="S12" s="13">
        <f>SUMIF(Mercado_Receita!$S$2:$S$545,"44682BGeraçãoNão se aplicaNão se aplicaTIPO 01Não se aplicaNão se aplica",Mercado_Receita!$J$2:$J$545)+SUMIF(Mercado_Receita!$S$2:$S$545,"44682BGeraçãoNão se aplicaNão se aplicaAPENão se aplicaNão se aplica",Mercado_Receita!$J$2:$J$545)</f>
        <v>0</v>
      </c>
      <c r="T12" s="13">
        <f>SUMIF(Mercado_Receita!$S$2:$S$545,"44713BGeraçãoNão se aplicaNão se aplicaTIPO 01Não se aplicaNão se aplica",Mercado_Receita!$J$2:$J$545)+SUMIF(Mercado_Receita!$S$2:$S$545,"44713BGeraçãoNão se aplicaNão se aplicaAPENão se aplicaNão se aplica",Mercado_Receita!$J$2:$J$545)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95"/>
      <c r="B13" s="95"/>
      <c r="C13" s="95"/>
      <c r="D13" s="95"/>
      <c r="E13" s="12" t="s">
        <v>84</v>
      </c>
      <c r="F13" s="12" t="s">
        <v>25</v>
      </c>
      <c r="G13" s="13" t="s">
        <v>9</v>
      </c>
      <c r="H13" s="13" t="s">
        <v>78</v>
      </c>
      <c r="I13" s="13">
        <f>SUMIF(Mercado_Receita!$S$2:$S$545,"44378BGeraçãoNão se aplicaNão se aplicaTIPO 02Não se aplicaNão se aplica",Mercado_Receita!$J$2:$J$545)+SUMIF(Mercado_Receita!$S$2:$S$545,"44378BGeraçãoNão se aplicaNão se aplicaAPENão se aplicaNão se aplica",Mercado_Receita!$J$2:$J$545)</f>
        <v>0</v>
      </c>
      <c r="J13" s="13">
        <f>SUMIF(Mercado_Receita!$S$2:$S$545,"44409BGeraçãoNão se aplicaNão se aplicaTIPO 02Não se aplicaNão se aplica",Mercado_Receita!$J$2:$J$545)+SUMIF(Mercado_Receita!$S$2:$S$545,"44409BGeraçãoNão se aplicaNão se aplicaAPENão se aplicaNão se aplica",Mercado_Receita!$J$2:$J$545)</f>
        <v>0</v>
      </c>
      <c r="K13" s="13">
        <f>SUMIF(Mercado_Receita!$S$2:$S$545,"44440BGeraçãoNão se aplicaNão se aplicaTIPO 02Não se aplicaNão se aplica",Mercado_Receita!$J$2:$J$545)+SUMIF(Mercado_Receita!$S$2:$S$545,"44440BGeraçãoNão se aplicaNão se aplicaAPENão se aplicaNão se aplica",Mercado_Receita!$J$2:$J$545)</f>
        <v>0</v>
      </c>
      <c r="L13" s="13">
        <f>SUMIF(Mercado_Receita!$S$2:$S$545,"44470BGeraçãoNão se aplicaNão se aplicaTIPO 02Não se aplicaNão se aplica",Mercado_Receita!$J$2:$J$545)+SUMIF(Mercado_Receita!$S$2:$S$545,"44470BGeraçãoNão se aplicaNão se aplicaAPENão se aplicaNão se aplica",Mercado_Receita!$J$2:$J$545)</f>
        <v>0</v>
      </c>
      <c r="M13" s="13">
        <f>SUMIF(Mercado_Receita!$S$2:$S$545,"44501BGeraçãoNão se aplicaNão se aplicaTIPO 02Não se aplicaNão se aplica",Mercado_Receita!$J$2:$J$545)+SUMIF(Mercado_Receita!$S$2:$S$545,"44501BGeraçãoNão se aplicaNão se aplicaAPENão se aplicaNão se aplica",Mercado_Receita!$J$2:$J$545)</f>
        <v>0</v>
      </c>
      <c r="N13" s="13">
        <f>SUMIF(Mercado_Receita!$S$2:$S$545,"44531BGeraçãoNão se aplicaNão se aplicaTIPO 02Não se aplicaNão se aplica",Mercado_Receita!$J$2:$J$545)+SUMIF(Mercado_Receita!$S$2:$S$545,"44531BGeraçãoNão se aplicaNão se aplicaAPENão se aplicaNão se aplica",Mercado_Receita!$J$2:$J$545)</f>
        <v>0</v>
      </c>
      <c r="O13" s="13">
        <f>SUMIF(Mercado_Receita!$S$2:$S$545,"44562BGeraçãoNão se aplicaNão se aplicaTIPO 02Não se aplicaNão se aplica",Mercado_Receita!$J$2:$J$545)+SUMIF(Mercado_Receita!$S$2:$S$545,"44562BGeraçãoNão se aplicaNão se aplicaAPENão se aplicaNão se aplica",Mercado_Receita!$J$2:$J$545)</f>
        <v>0</v>
      </c>
      <c r="P13" s="13">
        <f>SUMIF(Mercado_Receita!$S$2:$S$545,"44593BGeraçãoNão se aplicaNão se aplicaTIPO 02Não se aplicaNão se aplica",Mercado_Receita!$J$2:$J$545)+SUMIF(Mercado_Receita!$S$2:$S$545,"44593BGeraçãoNão se aplicaNão se aplicaAPENão se aplicaNão se aplica",Mercado_Receita!$J$2:$J$545)</f>
        <v>0</v>
      </c>
      <c r="Q13" s="13">
        <f>SUMIF(Mercado_Receita!$S$2:$S$545,"44621BGeraçãoNão se aplicaNão se aplicaTIPO 02Não se aplicaNão se aplica",Mercado_Receita!$J$2:$J$545)+SUMIF(Mercado_Receita!$S$2:$S$545,"44621BGeraçãoNão se aplicaNão se aplicaAPENão se aplicaNão se aplica",Mercado_Receita!$J$2:$J$545)</f>
        <v>0</v>
      </c>
      <c r="R13" s="13">
        <f>SUMIF(Mercado_Receita!$S$2:$S$545,"44652BGeraçãoNão se aplicaNão se aplicaTIPO 02Não se aplicaNão se aplica",Mercado_Receita!$J$2:$J$545)+SUMIF(Mercado_Receita!$S$2:$S$545,"44652BGeraçãoNão se aplicaNão se aplicaAPENão se aplicaNão se aplica",Mercado_Receita!$J$2:$J$545)</f>
        <v>0</v>
      </c>
      <c r="S13" s="13">
        <f>SUMIF(Mercado_Receita!$S$2:$S$545,"44682BGeraçãoNão se aplicaNão se aplicaTIPO 02Não se aplicaNão se aplica",Mercado_Receita!$J$2:$J$545)+SUMIF(Mercado_Receita!$S$2:$S$545,"44682BGeraçãoNão se aplicaNão se aplicaAPENão se aplicaNão se aplica",Mercado_Receita!$J$2:$J$545)</f>
        <v>0</v>
      </c>
      <c r="T13" s="13">
        <f>SUMIF(Mercado_Receita!$S$2:$S$545,"44713BGeraçãoNão se aplicaNão se aplicaTIPO 02Não se aplicaNão se aplica",Mercado_Receita!$J$2:$J$545)+SUMIF(Mercado_Receita!$S$2:$S$545,"44713BGeraçãoNão se aplicaNão se aplicaAPENão se aplicaNão se aplica",Mercado_Receita!$J$2:$J$545)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94" t="s">
        <v>22</v>
      </c>
      <c r="B14" s="94" t="s">
        <v>86</v>
      </c>
      <c r="C14" s="94" t="s">
        <v>24</v>
      </c>
      <c r="D14" s="94" t="s">
        <v>24</v>
      </c>
      <c r="E14" s="94" t="s">
        <v>25</v>
      </c>
      <c r="F14" s="94" t="s">
        <v>25</v>
      </c>
      <c r="G14" s="13" t="s">
        <v>74</v>
      </c>
      <c r="H14" s="13" t="s">
        <v>73</v>
      </c>
      <c r="I14" s="13">
        <f>SUMIF(Mercado_Receita!$S$2:$S$545,"44378B1BrancaResidencialResidencialNão se aplicaNão se aplicaPonta",Mercado_Receita!$L$2:$L$545)</f>
        <v>0</v>
      </c>
      <c r="J14" s="13">
        <f>SUMIF(Mercado_Receita!$S$2:$S$545,"44409B1BrancaResidencialResidencialNão se aplicaNão se aplicaPonta",Mercado_Receita!$L$2:$L$545)</f>
        <v>0</v>
      </c>
      <c r="K14" s="13">
        <f>SUMIF(Mercado_Receita!$S$2:$S$545,"44440B1BrancaResidencialResidencialNão se aplicaNão se aplicaPonta",Mercado_Receita!$L$2:$L$545)</f>
        <v>0</v>
      </c>
      <c r="L14" s="13">
        <f>SUMIF(Mercado_Receita!$S$2:$S$545,"44470B1BrancaResidencialResidencialNão se aplicaNão se aplicaPonta",Mercado_Receita!$L$2:$L$545)</f>
        <v>0</v>
      </c>
      <c r="M14" s="13">
        <f>SUMIF(Mercado_Receita!$S$2:$S$545,"44501B1BrancaResidencialResidencialNão se aplicaNão se aplicaPonta",Mercado_Receita!$L$2:$L$545)</f>
        <v>0</v>
      </c>
      <c r="N14" s="13">
        <f>SUMIF(Mercado_Receita!$S$2:$S$545,"44531B1BrancaResidencialResidencialNão se aplicaNão se aplicaPonta",Mercado_Receita!$L$2:$L$545)</f>
        <v>0</v>
      </c>
      <c r="O14" s="13">
        <f>SUMIF(Mercado_Receita!$S$2:$S$545,"44562B1BrancaResidencialResidencialNão se aplicaNão se aplicaPonta",Mercado_Receita!$L$2:$L$545)</f>
        <v>0</v>
      </c>
      <c r="P14" s="13">
        <f>SUMIF(Mercado_Receita!$S$2:$S$545,"44593B1BrancaResidencialResidencialNão se aplicaNão se aplicaPonta",Mercado_Receita!$L$2:$L$545)</f>
        <v>0</v>
      </c>
      <c r="Q14" s="13">
        <f>SUMIF(Mercado_Receita!$S$2:$S$545,"44621B1BrancaResidencialResidencialNão se aplicaNão se aplicaPonta",Mercado_Receita!$L$2:$L$545)</f>
        <v>0</v>
      </c>
      <c r="R14" s="13">
        <f>SUMIF(Mercado_Receita!$S$2:$S$545,"44652B1BrancaResidencialResidencialNão se aplicaNão se aplicaPonta",Mercado_Receita!$L$2:$L$545)</f>
        <v>0</v>
      </c>
      <c r="S14" s="13">
        <f>SUMIF(Mercado_Receita!$S$2:$S$545,"44682B1BrancaResidencialResidencialNão se aplicaNão se aplicaPonta",Mercado_Receita!$L$2:$L$545)</f>
        <v>0</v>
      </c>
      <c r="T14" s="13">
        <f>SUMIF(Mercado_Receita!$S$2:$S$545,"44713B1BrancaResidencialResidencialNão se aplicaNão se aplicaPonta",Mercado_Receita!$L$2:$L$545)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95"/>
      <c r="B15" s="95"/>
      <c r="C15" s="95"/>
      <c r="D15" s="95"/>
      <c r="E15" s="95"/>
      <c r="F15" s="95"/>
      <c r="G15" s="13" t="s">
        <v>85</v>
      </c>
      <c r="H15" s="13" t="s">
        <v>73</v>
      </c>
      <c r="I15" s="13">
        <f>SUMIF(Mercado_Receita!$S$2:$S$545,"44378B1BrancaResidencialResidencialNão se aplicaNão se aplicaIntermediário",Mercado_Receita!$L$2:$L$545)</f>
        <v>0</v>
      </c>
      <c r="J15" s="13">
        <f>SUMIF(Mercado_Receita!$S$2:$S$545,"44409B1BrancaResidencialResidencialNão se aplicaNão se aplicaIntermediário",Mercado_Receita!$L$2:$L$545)</f>
        <v>0</v>
      </c>
      <c r="K15" s="13">
        <f>SUMIF(Mercado_Receita!$S$2:$S$545,"44440B1BrancaResidencialResidencialNão se aplicaNão se aplicaIntermediário",Mercado_Receita!$L$2:$L$545)</f>
        <v>0</v>
      </c>
      <c r="L15" s="13">
        <f>SUMIF(Mercado_Receita!$S$2:$S$545,"44470B1BrancaResidencialResidencialNão se aplicaNão se aplicaIntermediário",Mercado_Receita!$L$2:$L$545)</f>
        <v>0</v>
      </c>
      <c r="M15" s="13">
        <f>SUMIF(Mercado_Receita!$S$2:$S$545,"44501B1BrancaResidencialResidencialNão se aplicaNão se aplicaIntermediário",Mercado_Receita!$L$2:$L$545)</f>
        <v>0</v>
      </c>
      <c r="N15" s="13">
        <f>SUMIF(Mercado_Receita!$S$2:$S$545,"44531B1BrancaResidencialResidencialNão se aplicaNão se aplicaIntermediário",Mercado_Receita!$L$2:$L$545)</f>
        <v>0</v>
      </c>
      <c r="O15" s="13">
        <f>SUMIF(Mercado_Receita!$S$2:$S$545,"44562B1BrancaResidencialResidencialNão se aplicaNão se aplicaIntermediário",Mercado_Receita!$L$2:$L$545)</f>
        <v>0</v>
      </c>
      <c r="P15" s="13">
        <f>SUMIF(Mercado_Receita!$S$2:$S$545,"44593B1BrancaResidencialResidencialNão se aplicaNão se aplicaIntermediário",Mercado_Receita!$L$2:$L$545)</f>
        <v>0</v>
      </c>
      <c r="Q15" s="13">
        <f>SUMIF(Mercado_Receita!$S$2:$S$545,"44621B1BrancaResidencialResidencialNão se aplicaNão se aplicaIntermediário",Mercado_Receita!$L$2:$L$545)</f>
        <v>0</v>
      </c>
      <c r="R15" s="13">
        <f>SUMIF(Mercado_Receita!$S$2:$S$545,"44652B1BrancaResidencialResidencialNão se aplicaNão se aplicaIntermediário",Mercado_Receita!$L$2:$L$545)</f>
        <v>0</v>
      </c>
      <c r="S15" s="13">
        <f>SUMIF(Mercado_Receita!$S$2:$S$545,"44682B1BrancaResidencialResidencialNão se aplicaNão se aplicaIntermediário",Mercado_Receita!$L$2:$L$545)</f>
        <v>0</v>
      </c>
      <c r="T15" s="13">
        <f>SUMIF(Mercado_Receita!$S$2:$S$545,"44713B1BrancaResidencialResidencialNão se aplicaNão se aplicaIntermediário",Mercado_Receita!$L$2:$L$545)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95"/>
      <c r="B16" s="95"/>
      <c r="C16" s="95"/>
      <c r="D16" s="95"/>
      <c r="E16" s="95"/>
      <c r="F16" s="95"/>
      <c r="G16" s="13" t="s">
        <v>75</v>
      </c>
      <c r="H16" s="13" t="s">
        <v>73</v>
      </c>
      <c r="I16" s="13">
        <f>SUMIF(Mercado_Receita!$S$2:$S$545,"44378B1BrancaResidencialResidencialNão se aplicaNão se aplicaFora ponta",Mercado_Receita!$L$2:$L$545)</f>
        <v>0</v>
      </c>
      <c r="J16" s="13">
        <f>SUMIF(Mercado_Receita!$S$2:$S$545,"44409B1BrancaResidencialResidencialNão se aplicaNão se aplicaFora ponta",Mercado_Receita!$L$2:$L$545)</f>
        <v>0</v>
      </c>
      <c r="K16" s="13">
        <f>SUMIF(Mercado_Receita!$S$2:$S$545,"44440B1BrancaResidencialResidencialNão se aplicaNão se aplicaFora ponta",Mercado_Receita!$L$2:$L$545)</f>
        <v>0</v>
      </c>
      <c r="L16" s="13">
        <f>SUMIF(Mercado_Receita!$S$2:$S$545,"44470B1BrancaResidencialResidencialNão se aplicaNão se aplicaFora ponta",Mercado_Receita!$L$2:$L$545)</f>
        <v>0</v>
      </c>
      <c r="M16" s="13">
        <f>SUMIF(Mercado_Receita!$S$2:$S$545,"44501B1BrancaResidencialResidencialNão se aplicaNão se aplicaFora ponta",Mercado_Receita!$L$2:$L$545)</f>
        <v>0</v>
      </c>
      <c r="N16" s="13">
        <f>SUMIF(Mercado_Receita!$S$2:$S$545,"44531B1BrancaResidencialResidencialNão se aplicaNão se aplicaFora ponta",Mercado_Receita!$L$2:$L$545)</f>
        <v>0</v>
      </c>
      <c r="O16" s="13">
        <f>SUMIF(Mercado_Receita!$S$2:$S$545,"44562B1BrancaResidencialResidencialNão se aplicaNão se aplicaFora ponta",Mercado_Receita!$L$2:$L$545)</f>
        <v>0</v>
      </c>
      <c r="P16" s="13">
        <f>SUMIF(Mercado_Receita!$S$2:$S$545,"44593B1BrancaResidencialResidencialNão se aplicaNão se aplicaFora ponta",Mercado_Receita!$L$2:$L$545)</f>
        <v>0</v>
      </c>
      <c r="Q16" s="13">
        <f>SUMIF(Mercado_Receita!$S$2:$S$545,"44621B1BrancaResidencialResidencialNão se aplicaNão se aplicaFora ponta",Mercado_Receita!$L$2:$L$545)</f>
        <v>0</v>
      </c>
      <c r="R16" s="13">
        <f>SUMIF(Mercado_Receita!$S$2:$S$545,"44652B1BrancaResidencialResidencialNão se aplicaNão se aplicaFora ponta",Mercado_Receita!$L$2:$L$545)</f>
        <v>0</v>
      </c>
      <c r="S16" s="13">
        <f>SUMIF(Mercado_Receita!$S$2:$S$545,"44682B1BrancaResidencialResidencialNão se aplicaNão se aplicaFora ponta",Mercado_Receita!$L$2:$L$545)</f>
        <v>0</v>
      </c>
      <c r="T16" s="13">
        <f>SUMIF(Mercado_Receita!$S$2:$S$545,"44713B1BrancaResidencialResidencialNão se aplicaNão se aplicaFora ponta",Mercado_Receita!$L$2:$L$545)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95"/>
      <c r="B17" s="94" t="s">
        <v>23</v>
      </c>
      <c r="C17" s="94" t="s">
        <v>24</v>
      </c>
      <c r="D17" s="12" t="s">
        <v>24</v>
      </c>
      <c r="E17" s="12" t="s">
        <v>25</v>
      </c>
      <c r="F17" s="12" t="s">
        <v>25</v>
      </c>
      <c r="G17" s="13" t="s">
        <v>77</v>
      </c>
      <c r="H17" s="13" t="s">
        <v>73</v>
      </c>
      <c r="I17" s="13">
        <f>SUMIF(Mercado_Receita!$S$2:$S$545,"44378B1ConvencionalResidencialResidencialNão se aplicaNão se aplicaPonta",Mercado_Receita!$L$2:$L$545)+SUMIF(Mercado_Receita!$S$2:$S$545,"44378B1ConvencionalResidencialResidencialNão se aplicaNão se aplicaFora ponta",Mercado_Receita!$L$2:$L$545)+SUMIF(Mercado_Receita!$S$2:$S$545,"44378B1ConvencionalResidencialResidencialNão se aplicaNão se aplicaIntermediário",Mercado_Receita!$L$2:$L$545)+SUMIF(Mercado_Receita!$S$2:$S$545,"44378B1ConvencionalResidencialResidencialNão se aplicaNão se aplicaNão se aplica",Mercado_Receita!$L$2:$L$545)</f>
        <v>373.21599999999995</v>
      </c>
      <c r="J17" s="13">
        <f>SUMIF(Mercado_Receita!$S$2:$S$545,"44409B1ConvencionalResidencialResidencialNão se aplicaNão se aplicaPonta",Mercado_Receita!$L$2:$L$545)+SUMIF(Mercado_Receita!$S$2:$S$545,"44409B1ConvencionalResidencialResidencialNão se aplicaNão se aplicaFora ponta",Mercado_Receita!$L$2:$L$545)+SUMIF(Mercado_Receita!$S$2:$S$545,"44409B1ConvencionalResidencialResidencialNão se aplicaNão se aplicaIntermediário",Mercado_Receita!$L$2:$L$545)+SUMIF(Mercado_Receita!$S$2:$S$545,"44409B1ConvencionalResidencialResidencialNão se aplicaNão se aplicaNão se aplica",Mercado_Receita!$L$2:$L$545)</f>
        <v>386.29499999999996</v>
      </c>
      <c r="K17" s="13">
        <f>SUMIF(Mercado_Receita!$S$2:$S$545,"44440B1ConvencionalResidencialResidencialNão se aplicaNão se aplicaPonta",Mercado_Receita!$L$2:$L$545)+SUMIF(Mercado_Receita!$S$2:$S$545,"44440B1ConvencionalResidencialResidencialNão se aplicaNão se aplicaFora ponta",Mercado_Receita!$L$2:$L$545)+SUMIF(Mercado_Receita!$S$2:$S$545,"44440B1ConvencionalResidencialResidencialNão se aplicaNão se aplicaIntermediário",Mercado_Receita!$L$2:$L$545)+SUMIF(Mercado_Receita!$S$2:$S$545,"44440B1ConvencionalResidencialResidencialNão se aplicaNão se aplicaNão se aplica",Mercado_Receita!$L$2:$L$545)</f>
        <v>364.25400000000002</v>
      </c>
      <c r="L17" s="13">
        <f>SUMIF(Mercado_Receita!$S$2:$S$545,"44470B1ConvencionalResidencialResidencialNão se aplicaNão se aplicaPonta",Mercado_Receita!$L$2:$L$545)+SUMIF(Mercado_Receita!$S$2:$S$545,"44470B1ConvencionalResidencialResidencialNão se aplicaNão se aplicaFora ponta",Mercado_Receita!$L$2:$L$545)+SUMIF(Mercado_Receita!$S$2:$S$545,"44470B1ConvencionalResidencialResidencialNão se aplicaNão se aplicaIntermediário",Mercado_Receita!$L$2:$L$545)+SUMIF(Mercado_Receita!$S$2:$S$545,"44470B1ConvencionalResidencialResidencialNão se aplicaNão se aplicaNão se aplica",Mercado_Receita!$L$2:$L$545)</f>
        <v>382.38</v>
      </c>
      <c r="M17" s="13">
        <f>SUMIF(Mercado_Receita!$S$2:$S$545,"44501B1ConvencionalResidencialResidencialNão se aplicaNão se aplicaPonta",Mercado_Receita!$L$2:$L$545)+SUMIF(Mercado_Receita!$S$2:$S$545,"44501B1ConvencionalResidencialResidencialNão se aplicaNão se aplicaFora ponta",Mercado_Receita!$L$2:$L$545)+SUMIF(Mercado_Receita!$S$2:$S$545,"44501B1ConvencionalResidencialResidencialNão se aplicaNão se aplicaIntermediário",Mercado_Receita!$L$2:$L$545)+SUMIF(Mercado_Receita!$S$2:$S$545,"44501B1ConvencionalResidencialResidencialNão se aplicaNão se aplicaNão se aplica",Mercado_Receita!$L$2:$L$545)</f>
        <v>349.58600000000001</v>
      </c>
      <c r="N17" s="13">
        <f>SUMIF(Mercado_Receita!$S$2:$S$545,"44531B1ConvencionalResidencialResidencialNão se aplicaNão se aplicaPonta",Mercado_Receita!$L$2:$L$545)+SUMIF(Mercado_Receita!$S$2:$S$545,"44531B1ConvencionalResidencialResidencialNão se aplicaNão se aplicaFora ponta",Mercado_Receita!$L$2:$L$545)+SUMIF(Mercado_Receita!$S$2:$S$545,"44531B1ConvencionalResidencialResidencialNão se aplicaNão se aplicaIntermediário",Mercado_Receita!$L$2:$L$545)+SUMIF(Mercado_Receita!$S$2:$S$545,"44531B1ConvencionalResidencialResidencialNão se aplicaNão se aplicaNão se aplica",Mercado_Receita!$L$2:$L$545)</f>
        <v>418.34699999999998</v>
      </c>
      <c r="O17" s="13">
        <f>SUMIF(Mercado_Receita!$S$2:$S$545,"44562B1ConvencionalResidencialResidencialNão se aplicaNão se aplicaPonta",Mercado_Receita!$L$2:$L$545)+SUMIF(Mercado_Receita!$S$2:$S$545,"44562B1ConvencionalResidencialResidencialNão se aplicaNão se aplicaFora ponta",Mercado_Receita!$L$2:$L$545)+SUMIF(Mercado_Receita!$S$2:$S$545,"44562B1ConvencionalResidencialResidencialNão se aplicaNão se aplicaIntermediário",Mercado_Receita!$L$2:$L$545)+SUMIF(Mercado_Receita!$S$2:$S$545,"44562B1ConvencionalResidencialResidencialNão se aplicaNão se aplicaNão se aplica",Mercado_Receita!$L$2:$L$545)</f>
        <v>479.02300000000002</v>
      </c>
      <c r="P17" s="13">
        <f>SUMIF(Mercado_Receita!$S$2:$S$545,"44593B1ConvencionalResidencialResidencialNão se aplicaNão se aplicaPonta",Mercado_Receita!$L$2:$L$545)+SUMIF(Mercado_Receita!$S$2:$S$545,"44593B1ConvencionalResidencialResidencialNão se aplicaNão se aplicaFora ponta",Mercado_Receita!$L$2:$L$545)+SUMIF(Mercado_Receita!$S$2:$S$545,"44593B1ConvencionalResidencialResidencialNão se aplicaNão se aplicaIntermediário",Mercado_Receita!$L$2:$L$545)+SUMIF(Mercado_Receita!$S$2:$S$545,"44593B1ConvencionalResidencialResidencialNão se aplicaNão se aplicaNão se aplica",Mercado_Receita!$L$2:$L$545)</f>
        <v>440.71199999999999</v>
      </c>
      <c r="Q17" s="13">
        <f>SUMIF(Mercado_Receita!$S$2:$S$545,"44621B1ConvencionalResidencialResidencialNão se aplicaNão se aplicaPonta",Mercado_Receita!$L$2:$L$545)+SUMIF(Mercado_Receita!$S$2:$S$545,"44621B1ConvencionalResidencialResidencialNão se aplicaNão se aplicaFora ponta",Mercado_Receita!$L$2:$L$545)+SUMIF(Mercado_Receita!$S$2:$S$545,"44621B1ConvencionalResidencialResidencialNão se aplicaNão se aplicaIntermediário",Mercado_Receita!$L$2:$L$545)+SUMIF(Mercado_Receita!$S$2:$S$545,"44621B1ConvencionalResidencialResidencialNão se aplicaNão se aplicaNão se aplica",Mercado_Receita!$L$2:$L$545)</f>
        <v>415.55699999999996</v>
      </c>
      <c r="R17" s="13">
        <f>SUMIF(Mercado_Receita!$S$2:$S$545,"44652B1ConvencionalResidencialResidencialNão se aplicaNão se aplicaPonta",Mercado_Receita!$L$2:$L$545)+SUMIF(Mercado_Receita!$S$2:$S$545,"44652B1ConvencionalResidencialResidencialNão se aplicaNão se aplicaFora ponta",Mercado_Receita!$L$2:$L$545)+SUMIF(Mercado_Receita!$S$2:$S$545,"44652B1ConvencionalResidencialResidencialNão se aplicaNão se aplicaIntermediário",Mercado_Receita!$L$2:$L$545)+SUMIF(Mercado_Receita!$S$2:$S$545,"44652B1ConvencionalResidencialResidencialNão se aplicaNão se aplicaNão se aplica",Mercado_Receita!$L$2:$L$545)</f>
        <v>404.01799999999997</v>
      </c>
      <c r="S17" s="13">
        <f>SUMIF(Mercado_Receita!$S$2:$S$545,"44682B1ConvencionalResidencialResidencialNão se aplicaNão se aplicaPonta",Mercado_Receita!$L$2:$L$545)+SUMIF(Mercado_Receita!$S$2:$S$545,"44682B1ConvencionalResidencialResidencialNão se aplicaNão se aplicaFora ponta",Mercado_Receita!$L$2:$L$545)+SUMIF(Mercado_Receita!$S$2:$S$545,"44682B1ConvencionalResidencialResidencialNão se aplicaNão se aplicaIntermediário",Mercado_Receita!$L$2:$L$545)+SUMIF(Mercado_Receita!$S$2:$S$545,"44682B1ConvencionalResidencialResidencialNão se aplicaNão se aplicaNão se aplica",Mercado_Receita!$L$2:$L$545)</f>
        <v>395.58000000000004</v>
      </c>
      <c r="T17" s="13">
        <f>SUMIF(Mercado_Receita!$S$2:$S$545,"44713B1ConvencionalResidencialResidencialNão se aplicaNão se aplicaPonta",Mercado_Receita!$L$2:$L$545)+SUMIF(Mercado_Receita!$S$2:$S$545,"44713B1ConvencionalResidencialResidencialNão se aplicaNão se aplicaFora ponta",Mercado_Receita!$L$2:$L$545)+SUMIF(Mercado_Receita!$S$2:$S$545,"44713B1ConvencionalResidencialResidencialNão se aplicaNão se aplicaIntermediário",Mercado_Receita!$L$2:$L$545)+SUMIF(Mercado_Receita!$S$2:$S$545,"44713B1ConvencionalResidencialResidencialNão se aplicaNão se aplicaNão se aplica",Mercado_Receita!$L$2:$L$545)</f>
        <v>394.88</v>
      </c>
      <c r="U17" s="13">
        <f t="shared" si="0"/>
        <v>4803.848</v>
      </c>
      <c r="V17" s="13"/>
      <c r="W17" s="13"/>
    </row>
    <row r="18" spans="1:23" ht="11.25" customHeight="1" x14ac:dyDescent="0.25">
      <c r="A18" s="95"/>
      <c r="B18" s="95"/>
      <c r="C18" s="95"/>
      <c r="D18" s="12" t="s">
        <v>29</v>
      </c>
      <c r="E18" s="12" t="s">
        <v>25</v>
      </c>
      <c r="F18" s="12" t="s">
        <v>25</v>
      </c>
      <c r="G18" s="13" t="s">
        <v>77</v>
      </c>
      <c r="H18" s="13" t="s">
        <v>73</v>
      </c>
      <c r="I18" s="13">
        <f>SUMIF(Mercado_Receita!$S$2:$S$545,"44378B1ConvencionalResidencialResidencial baixa renda – faixa 01Não se aplicaNão se aplicaPonta",Mercado_Receita!$L$2:$L$545)+SUMIF(Mercado_Receita!$S$2:$S$545,"44378B1ConvencionalResidencialResidencial baixa renda – faixa 01Não se aplicaNão se aplicaFora ponta",Mercado_Receita!$L$2:$L$545)+SUMIF(Mercado_Receita!$S$2:$S$545,"44378B1ConvencionalResidencialResidencial baixa renda – faixa 01Não se aplicaNão se aplicaIntermediário",Mercado_Receita!$L$2:$L$545)+SUMIF(Mercado_Receita!$S$2:$S$545,"44378B1ConvencionalResidencialResidencial baixa renda – faixa 01Não se aplicaNão se aplicaNão se aplica",Mercado_Receita!$L$2:$L$545)</f>
        <v>0.69</v>
      </c>
      <c r="J18" s="13">
        <f>SUMIF(Mercado_Receita!$S$2:$S$545,"44409B1ConvencionalResidencialResidencial baixa renda – faixa 01Não se aplicaNão se aplicaPonta",Mercado_Receita!$L$2:$L$545)+SUMIF(Mercado_Receita!$S$2:$S$545,"44409B1ConvencionalResidencialResidencial baixa renda – faixa 01Não se aplicaNão se aplicaFora ponta",Mercado_Receita!$L$2:$L$545)+SUMIF(Mercado_Receita!$S$2:$S$545,"44409B1ConvencionalResidencialResidencial baixa renda – faixa 01Não se aplicaNão se aplicaIntermediário",Mercado_Receita!$L$2:$L$545)+SUMIF(Mercado_Receita!$S$2:$S$545,"44409B1ConvencionalResidencialResidencial baixa renda – faixa 01Não se aplicaNão se aplicaNão se aplica",Mercado_Receita!$L$2:$L$545)</f>
        <v>0.69</v>
      </c>
      <c r="K18" s="13">
        <f>SUMIF(Mercado_Receita!$S$2:$S$545,"44440B1ConvencionalResidencialResidencial baixa renda – faixa 01Não se aplicaNão se aplicaPonta",Mercado_Receita!$L$2:$L$545)+SUMIF(Mercado_Receita!$S$2:$S$545,"44440B1ConvencionalResidencialResidencial baixa renda – faixa 01Não se aplicaNão se aplicaFora ponta",Mercado_Receita!$L$2:$L$545)+SUMIF(Mercado_Receita!$S$2:$S$545,"44440B1ConvencionalResidencialResidencial baixa renda – faixa 01Não se aplicaNão se aplicaIntermediário",Mercado_Receita!$L$2:$L$545)+SUMIF(Mercado_Receita!$S$2:$S$545,"44440B1ConvencionalResidencialResidencial baixa renda – faixa 01Não se aplicaNão se aplicaNão se aplica",Mercado_Receita!$L$2:$L$545)</f>
        <v>0.69</v>
      </c>
      <c r="L18" s="13">
        <f>SUMIF(Mercado_Receita!$S$2:$S$545,"44470B1ConvencionalResidencialResidencial baixa renda – faixa 01Não se aplicaNão se aplicaPonta",Mercado_Receita!$L$2:$L$545)+SUMIF(Mercado_Receita!$S$2:$S$545,"44470B1ConvencionalResidencialResidencial baixa renda – faixa 01Não se aplicaNão se aplicaFora ponta",Mercado_Receita!$L$2:$L$545)+SUMIF(Mercado_Receita!$S$2:$S$545,"44470B1ConvencionalResidencialResidencial baixa renda – faixa 01Não se aplicaNão se aplicaIntermediário",Mercado_Receita!$L$2:$L$545)+SUMIF(Mercado_Receita!$S$2:$S$545,"44470B1ConvencionalResidencialResidencial baixa renda – faixa 01Não se aplicaNão se aplicaNão se aplica",Mercado_Receita!$L$2:$L$545)</f>
        <v>0.69</v>
      </c>
      <c r="M18" s="13">
        <f>SUMIF(Mercado_Receita!$S$2:$S$545,"44501B1ConvencionalResidencialResidencial baixa renda – faixa 01Não se aplicaNão se aplicaPonta",Mercado_Receita!$L$2:$L$545)+SUMIF(Mercado_Receita!$S$2:$S$545,"44501B1ConvencionalResidencialResidencial baixa renda – faixa 01Não se aplicaNão se aplicaFora ponta",Mercado_Receita!$L$2:$L$545)+SUMIF(Mercado_Receita!$S$2:$S$545,"44501B1ConvencionalResidencialResidencial baixa renda – faixa 01Não se aplicaNão se aplicaIntermediário",Mercado_Receita!$L$2:$L$545)+SUMIF(Mercado_Receita!$S$2:$S$545,"44501B1ConvencionalResidencialResidencial baixa renda – faixa 01Não se aplicaNão se aplicaNão se aplica",Mercado_Receita!$L$2:$L$545)</f>
        <v>0.69</v>
      </c>
      <c r="N18" s="13">
        <f>SUMIF(Mercado_Receita!$S$2:$S$545,"44531B1ConvencionalResidencialResidencial baixa renda – faixa 01Não se aplicaNão se aplicaPonta",Mercado_Receita!$L$2:$L$545)+SUMIF(Mercado_Receita!$S$2:$S$545,"44531B1ConvencionalResidencialResidencial baixa renda – faixa 01Não se aplicaNão se aplicaFora ponta",Mercado_Receita!$L$2:$L$545)+SUMIF(Mercado_Receita!$S$2:$S$545,"44531B1ConvencionalResidencialResidencial baixa renda – faixa 01Não se aplicaNão se aplicaIntermediário",Mercado_Receita!$L$2:$L$545)+SUMIF(Mercado_Receita!$S$2:$S$545,"44531B1ConvencionalResidencialResidencial baixa renda – faixa 01Não se aplicaNão se aplicaNão se aplica",Mercado_Receita!$L$2:$L$545)</f>
        <v>0.69</v>
      </c>
      <c r="O18" s="13">
        <f>SUMIF(Mercado_Receita!$S$2:$S$545,"44562B1ConvencionalResidencialResidencial baixa renda – faixa 01Não se aplicaNão se aplicaPonta",Mercado_Receita!$L$2:$L$545)+SUMIF(Mercado_Receita!$S$2:$S$545,"44562B1ConvencionalResidencialResidencial baixa renda – faixa 01Não se aplicaNão se aplicaFora ponta",Mercado_Receita!$L$2:$L$545)+SUMIF(Mercado_Receita!$S$2:$S$545,"44562B1ConvencionalResidencialResidencial baixa renda – faixa 01Não se aplicaNão se aplicaIntermediário",Mercado_Receita!$L$2:$L$545)+SUMIF(Mercado_Receita!$S$2:$S$545,"44562B1ConvencionalResidencialResidencial baixa renda – faixa 01Não se aplicaNão se aplicaNão se aplica",Mercado_Receita!$L$2:$L$545)</f>
        <v>1.29</v>
      </c>
      <c r="P18" s="13">
        <f>SUMIF(Mercado_Receita!$S$2:$S$545,"44593B1ConvencionalResidencialResidencial baixa renda – faixa 01Não se aplicaNão se aplicaPonta",Mercado_Receita!$L$2:$L$545)+SUMIF(Mercado_Receita!$S$2:$S$545,"44593B1ConvencionalResidencialResidencial baixa renda – faixa 01Não se aplicaNão se aplicaFora ponta",Mercado_Receita!$L$2:$L$545)+SUMIF(Mercado_Receita!$S$2:$S$545,"44593B1ConvencionalResidencialResidencial baixa renda – faixa 01Não se aplicaNão se aplicaIntermediário",Mercado_Receita!$L$2:$L$545)+SUMIF(Mercado_Receita!$S$2:$S$545,"44593B1ConvencionalResidencialResidencial baixa renda – faixa 01Não se aplicaNão se aplicaNão se aplica",Mercado_Receita!$L$2:$L$545)</f>
        <v>4.62</v>
      </c>
      <c r="Q18" s="13">
        <f>SUMIF(Mercado_Receita!$S$2:$S$545,"44621B1ConvencionalResidencialResidencial baixa renda – faixa 01Não se aplicaNão se aplicaPonta",Mercado_Receita!$L$2:$L$545)+SUMIF(Mercado_Receita!$S$2:$S$545,"44621B1ConvencionalResidencialResidencial baixa renda – faixa 01Não se aplicaNão se aplicaFora ponta",Mercado_Receita!$L$2:$L$545)+SUMIF(Mercado_Receita!$S$2:$S$545,"44621B1ConvencionalResidencialResidencial baixa renda – faixa 01Não se aplicaNão se aplicaIntermediário",Mercado_Receita!$L$2:$L$545)+SUMIF(Mercado_Receita!$S$2:$S$545,"44621B1ConvencionalResidencialResidencial baixa renda – faixa 01Não se aplicaNão se aplicaNão se aplica",Mercado_Receita!$L$2:$L$545)</f>
        <v>6.45</v>
      </c>
      <c r="R18" s="13">
        <f>SUMIF(Mercado_Receita!$S$2:$S$545,"44652B1ConvencionalResidencialResidencial baixa renda – faixa 01Não se aplicaNão se aplicaPonta",Mercado_Receita!$L$2:$L$545)+SUMIF(Mercado_Receita!$S$2:$S$545,"44652B1ConvencionalResidencialResidencial baixa renda – faixa 01Não se aplicaNão se aplicaFora ponta",Mercado_Receita!$L$2:$L$545)+SUMIF(Mercado_Receita!$S$2:$S$545,"44652B1ConvencionalResidencialResidencial baixa renda – faixa 01Não se aplicaNão se aplicaIntermediário",Mercado_Receita!$L$2:$L$545)+SUMIF(Mercado_Receita!$S$2:$S$545,"44652B1ConvencionalResidencialResidencial baixa renda – faixa 01Não se aplicaNão se aplicaNão se aplica",Mercado_Receita!$L$2:$L$545)</f>
        <v>6.57</v>
      </c>
      <c r="S18" s="13">
        <f>SUMIF(Mercado_Receita!$S$2:$S$545,"44682B1ConvencionalResidencialResidencial baixa renda – faixa 01Não se aplicaNão se aplicaPonta",Mercado_Receita!$L$2:$L$545)+SUMIF(Mercado_Receita!$S$2:$S$545,"44682B1ConvencionalResidencialResidencial baixa renda – faixa 01Não se aplicaNão se aplicaFora ponta",Mercado_Receita!$L$2:$L$545)+SUMIF(Mercado_Receita!$S$2:$S$545,"44682B1ConvencionalResidencialResidencial baixa renda – faixa 01Não se aplicaNão se aplicaIntermediário",Mercado_Receita!$L$2:$L$545)+SUMIF(Mercado_Receita!$S$2:$S$545,"44682B1ConvencionalResidencialResidencial baixa renda – faixa 01Não se aplicaNão se aplicaNão se aplica",Mercado_Receita!$L$2:$L$545)</f>
        <v>2.64</v>
      </c>
      <c r="T18" s="13">
        <f>SUMIF(Mercado_Receita!$S$2:$S$545,"44713B1ConvencionalResidencialResidencial baixa renda – faixa 01Não se aplicaNão se aplicaPonta",Mercado_Receita!$L$2:$L$545)+SUMIF(Mercado_Receita!$S$2:$S$545,"44713B1ConvencionalResidencialResidencial baixa renda – faixa 01Não se aplicaNão se aplicaFora ponta",Mercado_Receita!$L$2:$L$545)+SUMIF(Mercado_Receita!$S$2:$S$545,"44713B1ConvencionalResidencialResidencial baixa renda – faixa 01Não se aplicaNão se aplicaIntermediário",Mercado_Receita!$L$2:$L$545)+SUMIF(Mercado_Receita!$S$2:$S$545,"44713B1ConvencionalResidencialResidencial baixa renda – faixa 01Não se aplicaNão se aplicaNão se aplica",Mercado_Receita!$L$2:$L$545)</f>
        <v>2.58</v>
      </c>
      <c r="U18" s="13">
        <f t="shared" si="0"/>
        <v>28.29</v>
      </c>
      <c r="V18" s="13"/>
      <c r="W18" s="13"/>
    </row>
    <row r="19" spans="1:23" ht="11.25" customHeight="1" x14ac:dyDescent="0.25">
      <c r="A19" s="95"/>
      <c r="B19" s="95"/>
      <c r="C19" s="95"/>
      <c r="D19" s="12" t="s">
        <v>30</v>
      </c>
      <c r="E19" s="12" t="s">
        <v>25</v>
      </c>
      <c r="F19" s="12" t="s">
        <v>25</v>
      </c>
      <c r="G19" s="13" t="s">
        <v>77</v>
      </c>
      <c r="H19" s="13" t="s">
        <v>73</v>
      </c>
      <c r="I19" s="13">
        <f>SUMIF(Mercado_Receita!$S$2:$S$545,"44378B1ConvencionalResidencialResidencial baixa renda – faixa 02Não se aplicaNão se aplicaPonta",Mercado_Receita!$L$2:$L$545)+SUMIF(Mercado_Receita!$S$2:$S$545,"44378B1ConvencionalResidencialResidencial baixa renda – faixa 02Não se aplicaNão se aplicaFora ponta",Mercado_Receita!$L$2:$L$545)+SUMIF(Mercado_Receita!$S$2:$S$545,"44378B1ConvencionalResidencialResidencial baixa renda – faixa 02Não se aplicaNão se aplicaIntermediário",Mercado_Receita!$L$2:$L$545)+SUMIF(Mercado_Receita!$S$2:$S$545,"44378B1ConvencionalResidencialResidencial baixa renda – faixa 02Não se aplicaNão se aplicaNão se aplica",Mercado_Receita!$L$2:$L$545)</f>
        <v>1.113</v>
      </c>
      <c r="J19" s="13">
        <f>SUMIF(Mercado_Receita!$S$2:$S$545,"44409B1ConvencionalResidencialResidencial baixa renda – faixa 02Não se aplicaNão se aplicaPonta",Mercado_Receita!$L$2:$L$545)+SUMIF(Mercado_Receita!$S$2:$S$545,"44409B1ConvencionalResidencialResidencial baixa renda – faixa 02Não se aplicaNão se aplicaFora ponta",Mercado_Receita!$L$2:$L$545)+SUMIF(Mercado_Receita!$S$2:$S$545,"44409B1ConvencionalResidencialResidencial baixa renda – faixa 02Não se aplicaNão se aplicaIntermediário",Mercado_Receita!$L$2:$L$545)+SUMIF(Mercado_Receita!$S$2:$S$545,"44409B1ConvencionalResidencialResidencial baixa renda – faixa 02Não se aplicaNão se aplicaNão se aplica",Mercado_Receita!$L$2:$L$545)</f>
        <v>1.236</v>
      </c>
      <c r="K19" s="13">
        <f>SUMIF(Mercado_Receita!$S$2:$S$545,"44440B1ConvencionalResidencialResidencial baixa renda – faixa 02Não se aplicaNão se aplicaPonta",Mercado_Receita!$L$2:$L$545)+SUMIF(Mercado_Receita!$S$2:$S$545,"44440B1ConvencionalResidencialResidencial baixa renda – faixa 02Não se aplicaNão se aplicaFora ponta",Mercado_Receita!$L$2:$L$545)+SUMIF(Mercado_Receita!$S$2:$S$545,"44440B1ConvencionalResidencialResidencial baixa renda – faixa 02Não se aplicaNão se aplicaIntermediário",Mercado_Receita!$L$2:$L$545)+SUMIF(Mercado_Receita!$S$2:$S$545,"44440B1ConvencionalResidencialResidencial baixa renda – faixa 02Não se aplicaNão se aplicaNão se aplica",Mercado_Receita!$L$2:$L$545)</f>
        <v>1.165</v>
      </c>
      <c r="L19" s="13">
        <f>SUMIF(Mercado_Receita!$S$2:$S$545,"44470B1ConvencionalResidencialResidencial baixa renda – faixa 02Não se aplicaNão se aplicaPonta",Mercado_Receita!$L$2:$L$545)+SUMIF(Mercado_Receita!$S$2:$S$545,"44470B1ConvencionalResidencialResidencial baixa renda – faixa 02Não se aplicaNão se aplicaFora ponta",Mercado_Receita!$L$2:$L$545)+SUMIF(Mercado_Receita!$S$2:$S$545,"44470B1ConvencionalResidencialResidencial baixa renda – faixa 02Não se aplicaNão se aplicaIntermediário",Mercado_Receita!$L$2:$L$545)+SUMIF(Mercado_Receita!$S$2:$S$545,"44470B1ConvencionalResidencialResidencial baixa renda – faixa 02Não se aplicaNão se aplicaNão se aplica",Mercado_Receita!$L$2:$L$545)</f>
        <v>1.2390000000000001</v>
      </c>
      <c r="M19" s="13">
        <f>SUMIF(Mercado_Receita!$S$2:$S$545,"44501B1ConvencionalResidencialResidencial baixa renda – faixa 02Não se aplicaNão se aplicaPonta",Mercado_Receita!$L$2:$L$545)+SUMIF(Mercado_Receita!$S$2:$S$545,"44501B1ConvencionalResidencialResidencial baixa renda – faixa 02Não se aplicaNão se aplicaFora ponta",Mercado_Receita!$L$2:$L$545)+SUMIF(Mercado_Receita!$S$2:$S$545,"44501B1ConvencionalResidencialResidencial baixa renda – faixa 02Não se aplicaNão se aplicaIntermediário",Mercado_Receita!$L$2:$L$545)+SUMIF(Mercado_Receita!$S$2:$S$545,"44501B1ConvencionalResidencialResidencial baixa renda – faixa 02Não se aplicaNão se aplicaNão se aplica",Mercado_Receita!$L$2:$L$545)</f>
        <v>1.137</v>
      </c>
      <c r="N19" s="13">
        <f>SUMIF(Mercado_Receita!$S$2:$S$545,"44531B1ConvencionalResidencialResidencial baixa renda – faixa 02Não se aplicaNão se aplicaPonta",Mercado_Receita!$L$2:$L$545)+SUMIF(Mercado_Receita!$S$2:$S$545,"44531B1ConvencionalResidencialResidencial baixa renda – faixa 02Não se aplicaNão se aplicaFora ponta",Mercado_Receita!$L$2:$L$545)+SUMIF(Mercado_Receita!$S$2:$S$545,"44531B1ConvencionalResidencialResidencial baixa renda – faixa 02Não se aplicaNão se aplicaIntermediário",Mercado_Receita!$L$2:$L$545)+SUMIF(Mercado_Receita!$S$2:$S$545,"44531B1ConvencionalResidencialResidencial baixa renda – faixa 02Não se aplicaNão se aplicaNão se aplica",Mercado_Receita!$L$2:$L$545)</f>
        <v>1.1419999999999999</v>
      </c>
      <c r="O19" s="13">
        <f>SUMIF(Mercado_Receita!$S$2:$S$545,"44562B1ConvencionalResidencialResidencial baixa renda – faixa 02Não se aplicaNão se aplicaPonta",Mercado_Receita!$L$2:$L$545)+SUMIF(Mercado_Receita!$S$2:$S$545,"44562B1ConvencionalResidencialResidencial baixa renda – faixa 02Não se aplicaNão se aplicaFora ponta",Mercado_Receita!$L$2:$L$545)+SUMIF(Mercado_Receita!$S$2:$S$545,"44562B1ConvencionalResidencialResidencial baixa renda – faixa 02Não se aplicaNão se aplicaIntermediário",Mercado_Receita!$L$2:$L$545)+SUMIF(Mercado_Receita!$S$2:$S$545,"44562B1ConvencionalResidencialResidencial baixa renda – faixa 02Não se aplicaNão se aplicaNão se aplica",Mercado_Receita!$L$2:$L$545)</f>
        <v>2.14</v>
      </c>
      <c r="P19" s="13">
        <f>SUMIF(Mercado_Receita!$S$2:$S$545,"44593B1ConvencionalResidencialResidencial baixa renda – faixa 02Não se aplicaNão se aplicaPonta",Mercado_Receita!$L$2:$L$545)+SUMIF(Mercado_Receita!$S$2:$S$545,"44593B1ConvencionalResidencialResidencial baixa renda – faixa 02Não se aplicaNão se aplicaFora ponta",Mercado_Receita!$L$2:$L$545)+SUMIF(Mercado_Receita!$S$2:$S$545,"44593B1ConvencionalResidencialResidencial baixa renda – faixa 02Não se aplicaNão se aplicaIntermediário",Mercado_Receita!$L$2:$L$545)+SUMIF(Mercado_Receita!$S$2:$S$545,"44593B1ConvencionalResidencialResidencial baixa renda – faixa 02Não se aplicaNão se aplicaNão se aplica",Mercado_Receita!$L$2:$L$545)</f>
        <v>8.7059999999999995</v>
      </c>
      <c r="Q19" s="13">
        <f>SUMIF(Mercado_Receita!$S$2:$S$545,"44621B1ConvencionalResidencialResidencial baixa renda – faixa 02Não se aplicaNão se aplicaPonta",Mercado_Receita!$L$2:$L$545)+SUMIF(Mercado_Receita!$S$2:$S$545,"44621B1ConvencionalResidencialResidencial baixa renda – faixa 02Não se aplicaNão se aplicaFora ponta",Mercado_Receita!$L$2:$L$545)+SUMIF(Mercado_Receita!$S$2:$S$545,"44621B1ConvencionalResidencialResidencial baixa renda – faixa 02Não se aplicaNão se aplicaIntermediário",Mercado_Receita!$L$2:$L$545)+SUMIF(Mercado_Receita!$S$2:$S$545,"44621B1ConvencionalResidencialResidencial baixa renda – faixa 02Não se aplicaNão se aplicaNão se aplica",Mercado_Receita!$L$2:$L$545)</f>
        <v>11.788</v>
      </c>
      <c r="R19" s="13">
        <f>SUMIF(Mercado_Receita!$S$2:$S$545,"44652B1ConvencionalResidencialResidencial baixa renda – faixa 02Não se aplicaNão se aplicaPonta",Mercado_Receita!$L$2:$L$545)+SUMIF(Mercado_Receita!$S$2:$S$545,"44652B1ConvencionalResidencialResidencial baixa renda – faixa 02Não se aplicaNão se aplicaFora ponta",Mercado_Receita!$L$2:$L$545)+SUMIF(Mercado_Receita!$S$2:$S$545,"44652B1ConvencionalResidencialResidencial baixa renda – faixa 02Não se aplicaNão se aplicaIntermediário",Mercado_Receita!$L$2:$L$545)+SUMIF(Mercado_Receita!$S$2:$S$545,"44652B1ConvencionalResidencialResidencial baixa renda – faixa 02Não se aplicaNão se aplicaNão se aplica",Mercado_Receita!$L$2:$L$545)</f>
        <v>11.923999999999999</v>
      </c>
      <c r="S19" s="13">
        <f>SUMIF(Mercado_Receita!$S$2:$S$545,"44682B1ConvencionalResidencialResidencial baixa renda – faixa 02Não se aplicaNão se aplicaPonta",Mercado_Receita!$L$2:$L$545)+SUMIF(Mercado_Receita!$S$2:$S$545,"44682B1ConvencionalResidencialResidencial baixa renda – faixa 02Não se aplicaNão se aplicaFora ponta",Mercado_Receita!$L$2:$L$545)+SUMIF(Mercado_Receita!$S$2:$S$545,"44682B1ConvencionalResidencialResidencial baixa renda – faixa 02Não se aplicaNão se aplicaIntermediário",Mercado_Receita!$L$2:$L$545)+SUMIF(Mercado_Receita!$S$2:$S$545,"44682B1ConvencionalResidencialResidencial baixa renda – faixa 02Não se aplicaNão se aplicaNão se aplica",Mercado_Receita!$L$2:$L$545)</f>
        <v>4.3550000000000004</v>
      </c>
      <c r="T19" s="13">
        <f>SUMIF(Mercado_Receita!$S$2:$S$545,"44713B1ConvencionalResidencialResidencial baixa renda – faixa 02Não se aplicaNão se aplicaPonta",Mercado_Receita!$L$2:$L$545)+SUMIF(Mercado_Receita!$S$2:$S$545,"44713B1ConvencionalResidencialResidencial baixa renda – faixa 02Não se aplicaNão se aplicaFora ponta",Mercado_Receita!$L$2:$L$545)+SUMIF(Mercado_Receita!$S$2:$S$545,"44713B1ConvencionalResidencialResidencial baixa renda – faixa 02Não se aplicaNão se aplicaIntermediário",Mercado_Receita!$L$2:$L$545)+SUMIF(Mercado_Receita!$S$2:$S$545,"44713B1ConvencionalResidencialResidencial baixa renda – faixa 02Não se aplicaNão se aplicaNão se aplica",Mercado_Receita!$L$2:$L$545)</f>
        <v>4.5709999999999997</v>
      </c>
      <c r="U19" s="13">
        <f t="shared" si="0"/>
        <v>50.516000000000005</v>
      </c>
      <c r="V19" s="13"/>
      <c r="W19" s="13"/>
    </row>
    <row r="20" spans="1:23" ht="11.25" customHeight="1" x14ac:dyDescent="0.25">
      <c r="A20" s="95"/>
      <c r="B20" s="95"/>
      <c r="C20" s="95"/>
      <c r="D20" s="12" t="s">
        <v>31</v>
      </c>
      <c r="E20" s="12" t="s">
        <v>25</v>
      </c>
      <c r="F20" s="12" t="s">
        <v>25</v>
      </c>
      <c r="G20" s="13" t="s">
        <v>77</v>
      </c>
      <c r="H20" s="13" t="s">
        <v>73</v>
      </c>
      <c r="I20" s="13">
        <f>SUMIF(Mercado_Receita!$S$2:$S$545,"44378B1ConvencionalResidencialResidencial baixa renda – faixa 03Não se aplicaNão se aplicaPonta",Mercado_Receita!$L$2:$L$545)+SUMIF(Mercado_Receita!$S$2:$S$545,"44378B1ConvencionalResidencialResidencial baixa renda – faixa 03Não se aplicaNão se aplicaFora ponta",Mercado_Receita!$L$2:$L$545)+SUMIF(Mercado_Receita!$S$2:$S$545,"44378B1ConvencionalResidencialResidencial baixa renda – faixa 03Não se aplicaNão se aplicaIntermediário",Mercado_Receita!$L$2:$L$545)+SUMIF(Mercado_Receita!$S$2:$S$545,"44378B1ConvencionalResidencialResidencial baixa renda – faixa 03Não se aplicaNão se aplicaNão se aplica",Mercado_Receita!$L$2:$L$545)</f>
        <v>0.63</v>
      </c>
      <c r="J20" s="13">
        <f>SUMIF(Mercado_Receita!$S$2:$S$545,"44409B1ConvencionalResidencialResidencial baixa renda – faixa 03Não se aplicaNão se aplicaPonta",Mercado_Receita!$L$2:$L$545)+SUMIF(Mercado_Receita!$S$2:$S$545,"44409B1ConvencionalResidencialResidencial baixa renda – faixa 03Não se aplicaNão se aplicaFora ponta",Mercado_Receita!$L$2:$L$545)+SUMIF(Mercado_Receita!$S$2:$S$545,"44409B1ConvencionalResidencialResidencial baixa renda – faixa 03Não se aplicaNão se aplicaIntermediário",Mercado_Receita!$L$2:$L$545)+SUMIF(Mercado_Receita!$S$2:$S$545,"44409B1ConvencionalResidencialResidencial baixa renda – faixa 03Não se aplicaNão se aplicaNão se aplica",Mercado_Receita!$L$2:$L$545)</f>
        <v>0.96299999999999997</v>
      </c>
      <c r="K20" s="13">
        <f>SUMIF(Mercado_Receita!$S$2:$S$545,"44440B1ConvencionalResidencialResidencial baixa renda – faixa 03Não se aplicaNão se aplicaPonta",Mercado_Receita!$L$2:$L$545)+SUMIF(Mercado_Receita!$S$2:$S$545,"44440B1ConvencionalResidencialResidencial baixa renda – faixa 03Não se aplicaNão se aplicaFora ponta",Mercado_Receita!$L$2:$L$545)+SUMIF(Mercado_Receita!$S$2:$S$545,"44440B1ConvencionalResidencialResidencial baixa renda – faixa 03Não se aplicaNão se aplicaIntermediário",Mercado_Receita!$L$2:$L$545)+SUMIF(Mercado_Receita!$S$2:$S$545,"44440B1ConvencionalResidencialResidencial baixa renda – faixa 03Não se aplicaNão se aplicaNão se aplica",Mercado_Receita!$L$2:$L$545)</f>
        <v>0.84799999999999998</v>
      </c>
      <c r="L20" s="13">
        <f>SUMIF(Mercado_Receita!$S$2:$S$545,"44470B1ConvencionalResidencialResidencial baixa renda – faixa 03Não se aplicaNão se aplicaPonta",Mercado_Receita!$L$2:$L$545)+SUMIF(Mercado_Receita!$S$2:$S$545,"44470B1ConvencionalResidencialResidencial baixa renda – faixa 03Não se aplicaNão se aplicaFora ponta",Mercado_Receita!$L$2:$L$545)+SUMIF(Mercado_Receita!$S$2:$S$545,"44470B1ConvencionalResidencialResidencial baixa renda – faixa 03Não se aplicaNão se aplicaIntermediário",Mercado_Receita!$L$2:$L$545)+SUMIF(Mercado_Receita!$S$2:$S$545,"44470B1ConvencionalResidencialResidencial baixa renda – faixa 03Não se aplicaNão se aplicaNão se aplica",Mercado_Receita!$L$2:$L$545)</f>
        <v>1.123</v>
      </c>
      <c r="M20" s="13">
        <f>SUMIF(Mercado_Receita!$S$2:$S$545,"44501B1ConvencionalResidencialResidencial baixa renda – faixa 03Não se aplicaNão se aplicaPonta",Mercado_Receita!$L$2:$L$545)+SUMIF(Mercado_Receita!$S$2:$S$545,"44501B1ConvencionalResidencialResidencial baixa renda – faixa 03Não se aplicaNão se aplicaFora ponta",Mercado_Receita!$L$2:$L$545)+SUMIF(Mercado_Receita!$S$2:$S$545,"44501B1ConvencionalResidencialResidencial baixa renda – faixa 03Não se aplicaNão se aplicaIntermediário",Mercado_Receita!$L$2:$L$545)+SUMIF(Mercado_Receita!$S$2:$S$545,"44501B1ConvencionalResidencialResidencial baixa renda – faixa 03Não se aplicaNão se aplicaNão se aplica",Mercado_Receita!$L$2:$L$545)</f>
        <v>0.91800000000000004</v>
      </c>
      <c r="N20" s="13">
        <f>SUMIF(Mercado_Receita!$S$2:$S$545,"44531B1ConvencionalResidencialResidencial baixa renda – faixa 03Não se aplicaNão se aplicaPonta",Mercado_Receita!$L$2:$L$545)+SUMIF(Mercado_Receita!$S$2:$S$545,"44531B1ConvencionalResidencialResidencial baixa renda – faixa 03Não se aplicaNão se aplicaFora ponta",Mercado_Receita!$L$2:$L$545)+SUMIF(Mercado_Receita!$S$2:$S$545,"44531B1ConvencionalResidencialResidencial baixa renda – faixa 03Não se aplicaNão se aplicaIntermediário",Mercado_Receita!$L$2:$L$545)+SUMIF(Mercado_Receita!$S$2:$S$545,"44531B1ConvencionalResidencialResidencial baixa renda – faixa 03Não se aplicaNão se aplicaNão se aplica",Mercado_Receita!$L$2:$L$545)</f>
        <v>1.099</v>
      </c>
      <c r="O20" s="13">
        <f>SUMIF(Mercado_Receita!$S$2:$S$545,"44562B1ConvencionalResidencialResidencial baixa renda – faixa 03Não se aplicaNão se aplicaPonta",Mercado_Receita!$L$2:$L$545)+SUMIF(Mercado_Receita!$S$2:$S$545,"44562B1ConvencionalResidencialResidencial baixa renda – faixa 03Não se aplicaNão se aplicaFora ponta",Mercado_Receita!$L$2:$L$545)+SUMIF(Mercado_Receita!$S$2:$S$545,"44562B1ConvencionalResidencialResidencial baixa renda – faixa 03Não se aplicaNão se aplicaIntermediário",Mercado_Receita!$L$2:$L$545)+SUMIF(Mercado_Receita!$S$2:$S$545,"44562B1ConvencionalResidencialResidencial baixa renda – faixa 03Não se aplicaNão se aplicaNão se aplica",Mercado_Receita!$L$2:$L$545)</f>
        <v>1.78</v>
      </c>
      <c r="P20" s="13">
        <f>SUMIF(Mercado_Receita!$S$2:$S$545,"44593B1ConvencionalResidencialResidencial baixa renda – faixa 03Não se aplicaNão se aplicaPonta",Mercado_Receita!$L$2:$L$545)+SUMIF(Mercado_Receita!$S$2:$S$545,"44593B1ConvencionalResidencialResidencial baixa renda – faixa 03Não se aplicaNão se aplicaFora ponta",Mercado_Receita!$L$2:$L$545)+SUMIF(Mercado_Receita!$S$2:$S$545,"44593B1ConvencionalResidencialResidencial baixa renda – faixa 03Não se aplicaNão se aplicaIntermediário",Mercado_Receita!$L$2:$L$545)+SUMIF(Mercado_Receita!$S$2:$S$545,"44593B1ConvencionalResidencialResidencial baixa renda – faixa 03Não se aplicaNão se aplicaNão se aplica",Mercado_Receita!$L$2:$L$545)</f>
        <v>6.9859999999999998</v>
      </c>
      <c r="Q20" s="13">
        <f>SUMIF(Mercado_Receita!$S$2:$S$545,"44621B1ConvencionalResidencialResidencial baixa renda – faixa 03Não se aplicaNão se aplicaPonta",Mercado_Receita!$L$2:$L$545)+SUMIF(Mercado_Receita!$S$2:$S$545,"44621B1ConvencionalResidencialResidencial baixa renda – faixa 03Não se aplicaNão se aplicaFora ponta",Mercado_Receita!$L$2:$L$545)+SUMIF(Mercado_Receita!$S$2:$S$545,"44621B1ConvencionalResidencialResidencial baixa renda – faixa 03Não se aplicaNão se aplicaIntermediário",Mercado_Receita!$L$2:$L$545)+SUMIF(Mercado_Receita!$S$2:$S$545,"44621B1ConvencionalResidencialResidencial baixa renda – faixa 03Não se aplicaNão se aplicaNão se aplica",Mercado_Receita!$L$2:$L$545)</f>
        <v>9.4109999999999996</v>
      </c>
      <c r="R20" s="13">
        <f>SUMIF(Mercado_Receita!$S$2:$S$545,"44652B1ConvencionalResidencialResidencial baixa renda – faixa 03Não se aplicaNão se aplicaPonta",Mercado_Receita!$L$2:$L$545)+SUMIF(Mercado_Receita!$S$2:$S$545,"44652B1ConvencionalResidencialResidencial baixa renda – faixa 03Não se aplicaNão se aplicaFora ponta",Mercado_Receita!$L$2:$L$545)+SUMIF(Mercado_Receita!$S$2:$S$545,"44652B1ConvencionalResidencialResidencial baixa renda – faixa 03Não se aplicaNão se aplicaIntermediário",Mercado_Receita!$L$2:$L$545)+SUMIF(Mercado_Receita!$S$2:$S$545,"44652B1ConvencionalResidencialResidencial baixa renda – faixa 03Não se aplicaNão se aplicaNão se aplica",Mercado_Receita!$L$2:$L$545)</f>
        <v>9.6950000000000003</v>
      </c>
      <c r="S20" s="13">
        <f>SUMIF(Mercado_Receita!$S$2:$S$545,"44682B1ConvencionalResidencialResidencial baixa renda – faixa 03Não se aplicaNão se aplicaPonta",Mercado_Receita!$L$2:$L$545)+SUMIF(Mercado_Receita!$S$2:$S$545,"44682B1ConvencionalResidencialResidencial baixa renda – faixa 03Não se aplicaNão se aplicaFora ponta",Mercado_Receita!$L$2:$L$545)+SUMIF(Mercado_Receita!$S$2:$S$545,"44682B1ConvencionalResidencialResidencial baixa renda – faixa 03Não se aplicaNão se aplicaIntermediário",Mercado_Receita!$L$2:$L$545)+SUMIF(Mercado_Receita!$S$2:$S$545,"44682B1ConvencionalResidencialResidencial baixa renda – faixa 03Não se aplicaNão se aplicaNão se aplica",Mercado_Receita!$L$2:$L$545)</f>
        <v>2.5819999999999999</v>
      </c>
      <c r="T20" s="13">
        <f>SUMIF(Mercado_Receita!$S$2:$S$545,"44713B1ConvencionalResidencialResidencial baixa renda – faixa 03Não se aplicaNão se aplicaPonta",Mercado_Receita!$L$2:$L$545)+SUMIF(Mercado_Receita!$S$2:$S$545,"44713B1ConvencionalResidencialResidencial baixa renda – faixa 03Não se aplicaNão se aplicaFora ponta",Mercado_Receita!$L$2:$L$545)+SUMIF(Mercado_Receita!$S$2:$S$545,"44713B1ConvencionalResidencialResidencial baixa renda – faixa 03Não se aplicaNão se aplicaIntermediário",Mercado_Receita!$L$2:$L$545)+SUMIF(Mercado_Receita!$S$2:$S$545,"44713B1ConvencionalResidencialResidencial baixa renda – faixa 03Não se aplicaNão se aplicaNão se aplica",Mercado_Receita!$L$2:$L$545)</f>
        <v>3.0760000000000001</v>
      </c>
      <c r="U20" s="13">
        <f t="shared" si="0"/>
        <v>39.111000000000004</v>
      </c>
      <c r="V20" s="13"/>
      <c r="W20" s="13"/>
    </row>
    <row r="21" spans="1:23" ht="11.25" customHeight="1" x14ac:dyDescent="0.25">
      <c r="A21" s="95"/>
      <c r="B21" s="95"/>
      <c r="C21" s="95"/>
      <c r="D21" s="12" t="s">
        <v>32</v>
      </c>
      <c r="E21" s="12" t="s">
        <v>25</v>
      </c>
      <c r="F21" s="12" t="s">
        <v>25</v>
      </c>
      <c r="G21" s="13" t="s">
        <v>77</v>
      </c>
      <c r="H21" s="13" t="s">
        <v>73</v>
      </c>
      <c r="I21" s="13">
        <f>SUMIF(Mercado_Receita!$S$2:$S$545,"44378B1ConvencionalResidencialResidencial baixa renda – faixa 04Não se aplicaNão se aplicaPonta",Mercado_Receita!$L$2:$L$545)+SUMIF(Mercado_Receita!$S$2:$S$545,"44378B1ConvencionalResidencialResidencial baixa renda – faixa 04Não se aplicaNão se aplicaFora ponta",Mercado_Receita!$L$2:$L$545)+SUMIF(Mercado_Receita!$S$2:$S$545,"44378B1ConvencionalResidencialResidencial baixa renda – faixa 04Não se aplicaNão se aplicaIntermediário",Mercado_Receita!$L$2:$L$545)+SUMIF(Mercado_Receita!$S$2:$S$545,"44378B1ConvencionalResidencialResidencial baixa renda – faixa 04Não se aplicaNão se aplicaNão se aplica",Mercado_Receita!$L$2:$L$545)</f>
        <v>0.153</v>
      </c>
      <c r="J21" s="13">
        <f>SUMIF(Mercado_Receita!$S$2:$S$545,"44409B1ConvencionalResidencialResidencial baixa renda – faixa 04Não se aplicaNão se aplicaPonta",Mercado_Receita!$L$2:$L$545)+SUMIF(Mercado_Receita!$S$2:$S$545,"44409B1ConvencionalResidencialResidencial baixa renda – faixa 04Não se aplicaNão se aplicaFora ponta",Mercado_Receita!$L$2:$L$545)+SUMIF(Mercado_Receita!$S$2:$S$545,"44409B1ConvencionalResidencialResidencial baixa renda – faixa 04Não se aplicaNão se aplicaIntermediário",Mercado_Receita!$L$2:$L$545)+SUMIF(Mercado_Receita!$S$2:$S$545,"44409B1ConvencionalResidencialResidencial baixa renda – faixa 04Não se aplicaNão se aplicaNão se aplica",Mercado_Receita!$L$2:$L$545)</f>
        <v>0.64600000000000002</v>
      </c>
      <c r="K21" s="13">
        <f>SUMIF(Mercado_Receita!$S$2:$S$545,"44440B1ConvencionalResidencialResidencial baixa renda – faixa 04Não se aplicaNão se aplicaPonta",Mercado_Receita!$L$2:$L$545)+SUMIF(Mercado_Receita!$S$2:$S$545,"44440B1ConvencionalResidencialResidencial baixa renda – faixa 04Não se aplicaNão se aplicaFora ponta",Mercado_Receita!$L$2:$L$545)+SUMIF(Mercado_Receita!$S$2:$S$545,"44440B1ConvencionalResidencialResidencial baixa renda – faixa 04Não se aplicaNão se aplicaIntermediário",Mercado_Receita!$L$2:$L$545)+SUMIF(Mercado_Receita!$S$2:$S$545,"44440B1ConvencionalResidencialResidencial baixa renda – faixa 04Não se aplicaNão se aplicaNão se aplica",Mercado_Receita!$L$2:$L$545)</f>
        <v>0.221</v>
      </c>
      <c r="L21" s="13">
        <f>SUMIF(Mercado_Receita!$S$2:$S$545,"44470B1ConvencionalResidencialResidencial baixa renda – faixa 04Não se aplicaNão se aplicaPonta",Mercado_Receita!$L$2:$L$545)+SUMIF(Mercado_Receita!$S$2:$S$545,"44470B1ConvencionalResidencialResidencial baixa renda – faixa 04Não se aplicaNão se aplicaFora ponta",Mercado_Receita!$L$2:$L$545)+SUMIF(Mercado_Receita!$S$2:$S$545,"44470B1ConvencionalResidencialResidencial baixa renda – faixa 04Não se aplicaNão se aplicaIntermediário",Mercado_Receita!$L$2:$L$545)+SUMIF(Mercado_Receita!$S$2:$S$545,"44470B1ConvencionalResidencialResidencial baixa renda – faixa 04Não se aplicaNão se aplicaNão se aplica",Mercado_Receita!$L$2:$L$545)</f>
        <v>0.38200000000000001</v>
      </c>
      <c r="M21" s="13">
        <f>SUMIF(Mercado_Receita!$S$2:$S$545,"44501B1ConvencionalResidencialResidencial baixa renda – faixa 04Não se aplicaNão se aplicaPonta",Mercado_Receita!$L$2:$L$545)+SUMIF(Mercado_Receita!$S$2:$S$545,"44501B1ConvencionalResidencialResidencial baixa renda – faixa 04Não se aplicaNão se aplicaFora ponta",Mercado_Receita!$L$2:$L$545)+SUMIF(Mercado_Receita!$S$2:$S$545,"44501B1ConvencionalResidencialResidencial baixa renda – faixa 04Não se aplicaNão se aplicaIntermediário",Mercado_Receita!$L$2:$L$545)+SUMIF(Mercado_Receita!$S$2:$S$545,"44501B1ConvencionalResidencialResidencial baixa renda – faixa 04Não se aplicaNão se aplicaNão se aplica",Mercado_Receita!$L$2:$L$545)</f>
        <v>0.182</v>
      </c>
      <c r="N21" s="13">
        <f>SUMIF(Mercado_Receita!$S$2:$S$545,"44531B1ConvencionalResidencialResidencial baixa renda – faixa 04Não se aplicaNão se aplicaPonta",Mercado_Receita!$L$2:$L$545)+SUMIF(Mercado_Receita!$S$2:$S$545,"44531B1ConvencionalResidencialResidencial baixa renda – faixa 04Não se aplicaNão se aplicaFora ponta",Mercado_Receita!$L$2:$L$545)+SUMIF(Mercado_Receita!$S$2:$S$545,"44531B1ConvencionalResidencialResidencial baixa renda – faixa 04Não se aplicaNão se aplicaIntermediário",Mercado_Receita!$L$2:$L$545)+SUMIF(Mercado_Receita!$S$2:$S$545,"44531B1ConvencionalResidencialResidencial baixa renda – faixa 04Não se aplicaNão se aplicaNão se aplica",Mercado_Receita!$L$2:$L$545)</f>
        <v>0.24399999999999999</v>
      </c>
      <c r="O21" s="13">
        <f>SUMIF(Mercado_Receita!$S$2:$S$545,"44562B1ConvencionalResidencialResidencial baixa renda – faixa 04Não se aplicaNão se aplicaPonta",Mercado_Receita!$L$2:$L$545)+SUMIF(Mercado_Receita!$S$2:$S$545,"44562B1ConvencionalResidencialResidencial baixa renda – faixa 04Não se aplicaNão se aplicaFora ponta",Mercado_Receita!$L$2:$L$545)+SUMIF(Mercado_Receita!$S$2:$S$545,"44562B1ConvencionalResidencialResidencial baixa renda – faixa 04Não se aplicaNão se aplicaIntermediário",Mercado_Receita!$L$2:$L$545)+SUMIF(Mercado_Receita!$S$2:$S$545,"44562B1ConvencionalResidencialResidencial baixa renda – faixa 04Não se aplicaNão se aplicaNão se aplica",Mercado_Receita!$L$2:$L$545)</f>
        <v>0.30199999999999999</v>
      </c>
      <c r="P21" s="13">
        <f>SUMIF(Mercado_Receita!$S$2:$S$545,"44593B1ConvencionalResidencialResidencial baixa renda – faixa 04Não se aplicaNão se aplicaPonta",Mercado_Receita!$L$2:$L$545)+SUMIF(Mercado_Receita!$S$2:$S$545,"44593B1ConvencionalResidencialResidencial baixa renda – faixa 04Não se aplicaNão se aplicaFora ponta",Mercado_Receita!$L$2:$L$545)+SUMIF(Mercado_Receita!$S$2:$S$545,"44593B1ConvencionalResidencialResidencial baixa renda – faixa 04Não se aplicaNão se aplicaIntermediário",Mercado_Receita!$L$2:$L$545)+SUMIF(Mercado_Receita!$S$2:$S$545,"44593B1ConvencionalResidencialResidencial baixa renda – faixa 04Não se aplicaNão se aplicaNão se aplica",Mercado_Receita!$L$2:$L$545)</f>
        <v>1.462</v>
      </c>
      <c r="Q21" s="13">
        <f>SUMIF(Mercado_Receita!$S$2:$S$545,"44621B1ConvencionalResidencialResidencial baixa renda – faixa 04Não se aplicaNão se aplicaPonta",Mercado_Receita!$L$2:$L$545)+SUMIF(Mercado_Receita!$S$2:$S$545,"44621B1ConvencionalResidencialResidencial baixa renda – faixa 04Não se aplicaNão se aplicaFora ponta",Mercado_Receita!$L$2:$L$545)+SUMIF(Mercado_Receita!$S$2:$S$545,"44621B1ConvencionalResidencialResidencial baixa renda – faixa 04Não se aplicaNão se aplicaIntermediário",Mercado_Receita!$L$2:$L$545)+SUMIF(Mercado_Receita!$S$2:$S$545,"44621B1ConvencionalResidencialResidencial baixa renda – faixa 04Não se aplicaNão se aplicaNão se aplica",Mercado_Receita!$L$2:$L$545)</f>
        <v>1.6459999999999999</v>
      </c>
      <c r="R21" s="13">
        <f>SUMIF(Mercado_Receita!$S$2:$S$545,"44652B1ConvencionalResidencialResidencial baixa renda – faixa 04Não se aplicaNão se aplicaPonta",Mercado_Receita!$L$2:$L$545)+SUMIF(Mercado_Receita!$S$2:$S$545,"44652B1ConvencionalResidencialResidencial baixa renda – faixa 04Não se aplicaNão se aplicaFora ponta",Mercado_Receita!$L$2:$L$545)+SUMIF(Mercado_Receita!$S$2:$S$545,"44652B1ConvencionalResidencialResidencial baixa renda – faixa 04Não se aplicaNão se aplicaIntermediário",Mercado_Receita!$L$2:$L$545)+SUMIF(Mercado_Receita!$S$2:$S$545,"44652B1ConvencionalResidencialResidencial baixa renda – faixa 04Não se aplicaNão se aplicaNão se aplica",Mercado_Receita!$L$2:$L$545)</f>
        <v>2.661</v>
      </c>
      <c r="S21" s="13">
        <f>SUMIF(Mercado_Receita!$S$2:$S$545,"44682B1ConvencionalResidencialResidencial baixa renda – faixa 04Não se aplicaNão se aplicaPonta",Mercado_Receita!$L$2:$L$545)+SUMIF(Mercado_Receita!$S$2:$S$545,"44682B1ConvencionalResidencialResidencial baixa renda – faixa 04Não se aplicaNão se aplicaFora ponta",Mercado_Receita!$L$2:$L$545)+SUMIF(Mercado_Receita!$S$2:$S$545,"44682B1ConvencionalResidencialResidencial baixa renda – faixa 04Não se aplicaNão se aplicaIntermediário",Mercado_Receita!$L$2:$L$545)+SUMIF(Mercado_Receita!$S$2:$S$545,"44682B1ConvencionalResidencialResidencial baixa renda – faixa 04Não se aplicaNão se aplicaNão se aplica",Mercado_Receita!$L$2:$L$545)</f>
        <v>0.85499999999999998</v>
      </c>
      <c r="T21" s="13">
        <f>SUMIF(Mercado_Receita!$S$2:$S$545,"44713B1ConvencionalResidencialResidencial baixa renda – faixa 04Não se aplicaNão se aplicaPonta",Mercado_Receita!$L$2:$L$545)+SUMIF(Mercado_Receita!$S$2:$S$545,"44713B1ConvencionalResidencialResidencial baixa renda – faixa 04Não se aplicaNão se aplicaFora ponta",Mercado_Receita!$L$2:$L$545)+SUMIF(Mercado_Receita!$S$2:$S$545,"44713B1ConvencionalResidencialResidencial baixa renda – faixa 04Não se aplicaNão se aplicaIntermediário",Mercado_Receita!$L$2:$L$545)+SUMIF(Mercado_Receita!$S$2:$S$545,"44713B1ConvencionalResidencialResidencial baixa renda – faixa 04Não se aplicaNão se aplicaNão se aplica",Mercado_Receita!$L$2:$L$545)</f>
        <v>1.321</v>
      </c>
      <c r="U21" s="13">
        <f t="shared" si="0"/>
        <v>10.074999999999999</v>
      </c>
      <c r="V21" s="13"/>
      <c r="W21" s="13"/>
    </row>
    <row r="22" spans="1:23" ht="11.25" customHeight="1" x14ac:dyDescent="0.25">
      <c r="A22" s="95"/>
      <c r="B22" s="94" t="s">
        <v>88</v>
      </c>
      <c r="C22" s="94" t="s">
        <v>24</v>
      </c>
      <c r="D22" s="12" t="s">
        <v>24</v>
      </c>
      <c r="E22" s="12" t="s">
        <v>25</v>
      </c>
      <c r="F22" s="12" t="s">
        <v>25</v>
      </c>
      <c r="G22" s="13" t="s">
        <v>77</v>
      </c>
      <c r="H22" s="13" t="s">
        <v>73</v>
      </c>
      <c r="I22" s="13">
        <f>SUMIF(Mercado_Receita!$S$2:$S$545,"44378B1Convencional pré-pagamentoResidencialResidencialNão se aplicaNão se aplicaPonta",Mercado_Receita!$L$2:$L$545)+SUMIF(Mercado_Receita!$S$2:$S$545,"44378B1Convencional pré-pagamentoResidencialResidencialNão se aplicaNão se aplicaFora ponta",Mercado_Receita!$L$2:$L$545)+SUMIF(Mercado_Receita!$S$2:$S$545,"44378B1Convencional pré-pagamentoResidencialResidencialNão se aplicaNão se aplicaIntermediário",Mercado_Receita!$L$2:$L$545)+SUMIF(Mercado_Receita!$S$2:$S$545,"44378B1Convencional pré-pagamentoResidencialResidencialNão se aplicaNão se aplicaNão se aplica",Mercado_Receita!$L$2:$L$545)</f>
        <v>0</v>
      </c>
      <c r="J22" s="13">
        <f>SUMIF(Mercado_Receita!$S$2:$S$545,"44409B1Convencional pré-pagamentoResidencialResidencialNão se aplicaNão se aplicaPonta",Mercado_Receita!$L$2:$L$545)+SUMIF(Mercado_Receita!$S$2:$S$545,"44409B1Convencional pré-pagamentoResidencialResidencialNão se aplicaNão se aplicaFora ponta",Mercado_Receita!$L$2:$L$545)+SUMIF(Mercado_Receita!$S$2:$S$545,"44409B1Convencional pré-pagamentoResidencialResidencialNão se aplicaNão se aplicaIntermediário",Mercado_Receita!$L$2:$L$545)+SUMIF(Mercado_Receita!$S$2:$S$545,"44409B1Convencional pré-pagamentoResidencialResidencialNão se aplicaNão se aplicaNão se aplica",Mercado_Receita!$L$2:$L$545)</f>
        <v>0</v>
      </c>
      <c r="K22" s="13">
        <f>SUMIF(Mercado_Receita!$S$2:$S$545,"44440B1Convencional pré-pagamentoResidencialResidencialNão se aplicaNão se aplicaPonta",Mercado_Receita!$L$2:$L$545)+SUMIF(Mercado_Receita!$S$2:$S$545,"44440B1Convencional pré-pagamentoResidencialResidencialNão se aplicaNão se aplicaFora ponta",Mercado_Receita!$L$2:$L$545)+SUMIF(Mercado_Receita!$S$2:$S$545,"44440B1Convencional pré-pagamentoResidencialResidencialNão se aplicaNão se aplicaIntermediário",Mercado_Receita!$L$2:$L$545)+SUMIF(Mercado_Receita!$S$2:$S$545,"44440B1Convencional pré-pagamentoResidencialResidencialNão se aplicaNão se aplicaNão se aplica",Mercado_Receita!$L$2:$L$545)</f>
        <v>0</v>
      </c>
      <c r="L22" s="13">
        <f>SUMIF(Mercado_Receita!$S$2:$S$545,"44470B1Convencional pré-pagamentoResidencialResidencialNão se aplicaNão se aplicaPonta",Mercado_Receita!$L$2:$L$545)+SUMIF(Mercado_Receita!$S$2:$S$545,"44470B1Convencional pré-pagamentoResidencialResidencialNão se aplicaNão se aplicaFora ponta",Mercado_Receita!$L$2:$L$545)+SUMIF(Mercado_Receita!$S$2:$S$545,"44470B1Convencional pré-pagamentoResidencialResidencialNão se aplicaNão se aplicaIntermediário",Mercado_Receita!$L$2:$L$545)+SUMIF(Mercado_Receita!$S$2:$S$545,"44470B1Convencional pré-pagamentoResidencialResidencialNão se aplicaNão se aplicaNão se aplica",Mercado_Receita!$L$2:$L$545)</f>
        <v>0</v>
      </c>
      <c r="M22" s="13">
        <f>SUMIF(Mercado_Receita!$S$2:$S$545,"44501B1Convencional pré-pagamentoResidencialResidencialNão se aplicaNão se aplicaPonta",Mercado_Receita!$L$2:$L$545)+SUMIF(Mercado_Receita!$S$2:$S$545,"44501B1Convencional pré-pagamentoResidencialResidencialNão se aplicaNão se aplicaFora ponta",Mercado_Receita!$L$2:$L$545)+SUMIF(Mercado_Receita!$S$2:$S$545,"44501B1Convencional pré-pagamentoResidencialResidencialNão se aplicaNão se aplicaIntermediário",Mercado_Receita!$L$2:$L$545)+SUMIF(Mercado_Receita!$S$2:$S$545,"44501B1Convencional pré-pagamentoResidencialResidencialNão se aplicaNão se aplicaNão se aplica",Mercado_Receita!$L$2:$L$545)</f>
        <v>0</v>
      </c>
      <c r="N22" s="13">
        <f>SUMIF(Mercado_Receita!$S$2:$S$545,"44531B1Convencional pré-pagamentoResidencialResidencialNão se aplicaNão se aplicaPonta",Mercado_Receita!$L$2:$L$545)+SUMIF(Mercado_Receita!$S$2:$S$545,"44531B1Convencional pré-pagamentoResidencialResidencialNão se aplicaNão se aplicaFora ponta",Mercado_Receita!$L$2:$L$545)+SUMIF(Mercado_Receita!$S$2:$S$545,"44531B1Convencional pré-pagamentoResidencialResidencialNão se aplicaNão se aplicaIntermediário",Mercado_Receita!$L$2:$L$545)+SUMIF(Mercado_Receita!$S$2:$S$545,"44531B1Convencional pré-pagamentoResidencialResidencialNão se aplicaNão se aplicaNão se aplica",Mercado_Receita!$L$2:$L$545)</f>
        <v>0</v>
      </c>
      <c r="O22" s="13">
        <f>SUMIF(Mercado_Receita!$S$2:$S$545,"44562B1Convencional pré-pagamentoResidencialResidencialNão se aplicaNão se aplicaPonta",Mercado_Receita!$L$2:$L$545)+SUMIF(Mercado_Receita!$S$2:$S$545,"44562B1Convencional pré-pagamentoResidencialResidencialNão se aplicaNão se aplicaFora ponta",Mercado_Receita!$L$2:$L$545)+SUMIF(Mercado_Receita!$S$2:$S$545,"44562B1Convencional pré-pagamentoResidencialResidencialNão se aplicaNão se aplicaIntermediário",Mercado_Receita!$L$2:$L$545)+SUMIF(Mercado_Receita!$S$2:$S$545,"44562B1Convencional pré-pagamentoResidencialResidencialNão se aplicaNão se aplicaNão se aplica",Mercado_Receita!$L$2:$L$545)</f>
        <v>0</v>
      </c>
      <c r="P22" s="13">
        <f>SUMIF(Mercado_Receita!$S$2:$S$545,"44593B1Convencional pré-pagamentoResidencialResidencialNão se aplicaNão se aplicaPonta",Mercado_Receita!$L$2:$L$545)+SUMIF(Mercado_Receita!$S$2:$S$545,"44593B1Convencional pré-pagamentoResidencialResidencialNão se aplicaNão se aplicaFora ponta",Mercado_Receita!$L$2:$L$545)+SUMIF(Mercado_Receita!$S$2:$S$545,"44593B1Convencional pré-pagamentoResidencialResidencialNão se aplicaNão se aplicaIntermediário",Mercado_Receita!$L$2:$L$545)+SUMIF(Mercado_Receita!$S$2:$S$545,"44593B1Convencional pré-pagamentoResidencialResidencialNão se aplicaNão se aplicaNão se aplica",Mercado_Receita!$L$2:$L$545)</f>
        <v>0</v>
      </c>
      <c r="Q22" s="13">
        <f>SUMIF(Mercado_Receita!$S$2:$S$545,"44621B1Convencional pré-pagamentoResidencialResidencialNão se aplicaNão se aplicaPonta",Mercado_Receita!$L$2:$L$545)+SUMIF(Mercado_Receita!$S$2:$S$545,"44621B1Convencional pré-pagamentoResidencialResidencialNão se aplicaNão se aplicaFora ponta",Mercado_Receita!$L$2:$L$545)+SUMIF(Mercado_Receita!$S$2:$S$545,"44621B1Convencional pré-pagamentoResidencialResidencialNão se aplicaNão se aplicaIntermediário",Mercado_Receita!$L$2:$L$545)+SUMIF(Mercado_Receita!$S$2:$S$545,"44621B1Convencional pré-pagamentoResidencialResidencialNão se aplicaNão se aplicaNão se aplica",Mercado_Receita!$L$2:$L$545)</f>
        <v>0</v>
      </c>
      <c r="R22" s="13">
        <f>SUMIF(Mercado_Receita!$S$2:$S$545,"44652B1Convencional pré-pagamentoResidencialResidencialNão se aplicaNão se aplicaPonta",Mercado_Receita!$L$2:$L$545)+SUMIF(Mercado_Receita!$S$2:$S$545,"44652B1Convencional pré-pagamentoResidencialResidencialNão se aplicaNão se aplicaFora ponta",Mercado_Receita!$L$2:$L$545)+SUMIF(Mercado_Receita!$S$2:$S$545,"44652B1Convencional pré-pagamentoResidencialResidencialNão se aplicaNão se aplicaIntermediário",Mercado_Receita!$L$2:$L$545)+SUMIF(Mercado_Receita!$S$2:$S$545,"44652B1Convencional pré-pagamentoResidencialResidencialNão se aplicaNão se aplicaNão se aplica",Mercado_Receita!$L$2:$L$545)</f>
        <v>0</v>
      </c>
      <c r="S22" s="13">
        <f>SUMIF(Mercado_Receita!$S$2:$S$545,"44682B1Convencional pré-pagamentoResidencialResidencialNão se aplicaNão se aplicaPonta",Mercado_Receita!$L$2:$L$545)+SUMIF(Mercado_Receita!$S$2:$S$545,"44682B1Convencional pré-pagamentoResidencialResidencialNão se aplicaNão se aplicaFora ponta",Mercado_Receita!$L$2:$L$545)+SUMIF(Mercado_Receita!$S$2:$S$545,"44682B1Convencional pré-pagamentoResidencialResidencialNão se aplicaNão se aplicaIntermediário",Mercado_Receita!$L$2:$L$545)+SUMIF(Mercado_Receita!$S$2:$S$545,"44682B1Convencional pré-pagamentoResidencialResidencialNão se aplicaNão se aplicaNão se aplica",Mercado_Receita!$L$2:$L$545)</f>
        <v>0</v>
      </c>
      <c r="T22" s="13">
        <f>SUMIF(Mercado_Receita!$S$2:$S$545,"44713B1Convencional pré-pagamentoResidencialResidencialNão se aplicaNão se aplicaPonta",Mercado_Receita!$L$2:$L$545)+SUMIF(Mercado_Receita!$S$2:$S$545,"44713B1Convencional pré-pagamentoResidencialResidencialNão se aplicaNão se aplicaFora ponta",Mercado_Receita!$L$2:$L$545)+SUMIF(Mercado_Receita!$S$2:$S$545,"44713B1Convencional pré-pagamentoResidencialResidencialNão se aplicaNão se aplicaIntermediário",Mercado_Receita!$L$2:$L$545)+SUMIF(Mercado_Receita!$S$2:$S$545,"44713B1Convencional pré-pagamentoResidencialResidencialNão se aplicaNão se aplicaNão se aplica",Mercado_Receita!$L$2:$L$545)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95"/>
      <c r="B23" s="95"/>
      <c r="C23" s="95"/>
      <c r="D23" s="12" t="s">
        <v>29</v>
      </c>
      <c r="E23" s="12" t="s">
        <v>25</v>
      </c>
      <c r="F23" s="12" t="s">
        <v>25</v>
      </c>
      <c r="G23" s="13" t="s">
        <v>77</v>
      </c>
      <c r="H23" s="13" t="s">
        <v>73</v>
      </c>
      <c r="I23" s="13">
        <f>SUMIF(Mercado_Receita!$S$2:$S$545,"44378B1Convencional pré-pagamentoResidencialResidencial baixa renda – faixa 01Não se aplicaNão se aplicaPonta",Mercado_Receita!$L$2:$L$545)+SUMIF(Mercado_Receita!$S$2:$S$545,"44378B1Convencional pré-pagamentoResidencialResidencial baixa renda – faixa 01Não se aplicaNão se aplicaFora ponta",Mercado_Receita!$L$2:$L$545)+SUMIF(Mercado_Receita!$S$2:$S$545,"44378B1Convencional pré-pagamentoResidencialResidencial baixa renda – faixa 01Não se aplicaNão se aplicaIntermediário",Mercado_Receita!$L$2:$L$545)+SUMIF(Mercado_Receita!$S$2:$S$545,"44378B1Convencional pré-pagamentoResidencialResidencial baixa renda – faixa 01Não se aplicaNão se aplicaNão se aplica",Mercado_Receita!$L$2:$L$545)</f>
        <v>0</v>
      </c>
      <c r="J23" s="13">
        <f>SUMIF(Mercado_Receita!$S$2:$S$545,"44409B1Convencional pré-pagamentoResidencialResidencial baixa renda – faixa 01Não se aplicaNão se aplicaPonta",Mercado_Receita!$L$2:$L$545)+SUMIF(Mercado_Receita!$S$2:$S$545,"44409B1Convencional pré-pagamentoResidencialResidencial baixa renda – faixa 01Não se aplicaNão se aplicaFora ponta",Mercado_Receita!$L$2:$L$545)+SUMIF(Mercado_Receita!$S$2:$S$545,"44409B1Convencional pré-pagamentoResidencialResidencial baixa renda – faixa 01Não se aplicaNão se aplicaIntermediário",Mercado_Receita!$L$2:$L$545)+SUMIF(Mercado_Receita!$S$2:$S$545,"44409B1Convencional pré-pagamentoResidencialResidencial baixa renda – faixa 01Não se aplicaNão se aplicaNão se aplica",Mercado_Receita!$L$2:$L$545)</f>
        <v>0</v>
      </c>
      <c r="K23" s="13">
        <f>SUMIF(Mercado_Receita!$S$2:$S$545,"44440B1Convencional pré-pagamentoResidencialResidencial baixa renda – faixa 01Não se aplicaNão se aplicaPonta",Mercado_Receita!$L$2:$L$545)+SUMIF(Mercado_Receita!$S$2:$S$545,"44440B1Convencional pré-pagamentoResidencialResidencial baixa renda – faixa 01Não se aplicaNão se aplicaFora ponta",Mercado_Receita!$L$2:$L$545)+SUMIF(Mercado_Receita!$S$2:$S$545,"44440B1Convencional pré-pagamentoResidencialResidencial baixa renda – faixa 01Não se aplicaNão se aplicaIntermediário",Mercado_Receita!$L$2:$L$545)+SUMIF(Mercado_Receita!$S$2:$S$545,"44440B1Convencional pré-pagamentoResidencialResidencial baixa renda – faixa 01Não se aplicaNão se aplicaNão se aplica",Mercado_Receita!$L$2:$L$545)</f>
        <v>0</v>
      </c>
      <c r="L23" s="13">
        <f>SUMIF(Mercado_Receita!$S$2:$S$545,"44470B1Convencional pré-pagamentoResidencialResidencial baixa renda – faixa 01Não se aplicaNão se aplicaPonta",Mercado_Receita!$L$2:$L$545)+SUMIF(Mercado_Receita!$S$2:$S$545,"44470B1Convencional pré-pagamentoResidencialResidencial baixa renda – faixa 01Não se aplicaNão se aplicaFora ponta",Mercado_Receita!$L$2:$L$545)+SUMIF(Mercado_Receita!$S$2:$S$545,"44470B1Convencional pré-pagamentoResidencialResidencial baixa renda – faixa 01Não se aplicaNão se aplicaIntermediário",Mercado_Receita!$L$2:$L$545)+SUMIF(Mercado_Receita!$S$2:$S$545,"44470B1Convencional pré-pagamentoResidencialResidencial baixa renda – faixa 01Não se aplicaNão se aplicaNão se aplica",Mercado_Receita!$L$2:$L$545)</f>
        <v>0</v>
      </c>
      <c r="M23" s="13">
        <f>SUMIF(Mercado_Receita!$S$2:$S$545,"44501B1Convencional pré-pagamentoResidencialResidencial baixa renda – faixa 01Não se aplicaNão se aplicaPonta",Mercado_Receita!$L$2:$L$545)+SUMIF(Mercado_Receita!$S$2:$S$545,"44501B1Convencional pré-pagamentoResidencialResidencial baixa renda – faixa 01Não se aplicaNão se aplicaFora ponta",Mercado_Receita!$L$2:$L$545)+SUMIF(Mercado_Receita!$S$2:$S$545,"44501B1Convencional pré-pagamentoResidencialResidencial baixa renda – faixa 01Não se aplicaNão se aplicaIntermediário",Mercado_Receita!$L$2:$L$545)+SUMIF(Mercado_Receita!$S$2:$S$545,"44501B1Convencional pré-pagamentoResidencialResidencial baixa renda – faixa 01Não se aplicaNão se aplicaNão se aplica",Mercado_Receita!$L$2:$L$545)</f>
        <v>0</v>
      </c>
      <c r="N23" s="13">
        <f>SUMIF(Mercado_Receita!$S$2:$S$545,"44531B1Convencional pré-pagamentoResidencialResidencial baixa renda – faixa 01Não se aplicaNão se aplicaPonta",Mercado_Receita!$L$2:$L$545)+SUMIF(Mercado_Receita!$S$2:$S$545,"44531B1Convencional pré-pagamentoResidencialResidencial baixa renda – faixa 01Não se aplicaNão se aplicaFora ponta",Mercado_Receita!$L$2:$L$545)+SUMIF(Mercado_Receita!$S$2:$S$545,"44531B1Convencional pré-pagamentoResidencialResidencial baixa renda – faixa 01Não se aplicaNão se aplicaIntermediário",Mercado_Receita!$L$2:$L$545)+SUMIF(Mercado_Receita!$S$2:$S$545,"44531B1Convencional pré-pagamentoResidencialResidencial baixa renda – faixa 01Não se aplicaNão se aplicaNão se aplica",Mercado_Receita!$L$2:$L$545)</f>
        <v>0</v>
      </c>
      <c r="O23" s="13">
        <f>SUMIF(Mercado_Receita!$S$2:$S$545,"44562B1Convencional pré-pagamentoResidencialResidencial baixa renda – faixa 01Não se aplicaNão se aplicaPonta",Mercado_Receita!$L$2:$L$545)+SUMIF(Mercado_Receita!$S$2:$S$545,"44562B1Convencional pré-pagamentoResidencialResidencial baixa renda – faixa 01Não se aplicaNão se aplicaFora ponta",Mercado_Receita!$L$2:$L$545)+SUMIF(Mercado_Receita!$S$2:$S$545,"44562B1Convencional pré-pagamentoResidencialResidencial baixa renda – faixa 01Não se aplicaNão se aplicaIntermediário",Mercado_Receita!$L$2:$L$545)+SUMIF(Mercado_Receita!$S$2:$S$545,"44562B1Convencional pré-pagamentoResidencialResidencial baixa renda – faixa 01Não se aplicaNão se aplicaNão se aplica",Mercado_Receita!$L$2:$L$545)</f>
        <v>0</v>
      </c>
      <c r="P23" s="13">
        <f>SUMIF(Mercado_Receita!$S$2:$S$545,"44593B1Convencional pré-pagamentoResidencialResidencial baixa renda – faixa 01Não se aplicaNão se aplicaPonta",Mercado_Receita!$L$2:$L$545)+SUMIF(Mercado_Receita!$S$2:$S$545,"44593B1Convencional pré-pagamentoResidencialResidencial baixa renda – faixa 01Não se aplicaNão se aplicaFora ponta",Mercado_Receita!$L$2:$L$545)+SUMIF(Mercado_Receita!$S$2:$S$545,"44593B1Convencional pré-pagamentoResidencialResidencial baixa renda – faixa 01Não se aplicaNão se aplicaIntermediário",Mercado_Receita!$L$2:$L$545)+SUMIF(Mercado_Receita!$S$2:$S$545,"44593B1Convencional pré-pagamentoResidencialResidencial baixa renda – faixa 01Não se aplicaNão se aplicaNão se aplica",Mercado_Receita!$L$2:$L$545)</f>
        <v>0</v>
      </c>
      <c r="Q23" s="13">
        <f>SUMIF(Mercado_Receita!$S$2:$S$545,"44621B1Convencional pré-pagamentoResidencialResidencial baixa renda – faixa 01Não se aplicaNão se aplicaPonta",Mercado_Receita!$L$2:$L$545)+SUMIF(Mercado_Receita!$S$2:$S$545,"44621B1Convencional pré-pagamentoResidencialResidencial baixa renda – faixa 01Não se aplicaNão se aplicaFora ponta",Mercado_Receita!$L$2:$L$545)+SUMIF(Mercado_Receita!$S$2:$S$545,"44621B1Convencional pré-pagamentoResidencialResidencial baixa renda – faixa 01Não se aplicaNão se aplicaIntermediário",Mercado_Receita!$L$2:$L$545)+SUMIF(Mercado_Receita!$S$2:$S$545,"44621B1Convencional pré-pagamentoResidencialResidencial baixa renda – faixa 01Não se aplicaNão se aplicaNão se aplica",Mercado_Receita!$L$2:$L$545)</f>
        <v>0</v>
      </c>
      <c r="R23" s="13">
        <f>SUMIF(Mercado_Receita!$S$2:$S$545,"44652B1Convencional pré-pagamentoResidencialResidencial baixa renda – faixa 01Não se aplicaNão se aplicaPonta",Mercado_Receita!$L$2:$L$545)+SUMIF(Mercado_Receita!$S$2:$S$545,"44652B1Convencional pré-pagamentoResidencialResidencial baixa renda – faixa 01Não se aplicaNão se aplicaFora ponta",Mercado_Receita!$L$2:$L$545)+SUMIF(Mercado_Receita!$S$2:$S$545,"44652B1Convencional pré-pagamentoResidencialResidencial baixa renda – faixa 01Não se aplicaNão se aplicaIntermediário",Mercado_Receita!$L$2:$L$545)+SUMIF(Mercado_Receita!$S$2:$S$545,"44652B1Convencional pré-pagamentoResidencialResidencial baixa renda – faixa 01Não se aplicaNão se aplicaNão se aplica",Mercado_Receita!$L$2:$L$545)</f>
        <v>0</v>
      </c>
      <c r="S23" s="13">
        <f>SUMIF(Mercado_Receita!$S$2:$S$545,"44682B1Convencional pré-pagamentoResidencialResidencial baixa renda – faixa 01Não se aplicaNão se aplicaPonta",Mercado_Receita!$L$2:$L$545)+SUMIF(Mercado_Receita!$S$2:$S$545,"44682B1Convencional pré-pagamentoResidencialResidencial baixa renda – faixa 01Não se aplicaNão se aplicaFora ponta",Mercado_Receita!$L$2:$L$545)+SUMIF(Mercado_Receita!$S$2:$S$545,"44682B1Convencional pré-pagamentoResidencialResidencial baixa renda – faixa 01Não se aplicaNão se aplicaIntermediário",Mercado_Receita!$L$2:$L$545)+SUMIF(Mercado_Receita!$S$2:$S$545,"44682B1Convencional pré-pagamentoResidencialResidencial baixa renda – faixa 01Não se aplicaNão se aplicaNão se aplica",Mercado_Receita!$L$2:$L$545)</f>
        <v>0</v>
      </c>
      <c r="T23" s="13">
        <f>SUMIF(Mercado_Receita!$S$2:$S$545,"44713B1Convencional pré-pagamentoResidencialResidencial baixa renda – faixa 01Não se aplicaNão se aplicaPonta",Mercado_Receita!$L$2:$L$545)+SUMIF(Mercado_Receita!$S$2:$S$545,"44713B1Convencional pré-pagamentoResidencialResidencial baixa renda – faixa 01Não se aplicaNão se aplicaFora ponta",Mercado_Receita!$L$2:$L$545)+SUMIF(Mercado_Receita!$S$2:$S$545,"44713B1Convencional pré-pagamentoResidencialResidencial baixa renda – faixa 01Não se aplicaNão se aplicaIntermediário",Mercado_Receita!$L$2:$L$545)+SUMIF(Mercado_Receita!$S$2:$S$545,"44713B1Convencional pré-pagamentoResidencialResidencial baixa renda – faixa 01Não se aplicaNão se aplicaNão se aplica",Mercado_Receita!$L$2:$L$545)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95"/>
      <c r="B24" s="95"/>
      <c r="C24" s="95"/>
      <c r="D24" s="12" t="s">
        <v>30</v>
      </c>
      <c r="E24" s="12" t="s">
        <v>25</v>
      </c>
      <c r="F24" s="12" t="s">
        <v>25</v>
      </c>
      <c r="G24" s="13" t="s">
        <v>77</v>
      </c>
      <c r="H24" s="13" t="s">
        <v>73</v>
      </c>
      <c r="I24" s="13">
        <f>SUMIF(Mercado_Receita!$S$2:$S$545,"44378B1Convencional pré-pagamentoResidencialResidencial baixa renda – faixa 02Não se aplicaNão se aplicaPonta",Mercado_Receita!$L$2:$L$545)+SUMIF(Mercado_Receita!$S$2:$S$545,"44378B1Convencional pré-pagamentoResidencialResidencial baixa renda – faixa 02Não se aplicaNão se aplicaFora ponta",Mercado_Receita!$L$2:$L$545)+SUMIF(Mercado_Receita!$S$2:$S$545,"44378B1Convencional pré-pagamentoResidencialResidencial baixa renda – faixa 02Não se aplicaNão se aplicaIntermediário",Mercado_Receita!$L$2:$L$545)+SUMIF(Mercado_Receita!$S$2:$S$545,"44378B1Convencional pré-pagamentoResidencialResidencial baixa renda – faixa 02Não se aplicaNão se aplicaNão se aplica",Mercado_Receita!$L$2:$L$545)</f>
        <v>0</v>
      </c>
      <c r="J24" s="13">
        <f>SUMIF(Mercado_Receita!$S$2:$S$545,"44409B1Convencional pré-pagamentoResidencialResidencial baixa renda – faixa 02Não se aplicaNão se aplicaPonta",Mercado_Receita!$L$2:$L$545)+SUMIF(Mercado_Receita!$S$2:$S$545,"44409B1Convencional pré-pagamentoResidencialResidencial baixa renda – faixa 02Não se aplicaNão se aplicaFora ponta",Mercado_Receita!$L$2:$L$545)+SUMIF(Mercado_Receita!$S$2:$S$545,"44409B1Convencional pré-pagamentoResidencialResidencial baixa renda – faixa 02Não se aplicaNão se aplicaIntermediário",Mercado_Receita!$L$2:$L$545)+SUMIF(Mercado_Receita!$S$2:$S$545,"44409B1Convencional pré-pagamentoResidencialResidencial baixa renda – faixa 02Não se aplicaNão se aplicaNão se aplica",Mercado_Receita!$L$2:$L$545)</f>
        <v>0</v>
      </c>
      <c r="K24" s="13">
        <f>SUMIF(Mercado_Receita!$S$2:$S$545,"44440B1Convencional pré-pagamentoResidencialResidencial baixa renda – faixa 02Não se aplicaNão se aplicaPonta",Mercado_Receita!$L$2:$L$545)+SUMIF(Mercado_Receita!$S$2:$S$545,"44440B1Convencional pré-pagamentoResidencialResidencial baixa renda – faixa 02Não se aplicaNão se aplicaFora ponta",Mercado_Receita!$L$2:$L$545)+SUMIF(Mercado_Receita!$S$2:$S$545,"44440B1Convencional pré-pagamentoResidencialResidencial baixa renda – faixa 02Não se aplicaNão se aplicaIntermediário",Mercado_Receita!$L$2:$L$545)+SUMIF(Mercado_Receita!$S$2:$S$545,"44440B1Convencional pré-pagamentoResidencialResidencial baixa renda – faixa 02Não se aplicaNão se aplicaNão se aplica",Mercado_Receita!$L$2:$L$545)</f>
        <v>0</v>
      </c>
      <c r="L24" s="13">
        <f>SUMIF(Mercado_Receita!$S$2:$S$545,"44470B1Convencional pré-pagamentoResidencialResidencial baixa renda – faixa 02Não se aplicaNão se aplicaPonta",Mercado_Receita!$L$2:$L$545)+SUMIF(Mercado_Receita!$S$2:$S$545,"44470B1Convencional pré-pagamentoResidencialResidencial baixa renda – faixa 02Não se aplicaNão se aplicaFora ponta",Mercado_Receita!$L$2:$L$545)+SUMIF(Mercado_Receita!$S$2:$S$545,"44470B1Convencional pré-pagamentoResidencialResidencial baixa renda – faixa 02Não se aplicaNão se aplicaIntermediário",Mercado_Receita!$L$2:$L$545)+SUMIF(Mercado_Receita!$S$2:$S$545,"44470B1Convencional pré-pagamentoResidencialResidencial baixa renda – faixa 02Não se aplicaNão se aplicaNão se aplica",Mercado_Receita!$L$2:$L$545)</f>
        <v>0</v>
      </c>
      <c r="M24" s="13">
        <f>SUMIF(Mercado_Receita!$S$2:$S$545,"44501B1Convencional pré-pagamentoResidencialResidencial baixa renda – faixa 02Não se aplicaNão se aplicaPonta",Mercado_Receita!$L$2:$L$545)+SUMIF(Mercado_Receita!$S$2:$S$545,"44501B1Convencional pré-pagamentoResidencialResidencial baixa renda – faixa 02Não se aplicaNão se aplicaFora ponta",Mercado_Receita!$L$2:$L$545)+SUMIF(Mercado_Receita!$S$2:$S$545,"44501B1Convencional pré-pagamentoResidencialResidencial baixa renda – faixa 02Não se aplicaNão se aplicaIntermediário",Mercado_Receita!$L$2:$L$545)+SUMIF(Mercado_Receita!$S$2:$S$545,"44501B1Convencional pré-pagamentoResidencialResidencial baixa renda – faixa 02Não se aplicaNão se aplicaNão se aplica",Mercado_Receita!$L$2:$L$545)</f>
        <v>0</v>
      </c>
      <c r="N24" s="13">
        <f>SUMIF(Mercado_Receita!$S$2:$S$545,"44531B1Convencional pré-pagamentoResidencialResidencial baixa renda – faixa 02Não se aplicaNão se aplicaPonta",Mercado_Receita!$L$2:$L$545)+SUMIF(Mercado_Receita!$S$2:$S$545,"44531B1Convencional pré-pagamentoResidencialResidencial baixa renda – faixa 02Não se aplicaNão se aplicaFora ponta",Mercado_Receita!$L$2:$L$545)+SUMIF(Mercado_Receita!$S$2:$S$545,"44531B1Convencional pré-pagamentoResidencialResidencial baixa renda – faixa 02Não se aplicaNão se aplicaIntermediário",Mercado_Receita!$L$2:$L$545)+SUMIF(Mercado_Receita!$S$2:$S$545,"44531B1Convencional pré-pagamentoResidencialResidencial baixa renda – faixa 02Não se aplicaNão se aplicaNão se aplica",Mercado_Receita!$L$2:$L$545)</f>
        <v>0</v>
      </c>
      <c r="O24" s="13">
        <f>SUMIF(Mercado_Receita!$S$2:$S$545,"44562B1Convencional pré-pagamentoResidencialResidencial baixa renda – faixa 02Não se aplicaNão se aplicaPonta",Mercado_Receita!$L$2:$L$545)+SUMIF(Mercado_Receita!$S$2:$S$545,"44562B1Convencional pré-pagamentoResidencialResidencial baixa renda – faixa 02Não se aplicaNão se aplicaFora ponta",Mercado_Receita!$L$2:$L$545)+SUMIF(Mercado_Receita!$S$2:$S$545,"44562B1Convencional pré-pagamentoResidencialResidencial baixa renda – faixa 02Não se aplicaNão se aplicaIntermediário",Mercado_Receita!$L$2:$L$545)+SUMIF(Mercado_Receita!$S$2:$S$545,"44562B1Convencional pré-pagamentoResidencialResidencial baixa renda – faixa 02Não se aplicaNão se aplicaNão se aplica",Mercado_Receita!$L$2:$L$545)</f>
        <v>0</v>
      </c>
      <c r="P24" s="13">
        <f>SUMIF(Mercado_Receita!$S$2:$S$545,"44593B1Convencional pré-pagamentoResidencialResidencial baixa renda – faixa 02Não se aplicaNão se aplicaPonta",Mercado_Receita!$L$2:$L$545)+SUMIF(Mercado_Receita!$S$2:$S$545,"44593B1Convencional pré-pagamentoResidencialResidencial baixa renda – faixa 02Não se aplicaNão se aplicaFora ponta",Mercado_Receita!$L$2:$L$545)+SUMIF(Mercado_Receita!$S$2:$S$545,"44593B1Convencional pré-pagamentoResidencialResidencial baixa renda – faixa 02Não se aplicaNão se aplicaIntermediário",Mercado_Receita!$L$2:$L$545)+SUMIF(Mercado_Receita!$S$2:$S$545,"44593B1Convencional pré-pagamentoResidencialResidencial baixa renda – faixa 02Não se aplicaNão se aplicaNão se aplica",Mercado_Receita!$L$2:$L$545)</f>
        <v>0</v>
      </c>
      <c r="Q24" s="13">
        <f>SUMIF(Mercado_Receita!$S$2:$S$545,"44621B1Convencional pré-pagamentoResidencialResidencial baixa renda – faixa 02Não se aplicaNão se aplicaPonta",Mercado_Receita!$L$2:$L$545)+SUMIF(Mercado_Receita!$S$2:$S$545,"44621B1Convencional pré-pagamentoResidencialResidencial baixa renda – faixa 02Não se aplicaNão se aplicaFora ponta",Mercado_Receita!$L$2:$L$545)+SUMIF(Mercado_Receita!$S$2:$S$545,"44621B1Convencional pré-pagamentoResidencialResidencial baixa renda – faixa 02Não se aplicaNão se aplicaIntermediário",Mercado_Receita!$L$2:$L$545)+SUMIF(Mercado_Receita!$S$2:$S$545,"44621B1Convencional pré-pagamentoResidencialResidencial baixa renda – faixa 02Não se aplicaNão se aplicaNão se aplica",Mercado_Receita!$L$2:$L$545)</f>
        <v>0</v>
      </c>
      <c r="R24" s="13">
        <f>SUMIF(Mercado_Receita!$S$2:$S$545,"44652B1Convencional pré-pagamentoResidencialResidencial baixa renda – faixa 02Não se aplicaNão se aplicaPonta",Mercado_Receita!$L$2:$L$545)+SUMIF(Mercado_Receita!$S$2:$S$545,"44652B1Convencional pré-pagamentoResidencialResidencial baixa renda – faixa 02Não se aplicaNão se aplicaFora ponta",Mercado_Receita!$L$2:$L$545)+SUMIF(Mercado_Receita!$S$2:$S$545,"44652B1Convencional pré-pagamentoResidencialResidencial baixa renda – faixa 02Não se aplicaNão se aplicaIntermediário",Mercado_Receita!$L$2:$L$545)+SUMIF(Mercado_Receita!$S$2:$S$545,"44652B1Convencional pré-pagamentoResidencialResidencial baixa renda – faixa 02Não se aplicaNão se aplicaNão se aplica",Mercado_Receita!$L$2:$L$545)</f>
        <v>0</v>
      </c>
      <c r="S24" s="13">
        <f>SUMIF(Mercado_Receita!$S$2:$S$545,"44682B1Convencional pré-pagamentoResidencialResidencial baixa renda – faixa 02Não se aplicaNão se aplicaPonta",Mercado_Receita!$L$2:$L$545)+SUMIF(Mercado_Receita!$S$2:$S$545,"44682B1Convencional pré-pagamentoResidencialResidencial baixa renda – faixa 02Não se aplicaNão se aplicaFora ponta",Mercado_Receita!$L$2:$L$545)+SUMIF(Mercado_Receita!$S$2:$S$545,"44682B1Convencional pré-pagamentoResidencialResidencial baixa renda – faixa 02Não se aplicaNão se aplicaIntermediário",Mercado_Receita!$L$2:$L$545)+SUMIF(Mercado_Receita!$S$2:$S$545,"44682B1Convencional pré-pagamentoResidencialResidencial baixa renda – faixa 02Não se aplicaNão se aplicaNão se aplica",Mercado_Receita!$L$2:$L$545)</f>
        <v>0</v>
      </c>
      <c r="T24" s="13">
        <f>SUMIF(Mercado_Receita!$S$2:$S$545,"44713B1Convencional pré-pagamentoResidencialResidencial baixa renda – faixa 02Não se aplicaNão se aplicaPonta",Mercado_Receita!$L$2:$L$545)+SUMIF(Mercado_Receita!$S$2:$S$545,"44713B1Convencional pré-pagamentoResidencialResidencial baixa renda – faixa 02Não se aplicaNão se aplicaFora ponta",Mercado_Receita!$L$2:$L$545)+SUMIF(Mercado_Receita!$S$2:$S$545,"44713B1Convencional pré-pagamentoResidencialResidencial baixa renda – faixa 02Não se aplicaNão se aplicaIntermediário",Mercado_Receita!$L$2:$L$545)+SUMIF(Mercado_Receita!$S$2:$S$545,"44713B1Convencional pré-pagamentoResidencialResidencial baixa renda – faixa 02Não se aplicaNão se aplicaNão se aplica",Mercado_Receita!$L$2:$L$545)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95"/>
      <c r="B25" s="95"/>
      <c r="C25" s="95"/>
      <c r="D25" s="12" t="s">
        <v>31</v>
      </c>
      <c r="E25" s="12" t="s">
        <v>25</v>
      </c>
      <c r="F25" s="12" t="s">
        <v>25</v>
      </c>
      <c r="G25" s="13" t="s">
        <v>77</v>
      </c>
      <c r="H25" s="13" t="s">
        <v>73</v>
      </c>
      <c r="I25" s="13">
        <f>SUMIF(Mercado_Receita!$S$2:$S$545,"44378B1Convencional pré-pagamentoResidencialResidencial baixa renda – faixa 03Não se aplicaNão se aplicaPonta",Mercado_Receita!$L$2:$L$545)+SUMIF(Mercado_Receita!$S$2:$S$545,"44378B1Convencional pré-pagamentoResidencialResidencial baixa renda – faixa 03Não se aplicaNão se aplicaFora ponta",Mercado_Receita!$L$2:$L$545)+SUMIF(Mercado_Receita!$S$2:$S$545,"44378B1Convencional pré-pagamentoResidencialResidencial baixa renda – faixa 03Não se aplicaNão se aplicaIntermediário",Mercado_Receita!$L$2:$L$545)+SUMIF(Mercado_Receita!$S$2:$S$545,"44378B1Convencional pré-pagamentoResidencialResidencial baixa renda – faixa 03Não se aplicaNão se aplicaNão se aplica",Mercado_Receita!$L$2:$L$545)</f>
        <v>0</v>
      </c>
      <c r="J25" s="13">
        <f>SUMIF(Mercado_Receita!$S$2:$S$545,"44409B1Convencional pré-pagamentoResidencialResidencial baixa renda – faixa 03Não se aplicaNão se aplicaPonta",Mercado_Receita!$L$2:$L$545)+SUMIF(Mercado_Receita!$S$2:$S$545,"44409B1Convencional pré-pagamentoResidencialResidencial baixa renda – faixa 03Não se aplicaNão se aplicaFora ponta",Mercado_Receita!$L$2:$L$545)+SUMIF(Mercado_Receita!$S$2:$S$545,"44409B1Convencional pré-pagamentoResidencialResidencial baixa renda – faixa 03Não se aplicaNão se aplicaIntermediário",Mercado_Receita!$L$2:$L$545)+SUMIF(Mercado_Receita!$S$2:$S$545,"44409B1Convencional pré-pagamentoResidencialResidencial baixa renda – faixa 03Não se aplicaNão se aplicaNão se aplica",Mercado_Receita!$L$2:$L$545)</f>
        <v>0</v>
      </c>
      <c r="K25" s="13">
        <f>SUMIF(Mercado_Receita!$S$2:$S$545,"44440B1Convencional pré-pagamentoResidencialResidencial baixa renda – faixa 03Não se aplicaNão se aplicaPonta",Mercado_Receita!$L$2:$L$545)+SUMIF(Mercado_Receita!$S$2:$S$545,"44440B1Convencional pré-pagamentoResidencialResidencial baixa renda – faixa 03Não se aplicaNão se aplicaFora ponta",Mercado_Receita!$L$2:$L$545)+SUMIF(Mercado_Receita!$S$2:$S$545,"44440B1Convencional pré-pagamentoResidencialResidencial baixa renda – faixa 03Não se aplicaNão se aplicaIntermediário",Mercado_Receita!$L$2:$L$545)+SUMIF(Mercado_Receita!$S$2:$S$545,"44440B1Convencional pré-pagamentoResidencialResidencial baixa renda – faixa 03Não se aplicaNão se aplicaNão se aplica",Mercado_Receita!$L$2:$L$545)</f>
        <v>0</v>
      </c>
      <c r="L25" s="13">
        <f>SUMIF(Mercado_Receita!$S$2:$S$545,"44470B1Convencional pré-pagamentoResidencialResidencial baixa renda – faixa 03Não se aplicaNão se aplicaPonta",Mercado_Receita!$L$2:$L$545)+SUMIF(Mercado_Receita!$S$2:$S$545,"44470B1Convencional pré-pagamentoResidencialResidencial baixa renda – faixa 03Não se aplicaNão se aplicaFora ponta",Mercado_Receita!$L$2:$L$545)+SUMIF(Mercado_Receita!$S$2:$S$545,"44470B1Convencional pré-pagamentoResidencialResidencial baixa renda – faixa 03Não se aplicaNão se aplicaIntermediário",Mercado_Receita!$L$2:$L$545)+SUMIF(Mercado_Receita!$S$2:$S$545,"44470B1Convencional pré-pagamentoResidencialResidencial baixa renda – faixa 03Não se aplicaNão se aplicaNão se aplica",Mercado_Receita!$L$2:$L$545)</f>
        <v>0</v>
      </c>
      <c r="M25" s="13">
        <f>SUMIF(Mercado_Receita!$S$2:$S$545,"44501B1Convencional pré-pagamentoResidencialResidencial baixa renda – faixa 03Não se aplicaNão se aplicaPonta",Mercado_Receita!$L$2:$L$545)+SUMIF(Mercado_Receita!$S$2:$S$545,"44501B1Convencional pré-pagamentoResidencialResidencial baixa renda – faixa 03Não se aplicaNão se aplicaFora ponta",Mercado_Receita!$L$2:$L$545)+SUMIF(Mercado_Receita!$S$2:$S$545,"44501B1Convencional pré-pagamentoResidencialResidencial baixa renda – faixa 03Não se aplicaNão se aplicaIntermediário",Mercado_Receita!$L$2:$L$545)+SUMIF(Mercado_Receita!$S$2:$S$545,"44501B1Convencional pré-pagamentoResidencialResidencial baixa renda – faixa 03Não se aplicaNão se aplicaNão se aplica",Mercado_Receita!$L$2:$L$545)</f>
        <v>0</v>
      </c>
      <c r="N25" s="13">
        <f>SUMIF(Mercado_Receita!$S$2:$S$545,"44531B1Convencional pré-pagamentoResidencialResidencial baixa renda – faixa 03Não se aplicaNão se aplicaPonta",Mercado_Receita!$L$2:$L$545)+SUMIF(Mercado_Receita!$S$2:$S$545,"44531B1Convencional pré-pagamentoResidencialResidencial baixa renda – faixa 03Não se aplicaNão se aplicaFora ponta",Mercado_Receita!$L$2:$L$545)+SUMIF(Mercado_Receita!$S$2:$S$545,"44531B1Convencional pré-pagamentoResidencialResidencial baixa renda – faixa 03Não se aplicaNão se aplicaIntermediário",Mercado_Receita!$L$2:$L$545)+SUMIF(Mercado_Receita!$S$2:$S$545,"44531B1Convencional pré-pagamentoResidencialResidencial baixa renda – faixa 03Não se aplicaNão se aplicaNão se aplica",Mercado_Receita!$L$2:$L$545)</f>
        <v>0</v>
      </c>
      <c r="O25" s="13">
        <f>SUMIF(Mercado_Receita!$S$2:$S$545,"44562B1Convencional pré-pagamentoResidencialResidencial baixa renda – faixa 03Não se aplicaNão se aplicaPonta",Mercado_Receita!$L$2:$L$545)+SUMIF(Mercado_Receita!$S$2:$S$545,"44562B1Convencional pré-pagamentoResidencialResidencial baixa renda – faixa 03Não se aplicaNão se aplicaFora ponta",Mercado_Receita!$L$2:$L$545)+SUMIF(Mercado_Receita!$S$2:$S$545,"44562B1Convencional pré-pagamentoResidencialResidencial baixa renda – faixa 03Não se aplicaNão se aplicaIntermediário",Mercado_Receita!$L$2:$L$545)+SUMIF(Mercado_Receita!$S$2:$S$545,"44562B1Convencional pré-pagamentoResidencialResidencial baixa renda – faixa 03Não se aplicaNão se aplicaNão se aplica",Mercado_Receita!$L$2:$L$545)</f>
        <v>0</v>
      </c>
      <c r="P25" s="13">
        <f>SUMIF(Mercado_Receita!$S$2:$S$545,"44593B1Convencional pré-pagamentoResidencialResidencial baixa renda – faixa 03Não se aplicaNão se aplicaPonta",Mercado_Receita!$L$2:$L$545)+SUMIF(Mercado_Receita!$S$2:$S$545,"44593B1Convencional pré-pagamentoResidencialResidencial baixa renda – faixa 03Não se aplicaNão se aplicaFora ponta",Mercado_Receita!$L$2:$L$545)+SUMIF(Mercado_Receita!$S$2:$S$545,"44593B1Convencional pré-pagamentoResidencialResidencial baixa renda – faixa 03Não se aplicaNão se aplicaIntermediário",Mercado_Receita!$L$2:$L$545)+SUMIF(Mercado_Receita!$S$2:$S$545,"44593B1Convencional pré-pagamentoResidencialResidencial baixa renda – faixa 03Não se aplicaNão se aplicaNão se aplica",Mercado_Receita!$L$2:$L$545)</f>
        <v>0</v>
      </c>
      <c r="Q25" s="13">
        <f>SUMIF(Mercado_Receita!$S$2:$S$545,"44621B1Convencional pré-pagamentoResidencialResidencial baixa renda – faixa 03Não se aplicaNão se aplicaPonta",Mercado_Receita!$L$2:$L$545)+SUMIF(Mercado_Receita!$S$2:$S$545,"44621B1Convencional pré-pagamentoResidencialResidencial baixa renda – faixa 03Não se aplicaNão se aplicaFora ponta",Mercado_Receita!$L$2:$L$545)+SUMIF(Mercado_Receita!$S$2:$S$545,"44621B1Convencional pré-pagamentoResidencialResidencial baixa renda – faixa 03Não se aplicaNão se aplicaIntermediário",Mercado_Receita!$L$2:$L$545)+SUMIF(Mercado_Receita!$S$2:$S$545,"44621B1Convencional pré-pagamentoResidencialResidencial baixa renda – faixa 03Não se aplicaNão se aplicaNão se aplica",Mercado_Receita!$L$2:$L$545)</f>
        <v>0</v>
      </c>
      <c r="R25" s="13">
        <f>SUMIF(Mercado_Receita!$S$2:$S$545,"44652B1Convencional pré-pagamentoResidencialResidencial baixa renda – faixa 03Não se aplicaNão se aplicaPonta",Mercado_Receita!$L$2:$L$545)+SUMIF(Mercado_Receita!$S$2:$S$545,"44652B1Convencional pré-pagamentoResidencialResidencial baixa renda – faixa 03Não se aplicaNão se aplicaFora ponta",Mercado_Receita!$L$2:$L$545)+SUMIF(Mercado_Receita!$S$2:$S$545,"44652B1Convencional pré-pagamentoResidencialResidencial baixa renda – faixa 03Não se aplicaNão se aplicaIntermediário",Mercado_Receita!$L$2:$L$545)+SUMIF(Mercado_Receita!$S$2:$S$545,"44652B1Convencional pré-pagamentoResidencialResidencial baixa renda – faixa 03Não se aplicaNão se aplicaNão se aplica",Mercado_Receita!$L$2:$L$545)</f>
        <v>0</v>
      </c>
      <c r="S25" s="13">
        <f>SUMIF(Mercado_Receita!$S$2:$S$545,"44682B1Convencional pré-pagamentoResidencialResidencial baixa renda – faixa 03Não se aplicaNão se aplicaPonta",Mercado_Receita!$L$2:$L$545)+SUMIF(Mercado_Receita!$S$2:$S$545,"44682B1Convencional pré-pagamentoResidencialResidencial baixa renda – faixa 03Não se aplicaNão se aplicaFora ponta",Mercado_Receita!$L$2:$L$545)+SUMIF(Mercado_Receita!$S$2:$S$545,"44682B1Convencional pré-pagamentoResidencialResidencial baixa renda – faixa 03Não se aplicaNão se aplicaIntermediário",Mercado_Receita!$L$2:$L$545)+SUMIF(Mercado_Receita!$S$2:$S$545,"44682B1Convencional pré-pagamentoResidencialResidencial baixa renda – faixa 03Não se aplicaNão se aplicaNão se aplica",Mercado_Receita!$L$2:$L$545)</f>
        <v>0</v>
      </c>
      <c r="T25" s="13">
        <f>SUMIF(Mercado_Receita!$S$2:$S$545,"44713B1Convencional pré-pagamentoResidencialResidencial baixa renda – faixa 03Não se aplicaNão se aplicaPonta",Mercado_Receita!$L$2:$L$545)+SUMIF(Mercado_Receita!$S$2:$S$545,"44713B1Convencional pré-pagamentoResidencialResidencial baixa renda – faixa 03Não se aplicaNão se aplicaFora ponta",Mercado_Receita!$L$2:$L$545)+SUMIF(Mercado_Receita!$S$2:$S$545,"44713B1Convencional pré-pagamentoResidencialResidencial baixa renda – faixa 03Não se aplicaNão se aplicaIntermediário",Mercado_Receita!$L$2:$L$545)+SUMIF(Mercado_Receita!$S$2:$S$545,"44713B1Convencional pré-pagamentoResidencialResidencial baixa renda – faixa 03Não se aplicaNão se aplicaNão se aplica",Mercado_Receita!$L$2:$L$545)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95"/>
      <c r="B26" s="95"/>
      <c r="C26" s="95"/>
      <c r="D26" s="12" t="s">
        <v>32</v>
      </c>
      <c r="E26" s="12" t="s">
        <v>25</v>
      </c>
      <c r="F26" s="12" t="s">
        <v>25</v>
      </c>
      <c r="G26" s="13" t="s">
        <v>77</v>
      </c>
      <c r="H26" s="13" t="s">
        <v>73</v>
      </c>
      <c r="I26" s="13">
        <f>SUMIF(Mercado_Receita!$S$2:$S$545,"44378B1Convencional pré-pagamentoResidencialResidencial baixa renda – faixa 04Não se aplicaNão se aplicaPonta",Mercado_Receita!$L$2:$L$545)+SUMIF(Mercado_Receita!$S$2:$S$545,"44378B1Convencional pré-pagamentoResidencialResidencial baixa renda – faixa 04Não se aplicaNão se aplicaFora ponta",Mercado_Receita!$L$2:$L$545)+SUMIF(Mercado_Receita!$S$2:$S$545,"44378B1Convencional pré-pagamentoResidencialResidencial baixa renda – faixa 04Não se aplicaNão se aplicaIntermediário",Mercado_Receita!$L$2:$L$545)+SUMIF(Mercado_Receita!$S$2:$S$545,"44378B1Convencional pré-pagamentoResidencialResidencial baixa renda – faixa 04Não se aplicaNão se aplicaNão se aplica",Mercado_Receita!$L$2:$L$545)</f>
        <v>0</v>
      </c>
      <c r="J26" s="13">
        <f>SUMIF(Mercado_Receita!$S$2:$S$545,"44409B1Convencional pré-pagamentoResidencialResidencial baixa renda – faixa 04Não se aplicaNão se aplicaPonta",Mercado_Receita!$L$2:$L$545)+SUMIF(Mercado_Receita!$S$2:$S$545,"44409B1Convencional pré-pagamentoResidencialResidencial baixa renda – faixa 04Não se aplicaNão se aplicaFora ponta",Mercado_Receita!$L$2:$L$545)+SUMIF(Mercado_Receita!$S$2:$S$545,"44409B1Convencional pré-pagamentoResidencialResidencial baixa renda – faixa 04Não se aplicaNão se aplicaIntermediário",Mercado_Receita!$L$2:$L$545)+SUMIF(Mercado_Receita!$S$2:$S$545,"44409B1Convencional pré-pagamentoResidencialResidencial baixa renda – faixa 04Não se aplicaNão se aplicaNão se aplica",Mercado_Receita!$L$2:$L$545)</f>
        <v>0</v>
      </c>
      <c r="K26" s="13">
        <f>SUMIF(Mercado_Receita!$S$2:$S$545,"44440B1Convencional pré-pagamentoResidencialResidencial baixa renda – faixa 04Não se aplicaNão se aplicaPonta",Mercado_Receita!$L$2:$L$545)+SUMIF(Mercado_Receita!$S$2:$S$545,"44440B1Convencional pré-pagamentoResidencialResidencial baixa renda – faixa 04Não se aplicaNão se aplicaFora ponta",Mercado_Receita!$L$2:$L$545)+SUMIF(Mercado_Receita!$S$2:$S$545,"44440B1Convencional pré-pagamentoResidencialResidencial baixa renda – faixa 04Não se aplicaNão se aplicaIntermediário",Mercado_Receita!$L$2:$L$545)+SUMIF(Mercado_Receita!$S$2:$S$545,"44440B1Convencional pré-pagamentoResidencialResidencial baixa renda – faixa 04Não se aplicaNão se aplicaNão se aplica",Mercado_Receita!$L$2:$L$545)</f>
        <v>0</v>
      </c>
      <c r="L26" s="13">
        <f>SUMIF(Mercado_Receita!$S$2:$S$545,"44470B1Convencional pré-pagamentoResidencialResidencial baixa renda – faixa 04Não se aplicaNão se aplicaPonta",Mercado_Receita!$L$2:$L$545)+SUMIF(Mercado_Receita!$S$2:$S$545,"44470B1Convencional pré-pagamentoResidencialResidencial baixa renda – faixa 04Não se aplicaNão se aplicaFora ponta",Mercado_Receita!$L$2:$L$545)+SUMIF(Mercado_Receita!$S$2:$S$545,"44470B1Convencional pré-pagamentoResidencialResidencial baixa renda – faixa 04Não se aplicaNão se aplicaIntermediário",Mercado_Receita!$L$2:$L$545)+SUMIF(Mercado_Receita!$S$2:$S$545,"44470B1Convencional pré-pagamentoResidencialResidencial baixa renda – faixa 04Não se aplicaNão se aplicaNão se aplica",Mercado_Receita!$L$2:$L$545)</f>
        <v>0</v>
      </c>
      <c r="M26" s="13">
        <f>SUMIF(Mercado_Receita!$S$2:$S$545,"44501B1Convencional pré-pagamentoResidencialResidencial baixa renda – faixa 04Não se aplicaNão se aplicaPonta",Mercado_Receita!$L$2:$L$545)+SUMIF(Mercado_Receita!$S$2:$S$545,"44501B1Convencional pré-pagamentoResidencialResidencial baixa renda – faixa 04Não se aplicaNão se aplicaFora ponta",Mercado_Receita!$L$2:$L$545)+SUMIF(Mercado_Receita!$S$2:$S$545,"44501B1Convencional pré-pagamentoResidencialResidencial baixa renda – faixa 04Não se aplicaNão se aplicaIntermediário",Mercado_Receita!$L$2:$L$545)+SUMIF(Mercado_Receita!$S$2:$S$545,"44501B1Convencional pré-pagamentoResidencialResidencial baixa renda – faixa 04Não se aplicaNão se aplicaNão se aplica",Mercado_Receita!$L$2:$L$545)</f>
        <v>0</v>
      </c>
      <c r="N26" s="13">
        <f>SUMIF(Mercado_Receita!$S$2:$S$545,"44531B1Convencional pré-pagamentoResidencialResidencial baixa renda – faixa 04Não se aplicaNão se aplicaPonta",Mercado_Receita!$L$2:$L$545)+SUMIF(Mercado_Receita!$S$2:$S$545,"44531B1Convencional pré-pagamentoResidencialResidencial baixa renda – faixa 04Não se aplicaNão se aplicaFora ponta",Mercado_Receita!$L$2:$L$545)+SUMIF(Mercado_Receita!$S$2:$S$545,"44531B1Convencional pré-pagamentoResidencialResidencial baixa renda – faixa 04Não se aplicaNão se aplicaIntermediário",Mercado_Receita!$L$2:$L$545)+SUMIF(Mercado_Receita!$S$2:$S$545,"44531B1Convencional pré-pagamentoResidencialResidencial baixa renda – faixa 04Não se aplicaNão se aplicaNão se aplica",Mercado_Receita!$L$2:$L$545)</f>
        <v>0</v>
      </c>
      <c r="O26" s="13">
        <f>SUMIF(Mercado_Receita!$S$2:$S$545,"44562B1Convencional pré-pagamentoResidencialResidencial baixa renda – faixa 04Não se aplicaNão se aplicaPonta",Mercado_Receita!$L$2:$L$545)+SUMIF(Mercado_Receita!$S$2:$S$545,"44562B1Convencional pré-pagamentoResidencialResidencial baixa renda – faixa 04Não se aplicaNão se aplicaFora ponta",Mercado_Receita!$L$2:$L$545)+SUMIF(Mercado_Receita!$S$2:$S$545,"44562B1Convencional pré-pagamentoResidencialResidencial baixa renda – faixa 04Não se aplicaNão se aplicaIntermediário",Mercado_Receita!$L$2:$L$545)+SUMIF(Mercado_Receita!$S$2:$S$545,"44562B1Convencional pré-pagamentoResidencialResidencial baixa renda – faixa 04Não se aplicaNão se aplicaNão se aplica",Mercado_Receita!$L$2:$L$545)</f>
        <v>0</v>
      </c>
      <c r="P26" s="13">
        <f>SUMIF(Mercado_Receita!$S$2:$S$545,"44593B1Convencional pré-pagamentoResidencialResidencial baixa renda – faixa 04Não se aplicaNão se aplicaPonta",Mercado_Receita!$L$2:$L$545)+SUMIF(Mercado_Receita!$S$2:$S$545,"44593B1Convencional pré-pagamentoResidencialResidencial baixa renda – faixa 04Não se aplicaNão se aplicaFora ponta",Mercado_Receita!$L$2:$L$545)+SUMIF(Mercado_Receita!$S$2:$S$545,"44593B1Convencional pré-pagamentoResidencialResidencial baixa renda – faixa 04Não se aplicaNão se aplicaIntermediário",Mercado_Receita!$L$2:$L$545)+SUMIF(Mercado_Receita!$S$2:$S$545,"44593B1Convencional pré-pagamentoResidencialResidencial baixa renda – faixa 04Não se aplicaNão se aplicaNão se aplica",Mercado_Receita!$L$2:$L$545)</f>
        <v>0</v>
      </c>
      <c r="Q26" s="13">
        <f>SUMIF(Mercado_Receita!$S$2:$S$545,"44621B1Convencional pré-pagamentoResidencialResidencial baixa renda – faixa 04Não se aplicaNão se aplicaPonta",Mercado_Receita!$L$2:$L$545)+SUMIF(Mercado_Receita!$S$2:$S$545,"44621B1Convencional pré-pagamentoResidencialResidencial baixa renda – faixa 04Não se aplicaNão se aplicaFora ponta",Mercado_Receita!$L$2:$L$545)+SUMIF(Mercado_Receita!$S$2:$S$545,"44621B1Convencional pré-pagamentoResidencialResidencial baixa renda – faixa 04Não se aplicaNão se aplicaIntermediário",Mercado_Receita!$L$2:$L$545)+SUMIF(Mercado_Receita!$S$2:$S$545,"44621B1Convencional pré-pagamentoResidencialResidencial baixa renda – faixa 04Não se aplicaNão se aplicaNão se aplica",Mercado_Receita!$L$2:$L$545)</f>
        <v>0</v>
      </c>
      <c r="R26" s="13">
        <f>SUMIF(Mercado_Receita!$S$2:$S$545,"44652B1Convencional pré-pagamentoResidencialResidencial baixa renda – faixa 04Não se aplicaNão se aplicaPonta",Mercado_Receita!$L$2:$L$545)+SUMIF(Mercado_Receita!$S$2:$S$545,"44652B1Convencional pré-pagamentoResidencialResidencial baixa renda – faixa 04Não se aplicaNão se aplicaFora ponta",Mercado_Receita!$L$2:$L$545)+SUMIF(Mercado_Receita!$S$2:$S$545,"44652B1Convencional pré-pagamentoResidencialResidencial baixa renda – faixa 04Não se aplicaNão se aplicaIntermediário",Mercado_Receita!$L$2:$L$545)+SUMIF(Mercado_Receita!$S$2:$S$545,"44652B1Convencional pré-pagamentoResidencialResidencial baixa renda – faixa 04Não se aplicaNão se aplicaNão se aplica",Mercado_Receita!$L$2:$L$545)</f>
        <v>0</v>
      </c>
      <c r="S26" s="13">
        <f>SUMIF(Mercado_Receita!$S$2:$S$545,"44682B1Convencional pré-pagamentoResidencialResidencial baixa renda – faixa 04Não se aplicaNão se aplicaPonta",Mercado_Receita!$L$2:$L$545)+SUMIF(Mercado_Receita!$S$2:$S$545,"44682B1Convencional pré-pagamentoResidencialResidencial baixa renda – faixa 04Não se aplicaNão se aplicaFora ponta",Mercado_Receita!$L$2:$L$545)+SUMIF(Mercado_Receita!$S$2:$S$545,"44682B1Convencional pré-pagamentoResidencialResidencial baixa renda – faixa 04Não se aplicaNão se aplicaIntermediário",Mercado_Receita!$L$2:$L$545)+SUMIF(Mercado_Receita!$S$2:$S$545,"44682B1Convencional pré-pagamentoResidencialResidencial baixa renda – faixa 04Não se aplicaNão se aplicaNão se aplica",Mercado_Receita!$L$2:$L$545)</f>
        <v>0</v>
      </c>
      <c r="T26" s="13">
        <f>SUMIF(Mercado_Receita!$S$2:$S$545,"44713B1Convencional pré-pagamentoResidencialResidencial baixa renda – faixa 04Não se aplicaNão se aplicaPonta",Mercado_Receita!$L$2:$L$545)+SUMIF(Mercado_Receita!$S$2:$S$545,"44713B1Convencional pré-pagamentoResidencialResidencial baixa renda – faixa 04Não se aplicaNão se aplicaFora ponta",Mercado_Receita!$L$2:$L$545)+SUMIF(Mercado_Receita!$S$2:$S$545,"44713B1Convencional pré-pagamentoResidencialResidencial baixa renda – faixa 04Não se aplicaNão se aplicaIntermediário",Mercado_Receita!$L$2:$L$545)+SUMIF(Mercado_Receita!$S$2:$S$545,"44713B1Convencional pré-pagamentoResidencialResidencial baixa renda – faixa 04Não se aplicaNão se aplicaNão se aplica",Mercado_Receita!$L$2:$L$545)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94" t="s">
        <v>41</v>
      </c>
      <c r="B27" s="94" t="s">
        <v>86</v>
      </c>
      <c r="C27" s="94" t="s">
        <v>42</v>
      </c>
      <c r="D27" s="94" t="s">
        <v>25</v>
      </c>
      <c r="E27" s="94" t="s">
        <v>25</v>
      </c>
      <c r="F27" s="94" t="s">
        <v>25</v>
      </c>
      <c r="G27" s="13" t="s">
        <v>74</v>
      </c>
      <c r="H27" s="13" t="s">
        <v>73</v>
      </c>
      <c r="I27" s="13">
        <f>SUMIF(Mercado_Receita!$S$2:$S$545,"44378B2BrancaRuralNão se aplicaNão se aplicaNão se aplicaPonta",Mercado_Receita!$L$2:$L$545)</f>
        <v>0</v>
      </c>
      <c r="J27" s="13">
        <f>SUMIF(Mercado_Receita!$S$2:$S$545,"44409B2BrancaRuralNão se aplicaNão se aplicaNão se aplicaPonta",Mercado_Receita!$L$2:$L$545)</f>
        <v>0</v>
      </c>
      <c r="K27" s="13">
        <f>SUMIF(Mercado_Receita!$S$2:$S$545,"44440B2BrancaRuralNão se aplicaNão se aplicaNão se aplicaPonta",Mercado_Receita!$L$2:$L$545)</f>
        <v>0</v>
      </c>
      <c r="L27" s="13">
        <f>SUMIF(Mercado_Receita!$S$2:$S$545,"44470B2BrancaRuralNão se aplicaNão se aplicaNão se aplicaPonta",Mercado_Receita!$L$2:$L$545)</f>
        <v>0</v>
      </c>
      <c r="M27" s="13">
        <f>SUMIF(Mercado_Receita!$S$2:$S$545,"44501B2BrancaRuralNão se aplicaNão se aplicaNão se aplicaPonta",Mercado_Receita!$L$2:$L$545)</f>
        <v>0</v>
      </c>
      <c r="N27" s="13">
        <f>SUMIF(Mercado_Receita!$S$2:$S$545,"44531B2BrancaRuralNão se aplicaNão se aplicaNão se aplicaPonta",Mercado_Receita!$L$2:$L$545)</f>
        <v>0</v>
      </c>
      <c r="O27" s="13">
        <f>SUMIF(Mercado_Receita!$S$2:$S$545,"44562B2BrancaRuralNão se aplicaNão se aplicaNão se aplicaPonta",Mercado_Receita!$L$2:$L$545)</f>
        <v>0</v>
      </c>
      <c r="P27" s="13">
        <f>SUMIF(Mercado_Receita!$S$2:$S$545,"44593B2BrancaRuralNão se aplicaNão se aplicaNão se aplicaPonta",Mercado_Receita!$L$2:$L$545)</f>
        <v>0</v>
      </c>
      <c r="Q27" s="13">
        <f>SUMIF(Mercado_Receita!$S$2:$S$545,"44621B2BrancaRuralNão se aplicaNão se aplicaNão se aplicaPonta",Mercado_Receita!$L$2:$L$545)</f>
        <v>0</v>
      </c>
      <c r="R27" s="13">
        <f>SUMIF(Mercado_Receita!$S$2:$S$545,"44652B2BrancaRuralNão se aplicaNão se aplicaNão se aplicaPonta",Mercado_Receita!$L$2:$L$545)</f>
        <v>0</v>
      </c>
      <c r="S27" s="13">
        <f>SUMIF(Mercado_Receita!$S$2:$S$545,"44682B2BrancaRuralNão se aplicaNão se aplicaNão se aplicaPonta",Mercado_Receita!$L$2:$L$545)</f>
        <v>0</v>
      </c>
      <c r="T27" s="13">
        <f>SUMIF(Mercado_Receita!$S$2:$S$545,"44713B2BrancaRuralNão se aplicaNão se aplicaNão se aplicaPonta",Mercado_Receita!$L$2:$L$545)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95"/>
      <c r="B28" s="95"/>
      <c r="C28" s="95"/>
      <c r="D28" s="95"/>
      <c r="E28" s="95"/>
      <c r="F28" s="95"/>
      <c r="G28" s="13" t="s">
        <v>85</v>
      </c>
      <c r="H28" s="13" t="s">
        <v>73</v>
      </c>
      <c r="I28" s="13">
        <f>SUMIF(Mercado_Receita!$S$2:$S$545,"44378B2BrancaRuralNão se aplicaNão se aplicaNão se aplicaIntermediário",Mercado_Receita!$L$2:$L$545)</f>
        <v>0</v>
      </c>
      <c r="J28" s="13">
        <f>SUMIF(Mercado_Receita!$S$2:$S$545,"44409B2BrancaRuralNão se aplicaNão se aplicaNão se aplicaIntermediário",Mercado_Receita!$L$2:$L$545)</f>
        <v>0</v>
      </c>
      <c r="K28" s="13">
        <f>SUMIF(Mercado_Receita!$S$2:$S$545,"44440B2BrancaRuralNão se aplicaNão se aplicaNão se aplicaIntermediário",Mercado_Receita!$L$2:$L$545)</f>
        <v>0</v>
      </c>
      <c r="L28" s="13">
        <f>SUMIF(Mercado_Receita!$S$2:$S$545,"44470B2BrancaRuralNão se aplicaNão se aplicaNão se aplicaIntermediário",Mercado_Receita!$L$2:$L$545)</f>
        <v>0</v>
      </c>
      <c r="M28" s="13">
        <f>SUMIF(Mercado_Receita!$S$2:$S$545,"44501B2BrancaRuralNão se aplicaNão se aplicaNão se aplicaIntermediário",Mercado_Receita!$L$2:$L$545)</f>
        <v>0</v>
      </c>
      <c r="N28" s="13">
        <f>SUMIF(Mercado_Receita!$S$2:$S$545,"44531B2BrancaRuralNão se aplicaNão se aplicaNão se aplicaIntermediário",Mercado_Receita!$L$2:$L$545)</f>
        <v>0</v>
      </c>
      <c r="O28" s="13">
        <f>SUMIF(Mercado_Receita!$S$2:$S$545,"44562B2BrancaRuralNão se aplicaNão se aplicaNão se aplicaIntermediário",Mercado_Receita!$L$2:$L$545)</f>
        <v>0</v>
      </c>
      <c r="P28" s="13">
        <f>SUMIF(Mercado_Receita!$S$2:$S$545,"44593B2BrancaRuralNão se aplicaNão se aplicaNão se aplicaIntermediário",Mercado_Receita!$L$2:$L$545)</f>
        <v>0</v>
      </c>
      <c r="Q28" s="13">
        <f>SUMIF(Mercado_Receita!$S$2:$S$545,"44621B2BrancaRuralNão se aplicaNão se aplicaNão se aplicaIntermediário",Mercado_Receita!$L$2:$L$545)</f>
        <v>0</v>
      </c>
      <c r="R28" s="13">
        <f>SUMIF(Mercado_Receita!$S$2:$S$545,"44652B2BrancaRuralNão se aplicaNão se aplicaNão se aplicaIntermediário",Mercado_Receita!$L$2:$L$545)</f>
        <v>0</v>
      </c>
      <c r="S28" s="13">
        <f>SUMIF(Mercado_Receita!$S$2:$S$545,"44682B2BrancaRuralNão se aplicaNão se aplicaNão se aplicaIntermediário",Mercado_Receita!$L$2:$L$545)</f>
        <v>0</v>
      </c>
      <c r="T28" s="13">
        <f>SUMIF(Mercado_Receita!$S$2:$S$545,"44713B2BrancaRuralNão se aplicaNão se aplicaNão se aplicaIntermediário",Mercado_Receita!$L$2:$L$545)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95"/>
      <c r="B29" s="95"/>
      <c r="C29" s="95"/>
      <c r="D29" s="95"/>
      <c r="E29" s="95"/>
      <c r="F29" s="95"/>
      <c r="G29" s="13" t="s">
        <v>75</v>
      </c>
      <c r="H29" s="13" t="s">
        <v>73</v>
      </c>
      <c r="I29" s="13">
        <f>SUMIF(Mercado_Receita!$S$2:$S$545,"44378B2BrancaRuralNão se aplicaNão se aplicaNão se aplicaFora ponta",Mercado_Receita!$L$2:$L$545)</f>
        <v>0</v>
      </c>
      <c r="J29" s="13">
        <f>SUMIF(Mercado_Receita!$S$2:$S$545,"44409B2BrancaRuralNão se aplicaNão se aplicaNão se aplicaFora ponta",Mercado_Receita!$L$2:$L$545)</f>
        <v>0</v>
      </c>
      <c r="K29" s="13">
        <f>SUMIF(Mercado_Receita!$S$2:$S$545,"44440B2BrancaRuralNão se aplicaNão se aplicaNão se aplicaFora ponta",Mercado_Receita!$L$2:$L$545)</f>
        <v>0</v>
      </c>
      <c r="L29" s="13">
        <f>SUMIF(Mercado_Receita!$S$2:$S$545,"44470B2BrancaRuralNão se aplicaNão se aplicaNão se aplicaFora ponta",Mercado_Receita!$L$2:$L$545)</f>
        <v>0</v>
      </c>
      <c r="M29" s="13">
        <f>SUMIF(Mercado_Receita!$S$2:$S$545,"44501B2BrancaRuralNão se aplicaNão se aplicaNão se aplicaFora ponta",Mercado_Receita!$L$2:$L$545)</f>
        <v>0</v>
      </c>
      <c r="N29" s="13">
        <f>SUMIF(Mercado_Receita!$S$2:$S$545,"44531B2BrancaRuralNão se aplicaNão se aplicaNão se aplicaFora ponta",Mercado_Receita!$L$2:$L$545)</f>
        <v>0</v>
      </c>
      <c r="O29" s="13">
        <f>SUMIF(Mercado_Receita!$S$2:$S$545,"44562B2BrancaRuralNão se aplicaNão se aplicaNão se aplicaFora ponta",Mercado_Receita!$L$2:$L$545)</f>
        <v>0</v>
      </c>
      <c r="P29" s="13">
        <f>SUMIF(Mercado_Receita!$S$2:$S$545,"44593B2BrancaRuralNão se aplicaNão se aplicaNão se aplicaFora ponta",Mercado_Receita!$L$2:$L$545)</f>
        <v>0</v>
      </c>
      <c r="Q29" s="13">
        <f>SUMIF(Mercado_Receita!$S$2:$S$545,"44621B2BrancaRuralNão se aplicaNão se aplicaNão se aplicaFora ponta",Mercado_Receita!$L$2:$L$545)</f>
        <v>0</v>
      </c>
      <c r="R29" s="13">
        <f>SUMIF(Mercado_Receita!$S$2:$S$545,"44652B2BrancaRuralNão se aplicaNão se aplicaNão se aplicaFora ponta",Mercado_Receita!$L$2:$L$545)</f>
        <v>0</v>
      </c>
      <c r="S29" s="13">
        <f>SUMIF(Mercado_Receita!$S$2:$S$545,"44682B2BrancaRuralNão se aplicaNão se aplicaNão se aplicaFora ponta",Mercado_Receita!$L$2:$L$545)</f>
        <v>0</v>
      </c>
      <c r="T29" s="13">
        <f>SUMIF(Mercado_Receita!$S$2:$S$545,"44713B2BrancaRuralNão se aplicaNão se aplicaNão se aplicaFora ponta",Mercado_Receita!$L$2:$L$545)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95"/>
      <c r="B30" s="12" t="s">
        <v>23</v>
      </c>
      <c r="C30" s="12" t="s">
        <v>42</v>
      </c>
      <c r="D30" s="12" t="s">
        <v>25</v>
      </c>
      <c r="E30" s="12" t="s">
        <v>25</v>
      </c>
      <c r="F30" s="12" t="s">
        <v>25</v>
      </c>
      <c r="G30" s="13" t="s">
        <v>77</v>
      </c>
      <c r="H30" s="13" t="s">
        <v>73</v>
      </c>
      <c r="I30" s="13">
        <f>SUMIF(Mercado_Receita!$S$2:$S$545,"44378B2ConvencionalRuralNão se aplicaNão se aplicaNão se aplicaPonta",Mercado_Receita!$L$2:$L$545)+SUMIF(Mercado_Receita!$S$2:$S$545,"44378B2ConvencionalRuralNão se aplicaNão se aplicaNão se aplicaFora ponta",Mercado_Receita!$L$2:$L$545)+SUMIF(Mercado_Receita!$S$2:$S$545,"44378B2ConvencionalRuralNão se aplicaNão se aplicaNão se aplicaIntermediário",Mercado_Receita!$L$2:$L$545)+SUMIF(Mercado_Receita!$S$2:$S$545,"44378B2ConvencionalRuralNão se aplicaNão se aplicaNão se aplicaNão se aplica",Mercado_Receita!$L$2:$L$545)</f>
        <v>1607.569</v>
      </c>
      <c r="J30" s="13">
        <f>SUMIF(Mercado_Receita!$S$2:$S$545,"44409B2ConvencionalRuralNão se aplicaNão se aplicaNão se aplicaPonta",Mercado_Receita!$L$2:$L$545)+SUMIF(Mercado_Receita!$S$2:$S$545,"44409B2ConvencionalRuralNão se aplicaNão se aplicaNão se aplicaFora ponta",Mercado_Receita!$L$2:$L$545)+SUMIF(Mercado_Receita!$S$2:$S$545,"44409B2ConvencionalRuralNão se aplicaNão se aplicaNão se aplicaIntermediário",Mercado_Receita!$L$2:$L$545)+SUMIF(Mercado_Receita!$S$2:$S$545,"44409B2ConvencionalRuralNão se aplicaNão se aplicaNão se aplicaNão se aplica",Mercado_Receita!$L$2:$L$545)</f>
        <v>1563.625</v>
      </c>
      <c r="K30" s="13">
        <f>SUMIF(Mercado_Receita!$S$2:$S$545,"44440B2ConvencionalRuralNão se aplicaNão se aplicaNão se aplicaPonta",Mercado_Receita!$L$2:$L$545)+SUMIF(Mercado_Receita!$S$2:$S$545,"44440B2ConvencionalRuralNão se aplicaNão se aplicaNão se aplicaFora ponta",Mercado_Receita!$L$2:$L$545)+SUMIF(Mercado_Receita!$S$2:$S$545,"44440B2ConvencionalRuralNão se aplicaNão se aplicaNão se aplicaIntermediário",Mercado_Receita!$L$2:$L$545)+SUMIF(Mercado_Receita!$S$2:$S$545,"44440B2ConvencionalRuralNão se aplicaNão se aplicaNão se aplicaNão se aplica",Mercado_Receita!$L$2:$L$545)</f>
        <v>1668.0920000000001</v>
      </c>
      <c r="L30" s="13">
        <f>SUMIF(Mercado_Receita!$S$2:$S$545,"44470B2ConvencionalRuralNão se aplicaNão se aplicaNão se aplicaPonta",Mercado_Receita!$L$2:$L$545)+SUMIF(Mercado_Receita!$S$2:$S$545,"44470B2ConvencionalRuralNão se aplicaNão se aplicaNão se aplicaFora ponta",Mercado_Receita!$L$2:$L$545)+SUMIF(Mercado_Receita!$S$2:$S$545,"44470B2ConvencionalRuralNão se aplicaNão se aplicaNão se aplicaIntermediário",Mercado_Receita!$L$2:$L$545)+SUMIF(Mercado_Receita!$S$2:$S$545,"44470B2ConvencionalRuralNão se aplicaNão se aplicaNão se aplicaNão se aplica",Mercado_Receita!$L$2:$L$545)</f>
        <v>1655.4389999999999</v>
      </c>
      <c r="M30" s="13">
        <f>SUMIF(Mercado_Receita!$S$2:$S$545,"44501B2ConvencionalRuralNão se aplicaNão se aplicaNão se aplicaPonta",Mercado_Receita!$L$2:$L$545)+SUMIF(Mercado_Receita!$S$2:$S$545,"44501B2ConvencionalRuralNão se aplicaNão se aplicaNão se aplicaFora ponta",Mercado_Receita!$L$2:$L$545)+SUMIF(Mercado_Receita!$S$2:$S$545,"44501B2ConvencionalRuralNão se aplicaNão se aplicaNão se aplicaIntermediário",Mercado_Receita!$L$2:$L$545)+SUMIF(Mercado_Receita!$S$2:$S$545,"44501B2ConvencionalRuralNão se aplicaNão se aplicaNão se aplicaNão se aplica",Mercado_Receita!$L$2:$L$545)</f>
        <v>1787.0069999999998</v>
      </c>
      <c r="N30" s="13">
        <f>SUMIF(Mercado_Receita!$S$2:$S$545,"44531B2ConvencionalRuralNão se aplicaNão se aplicaNão se aplicaPonta",Mercado_Receita!$L$2:$L$545)+SUMIF(Mercado_Receita!$S$2:$S$545,"44531B2ConvencionalRuralNão se aplicaNão se aplicaNão se aplicaFora ponta",Mercado_Receita!$L$2:$L$545)+SUMIF(Mercado_Receita!$S$2:$S$545,"44531B2ConvencionalRuralNão se aplicaNão se aplicaNão se aplicaIntermediário",Mercado_Receita!$L$2:$L$545)+SUMIF(Mercado_Receita!$S$2:$S$545,"44531B2ConvencionalRuralNão se aplicaNão se aplicaNão se aplicaNão se aplica",Mercado_Receita!$L$2:$L$545)</f>
        <v>1952.2809999999999</v>
      </c>
      <c r="O30" s="13">
        <f>SUMIF(Mercado_Receita!$S$2:$S$545,"44562B2ConvencionalRuralNão se aplicaNão se aplicaNão se aplicaPonta",Mercado_Receita!$L$2:$L$545)+SUMIF(Mercado_Receita!$S$2:$S$545,"44562B2ConvencionalRuralNão se aplicaNão se aplicaNão se aplicaFora ponta",Mercado_Receita!$L$2:$L$545)+SUMIF(Mercado_Receita!$S$2:$S$545,"44562B2ConvencionalRuralNão se aplicaNão se aplicaNão se aplicaIntermediário",Mercado_Receita!$L$2:$L$545)+SUMIF(Mercado_Receita!$S$2:$S$545,"44562B2ConvencionalRuralNão se aplicaNão se aplicaNão se aplicaNão se aplica",Mercado_Receita!$L$2:$L$545)</f>
        <v>2062.491</v>
      </c>
      <c r="P30" s="13">
        <f>SUMIF(Mercado_Receita!$S$2:$S$545,"44593B2ConvencionalRuralNão se aplicaNão se aplicaNão se aplicaPonta",Mercado_Receita!$L$2:$L$545)+SUMIF(Mercado_Receita!$S$2:$S$545,"44593B2ConvencionalRuralNão se aplicaNão se aplicaNão se aplicaFora ponta",Mercado_Receita!$L$2:$L$545)+SUMIF(Mercado_Receita!$S$2:$S$545,"44593B2ConvencionalRuralNão se aplicaNão se aplicaNão se aplicaIntermediário",Mercado_Receita!$L$2:$L$545)+SUMIF(Mercado_Receita!$S$2:$S$545,"44593B2ConvencionalRuralNão se aplicaNão se aplicaNão se aplicaNão se aplica",Mercado_Receita!$L$2:$L$545)</f>
        <v>2042.4170000000001</v>
      </c>
      <c r="Q30" s="13">
        <f>SUMIF(Mercado_Receita!$S$2:$S$545,"44621B2ConvencionalRuralNão se aplicaNão se aplicaNão se aplicaPonta",Mercado_Receita!$L$2:$L$545)+SUMIF(Mercado_Receita!$S$2:$S$545,"44621B2ConvencionalRuralNão se aplicaNão se aplicaNão se aplicaFora ponta",Mercado_Receita!$L$2:$L$545)+SUMIF(Mercado_Receita!$S$2:$S$545,"44621B2ConvencionalRuralNão se aplicaNão se aplicaNão se aplicaIntermediário",Mercado_Receita!$L$2:$L$545)+SUMIF(Mercado_Receita!$S$2:$S$545,"44621B2ConvencionalRuralNão se aplicaNão se aplicaNão se aplicaNão se aplica",Mercado_Receita!$L$2:$L$545)</f>
        <v>1960.153</v>
      </c>
      <c r="R30" s="13">
        <f>SUMIF(Mercado_Receita!$S$2:$S$545,"44652B2ConvencionalRuralNão se aplicaNão se aplicaNão se aplicaPonta",Mercado_Receita!$L$2:$L$545)+SUMIF(Mercado_Receita!$S$2:$S$545,"44652B2ConvencionalRuralNão se aplicaNão se aplicaNão se aplicaFora ponta",Mercado_Receita!$L$2:$L$545)+SUMIF(Mercado_Receita!$S$2:$S$545,"44652B2ConvencionalRuralNão se aplicaNão se aplicaNão se aplicaIntermediário",Mercado_Receita!$L$2:$L$545)+SUMIF(Mercado_Receita!$S$2:$S$545,"44652B2ConvencionalRuralNão se aplicaNão se aplicaNão se aplicaNão se aplica",Mercado_Receita!$L$2:$L$545)</f>
        <v>1671.732</v>
      </c>
      <c r="S30" s="13">
        <f>SUMIF(Mercado_Receita!$S$2:$S$545,"44682B2ConvencionalRuralNão se aplicaNão se aplicaNão se aplicaPonta",Mercado_Receita!$L$2:$L$545)+SUMIF(Mercado_Receita!$S$2:$S$545,"44682B2ConvencionalRuralNão se aplicaNão se aplicaNão se aplicaFora ponta",Mercado_Receita!$L$2:$L$545)+SUMIF(Mercado_Receita!$S$2:$S$545,"44682B2ConvencionalRuralNão se aplicaNão se aplicaNão se aplicaIntermediário",Mercado_Receita!$L$2:$L$545)+SUMIF(Mercado_Receita!$S$2:$S$545,"44682B2ConvencionalRuralNão se aplicaNão se aplicaNão se aplicaNão se aplica",Mercado_Receita!$L$2:$L$545)</f>
        <v>1654.77</v>
      </c>
      <c r="T30" s="13">
        <f>SUMIF(Mercado_Receita!$S$2:$S$545,"44713B2ConvencionalRuralNão se aplicaNão se aplicaNão se aplicaPonta",Mercado_Receita!$L$2:$L$545)+SUMIF(Mercado_Receita!$S$2:$S$545,"44713B2ConvencionalRuralNão se aplicaNão se aplicaNão se aplicaFora ponta",Mercado_Receita!$L$2:$L$545)+SUMIF(Mercado_Receita!$S$2:$S$545,"44713B2ConvencionalRuralNão se aplicaNão se aplicaNão se aplicaIntermediário",Mercado_Receita!$L$2:$L$545)+SUMIF(Mercado_Receita!$S$2:$S$545,"44713B2ConvencionalRuralNão se aplicaNão se aplicaNão se aplicaNão se aplica",Mercado_Receita!$L$2:$L$545)</f>
        <v>1707.6779999999999</v>
      </c>
      <c r="U30" s="13">
        <f t="shared" si="0"/>
        <v>21333.253999999997</v>
      </c>
      <c r="V30" s="13"/>
      <c r="W30" s="13"/>
    </row>
    <row r="31" spans="1:23" ht="11.25" customHeight="1" x14ac:dyDescent="0.25">
      <c r="A31" s="95"/>
      <c r="B31" s="94" t="s">
        <v>86</v>
      </c>
      <c r="C31" s="94" t="s">
        <v>42</v>
      </c>
      <c r="D31" s="94" t="s">
        <v>89</v>
      </c>
      <c r="E31" s="94" t="s">
        <v>25</v>
      </c>
      <c r="F31" s="94" t="s">
        <v>25</v>
      </c>
      <c r="G31" s="13" t="s">
        <v>74</v>
      </c>
      <c r="H31" s="13" t="s">
        <v>73</v>
      </c>
      <c r="I31" s="13">
        <f>SUMIF(Mercado_Receita!$S$2:$S$545,"44378B2BrancaRuralCooperativa de eletrificação ruralNão se aplicaNão se aplicaPonta",Mercado_Receita!$L$2:$L$545)</f>
        <v>0</v>
      </c>
      <c r="J31" s="13">
        <f>SUMIF(Mercado_Receita!$S$2:$S$545,"44409B2BrancaRuralCooperativa de eletrificação ruralNão se aplicaNão se aplicaPonta",Mercado_Receita!$L$2:$L$545)</f>
        <v>0</v>
      </c>
      <c r="K31" s="13">
        <f>SUMIF(Mercado_Receita!$S$2:$S$545,"44440B2BrancaRuralCooperativa de eletrificação ruralNão se aplicaNão se aplicaPonta",Mercado_Receita!$L$2:$L$545)</f>
        <v>0</v>
      </c>
      <c r="L31" s="13">
        <f>SUMIF(Mercado_Receita!$S$2:$S$545,"44470B2BrancaRuralCooperativa de eletrificação ruralNão se aplicaNão se aplicaPonta",Mercado_Receita!$L$2:$L$545)</f>
        <v>0</v>
      </c>
      <c r="M31" s="13">
        <f>SUMIF(Mercado_Receita!$S$2:$S$545,"44501B2BrancaRuralCooperativa de eletrificação ruralNão se aplicaNão se aplicaPonta",Mercado_Receita!$L$2:$L$545)</f>
        <v>0</v>
      </c>
      <c r="N31" s="13">
        <f>SUMIF(Mercado_Receita!$S$2:$S$545,"44531B2BrancaRuralCooperativa de eletrificação ruralNão se aplicaNão se aplicaPonta",Mercado_Receita!$L$2:$L$545)</f>
        <v>0</v>
      </c>
      <c r="O31" s="13">
        <f>SUMIF(Mercado_Receita!$S$2:$S$545,"44562B2BrancaRuralCooperativa de eletrificação ruralNão se aplicaNão se aplicaPonta",Mercado_Receita!$L$2:$L$545)</f>
        <v>0</v>
      </c>
      <c r="P31" s="13">
        <f>SUMIF(Mercado_Receita!$S$2:$S$545,"44593B2BrancaRuralCooperativa de eletrificação ruralNão se aplicaNão se aplicaPonta",Mercado_Receita!$L$2:$L$545)</f>
        <v>0</v>
      </c>
      <c r="Q31" s="13">
        <f>SUMIF(Mercado_Receita!$S$2:$S$545,"44621B2BrancaRuralCooperativa de eletrificação ruralNão se aplicaNão se aplicaPonta",Mercado_Receita!$L$2:$L$545)</f>
        <v>0</v>
      </c>
      <c r="R31" s="13">
        <f>SUMIF(Mercado_Receita!$S$2:$S$545,"44652B2BrancaRuralCooperativa de eletrificação ruralNão se aplicaNão se aplicaPonta",Mercado_Receita!$L$2:$L$545)</f>
        <v>0</v>
      </c>
      <c r="S31" s="13">
        <f>SUMIF(Mercado_Receita!$S$2:$S$545,"44682B2BrancaRuralCooperativa de eletrificação ruralNão se aplicaNão se aplicaPonta",Mercado_Receita!$L$2:$L$545)</f>
        <v>0</v>
      </c>
      <c r="T31" s="13">
        <f>SUMIF(Mercado_Receita!$S$2:$S$545,"44713B2BrancaRuralCooperativa de eletrificação ruralNão se aplicaNão se aplicaPonta",Mercado_Receita!$L$2:$L$545)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95"/>
      <c r="B32" s="95"/>
      <c r="C32" s="95"/>
      <c r="D32" s="95"/>
      <c r="E32" s="95"/>
      <c r="F32" s="95"/>
      <c r="G32" s="13" t="s">
        <v>85</v>
      </c>
      <c r="H32" s="13" t="s">
        <v>73</v>
      </c>
      <c r="I32" s="13">
        <f>SUMIF(Mercado_Receita!$S$2:$S$545,"44378B2BrancaRuralCooperativa de eletrificação ruralNão se aplicaNão se aplicaIntermediário",Mercado_Receita!$L$2:$L$545)</f>
        <v>0</v>
      </c>
      <c r="J32" s="13">
        <f>SUMIF(Mercado_Receita!$S$2:$S$545,"44409B2BrancaRuralCooperativa de eletrificação ruralNão se aplicaNão se aplicaIntermediário",Mercado_Receita!$L$2:$L$545)</f>
        <v>0</v>
      </c>
      <c r="K32" s="13">
        <f>SUMIF(Mercado_Receita!$S$2:$S$545,"44440B2BrancaRuralCooperativa de eletrificação ruralNão se aplicaNão se aplicaIntermediário",Mercado_Receita!$L$2:$L$545)</f>
        <v>0</v>
      </c>
      <c r="L32" s="13">
        <f>SUMIF(Mercado_Receita!$S$2:$S$545,"44470B2BrancaRuralCooperativa de eletrificação ruralNão se aplicaNão se aplicaIntermediário",Mercado_Receita!$L$2:$L$545)</f>
        <v>0</v>
      </c>
      <c r="M32" s="13">
        <f>SUMIF(Mercado_Receita!$S$2:$S$545,"44501B2BrancaRuralCooperativa de eletrificação ruralNão se aplicaNão se aplicaIntermediário",Mercado_Receita!$L$2:$L$545)</f>
        <v>0</v>
      </c>
      <c r="N32" s="13">
        <f>SUMIF(Mercado_Receita!$S$2:$S$545,"44531B2BrancaRuralCooperativa de eletrificação ruralNão se aplicaNão se aplicaIntermediário",Mercado_Receita!$L$2:$L$545)</f>
        <v>0</v>
      </c>
      <c r="O32" s="13">
        <f>SUMIF(Mercado_Receita!$S$2:$S$545,"44562B2BrancaRuralCooperativa de eletrificação ruralNão se aplicaNão se aplicaIntermediário",Mercado_Receita!$L$2:$L$545)</f>
        <v>0</v>
      </c>
      <c r="P32" s="13">
        <f>SUMIF(Mercado_Receita!$S$2:$S$545,"44593B2BrancaRuralCooperativa de eletrificação ruralNão se aplicaNão se aplicaIntermediário",Mercado_Receita!$L$2:$L$545)</f>
        <v>0</v>
      </c>
      <c r="Q32" s="13">
        <f>SUMIF(Mercado_Receita!$S$2:$S$545,"44621B2BrancaRuralCooperativa de eletrificação ruralNão se aplicaNão se aplicaIntermediário",Mercado_Receita!$L$2:$L$545)</f>
        <v>0</v>
      </c>
      <c r="R32" s="13">
        <f>SUMIF(Mercado_Receita!$S$2:$S$545,"44652B2BrancaRuralCooperativa de eletrificação ruralNão se aplicaNão se aplicaIntermediário",Mercado_Receita!$L$2:$L$545)</f>
        <v>0</v>
      </c>
      <c r="S32" s="13">
        <f>SUMIF(Mercado_Receita!$S$2:$S$545,"44682B2BrancaRuralCooperativa de eletrificação ruralNão se aplicaNão se aplicaIntermediário",Mercado_Receita!$L$2:$L$545)</f>
        <v>0</v>
      </c>
      <c r="T32" s="13">
        <f>SUMIF(Mercado_Receita!$S$2:$S$545,"44713B2BrancaRuralCooperativa de eletrificação ruralNão se aplicaNão se aplicaIntermediário",Mercado_Receita!$L$2:$L$545)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95"/>
      <c r="B33" s="95"/>
      <c r="C33" s="95"/>
      <c r="D33" s="95"/>
      <c r="E33" s="95"/>
      <c r="F33" s="95"/>
      <c r="G33" s="13" t="s">
        <v>75</v>
      </c>
      <c r="H33" s="13" t="s">
        <v>73</v>
      </c>
      <c r="I33" s="13">
        <f>SUMIF(Mercado_Receita!$S$2:$S$545,"44378B2BrancaRuralCooperativa de eletrificação ruralNão se aplicaNão se aplicaFora ponta",Mercado_Receita!$L$2:$L$545)</f>
        <v>0</v>
      </c>
      <c r="J33" s="13">
        <f>SUMIF(Mercado_Receita!$S$2:$S$545,"44409B2BrancaRuralCooperativa de eletrificação ruralNão se aplicaNão se aplicaFora ponta",Mercado_Receita!$L$2:$L$545)</f>
        <v>0</v>
      </c>
      <c r="K33" s="13">
        <f>SUMIF(Mercado_Receita!$S$2:$S$545,"44440B2BrancaRuralCooperativa de eletrificação ruralNão se aplicaNão se aplicaFora ponta",Mercado_Receita!$L$2:$L$545)</f>
        <v>0</v>
      </c>
      <c r="L33" s="13">
        <f>SUMIF(Mercado_Receita!$S$2:$S$545,"44470B2BrancaRuralCooperativa de eletrificação ruralNão se aplicaNão se aplicaFora ponta",Mercado_Receita!$L$2:$L$545)</f>
        <v>0</v>
      </c>
      <c r="M33" s="13">
        <f>SUMIF(Mercado_Receita!$S$2:$S$545,"44501B2BrancaRuralCooperativa de eletrificação ruralNão se aplicaNão se aplicaFora ponta",Mercado_Receita!$L$2:$L$545)</f>
        <v>0</v>
      </c>
      <c r="N33" s="13">
        <f>SUMIF(Mercado_Receita!$S$2:$S$545,"44531B2BrancaRuralCooperativa de eletrificação ruralNão se aplicaNão se aplicaFora ponta",Mercado_Receita!$L$2:$L$545)</f>
        <v>0</v>
      </c>
      <c r="O33" s="13">
        <f>SUMIF(Mercado_Receita!$S$2:$S$545,"44562B2BrancaRuralCooperativa de eletrificação ruralNão se aplicaNão se aplicaFora ponta",Mercado_Receita!$L$2:$L$545)</f>
        <v>0</v>
      </c>
      <c r="P33" s="13">
        <f>SUMIF(Mercado_Receita!$S$2:$S$545,"44593B2BrancaRuralCooperativa de eletrificação ruralNão se aplicaNão se aplicaFora ponta",Mercado_Receita!$L$2:$L$545)</f>
        <v>0</v>
      </c>
      <c r="Q33" s="13">
        <f>SUMIF(Mercado_Receita!$S$2:$S$545,"44621B2BrancaRuralCooperativa de eletrificação ruralNão se aplicaNão se aplicaFora ponta",Mercado_Receita!$L$2:$L$545)</f>
        <v>0</v>
      </c>
      <c r="R33" s="13">
        <f>SUMIF(Mercado_Receita!$S$2:$S$545,"44652B2BrancaRuralCooperativa de eletrificação ruralNão se aplicaNão se aplicaFora ponta",Mercado_Receita!$L$2:$L$545)</f>
        <v>0</v>
      </c>
      <c r="S33" s="13">
        <f>SUMIF(Mercado_Receita!$S$2:$S$545,"44682B2BrancaRuralCooperativa de eletrificação ruralNão se aplicaNão se aplicaFora ponta",Mercado_Receita!$L$2:$L$545)</f>
        <v>0</v>
      </c>
      <c r="T33" s="13">
        <f>SUMIF(Mercado_Receita!$S$2:$S$545,"44713B2BrancaRuralCooperativa de eletrificação ruralNão se aplicaNão se aplicaFora ponta",Mercado_Receita!$L$2:$L$545)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95"/>
      <c r="B34" s="12" t="s">
        <v>23</v>
      </c>
      <c r="C34" s="12" t="s">
        <v>42</v>
      </c>
      <c r="D34" s="12" t="s">
        <v>89</v>
      </c>
      <c r="E34" s="12" t="s">
        <v>25</v>
      </c>
      <c r="F34" s="12" t="s">
        <v>25</v>
      </c>
      <c r="G34" s="13" t="s">
        <v>77</v>
      </c>
      <c r="H34" s="13" t="s">
        <v>73</v>
      </c>
      <c r="I34" s="13">
        <f>SUMIF(Mercado_Receita!$S$2:$S$545,"44378B2ConvencionalRuralCooperativa de eletrificação ruralNão se aplicaNão se aplicaPonta",Mercado_Receita!$L$2:$L$545)+SUMIF(Mercado_Receita!$S$2:$S$545,"44378B2ConvencionalRuralCooperativa de eletrificação ruralNão se aplicaNão se aplicaFora ponta",Mercado_Receita!$L$2:$L$545)+SUMIF(Mercado_Receita!$S$2:$S$545,"44378B2ConvencionalRuralCooperativa de eletrificação ruralNão se aplicaNão se aplicaIntermediário",Mercado_Receita!$L$2:$L$545)+SUMIF(Mercado_Receita!$S$2:$S$545,"44378B2ConvencionalRuralCooperativa de eletrificação ruralNão se aplicaNão se aplicaNão se aplica",Mercado_Receita!$L$2:$L$545)</f>
        <v>0</v>
      </c>
      <c r="J34" s="13">
        <f>SUMIF(Mercado_Receita!$S$2:$S$545,"44409B2ConvencionalRuralCooperativa de eletrificação ruralNão se aplicaNão se aplicaPonta",Mercado_Receita!$L$2:$L$545)+SUMIF(Mercado_Receita!$S$2:$S$545,"44409B2ConvencionalRuralCooperativa de eletrificação ruralNão se aplicaNão se aplicaFora ponta",Mercado_Receita!$L$2:$L$545)+SUMIF(Mercado_Receita!$S$2:$S$545,"44409B2ConvencionalRuralCooperativa de eletrificação ruralNão se aplicaNão se aplicaIntermediário",Mercado_Receita!$L$2:$L$545)+SUMIF(Mercado_Receita!$S$2:$S$545,"44409B2ConvencionalRuralCooperativa de eletrificação ruralNão se aplicaNão se aplicaNão se aplica",Mercado_Receita!$L$2:$L$545)</f>
        <v>0</v>
      </c>
      <c r="K34" s="13">
        <f>SUMIF(Mercado_Receita!$S$2:$S$545,"44440B2ConvencionalRuralCooperativa de eletrificação ruralNão se aplicaNão se aplicaPonta",Mercado_Receita!$L$2:$L$545)+SUMIF(Mercado_Receita!$S$2:$S$545,"44440B2ConvencionalRuralCooperativa de eletrificação ruralNão se aplicaNão se aplicaFora ponta",Mercado_Receita!$L$2:$L$545)+SUMIF(Mercado_Receita!$S$2:$S$545,"44440B2ConvencionalRuralCooperativa de eletrificação ruralNão se aplicaNão se aplicaIntermediário",Mercado_Receita!$L$2:$L$545)+SUMIF(Mercado_Receita!$S$2:$S$545,"44440B2ConvencionalRuralCooperativa de eletrificação ruralNão se aplicaNão se aplicaNão se aplica",Mercado_Receita!$L$2:$L$545)</f>
        <v>0</v>
      </c>
      <c r="L34" s="13">
        <f>SUMIF(Mercado_Receita!$S$2:$S$545,"44470B2ConvencionalRuralCooperativa de eletrificação ruralNão se aplicaNão se aplicaPonta",Mercado_Receita!$L$2:$L$545)+SUMIF(Mercado_Receita!$S$2:$S$545,"44470B2ConvencionalRuralCooperativa de eletrificação ruralNão se aplicaNão se aplicaFora ponta",Mercado_Receita!$L$2:$L$545)+SUMIF(Mercado_Receita!$S$2:$S$545,"44470B2ConvencionalRuralCooperativa de eletrificação ruralNão se aplicaNão se aplicaIntermediário",Mercado_Receita!$L$2:$L$545)+SUMIF(Mercado_Receita!$S$2:$S$545,"44470B2ConvencionalRuralCooperativa de eletrificação ruralNão se aplicaNão se aplicaNão se aplica",Mercado_Receita!$L$2:$L$545)</f>
        <v>0</v>
      </c>
      <c r="M34" s="13">
        <f>SUMIF(Mercado_Receita!$S$2:$S$545,"44501B2ConvencionalRuralCooperativa de eletrificação ruralNão se aplicaNão se aplicaPonta",Mercado_Receita!$L$2:$L$545)+SUMIF(Mercado_Receita!$S$2:$S$545,"44501B2ConvencionalRuralCooperativa de eletrificação ruralNão se aplicaNão se aplicaFora ponta",Mercado_Receita!$L$2:$L$545)+SUMIF(Mercado_Receita!$S$2:$S$545,"44501B2ConvencionalRuralCooperativa de eletrificação ruralNão se aplicaNão se aplicaIntermediário",Mercado_Receita!$L$2:$L$545)+SUMIF(Mercado_Receita!$S$2:$S$545,"44501B2ConvencionalRuralCooperativa de eletrificação ruralNão se aplicaNão se aplicaNão se aplica",Mercado_Receita!$L$2:$L$545)</f>
        <v>0</v>
      </c>
      <c r="N34" s="13">
        <f>SUMIF(Mercado_Receita!$S$2:$S$545,"44531B2ConvencionalRuralCooperativa de eletrificação ruralNão se aplicaNão se aplicaPonta",Mercado_Receita!$L$2:$L$545)+SUMIF(Mercado_Receita!$S$2:$S$545,"44531B2ConvencionalRuralCooperativa de eletrificação ruralNão se aplicaNão se aplicaFora ponta",Mercado_Receita!$L$2:$L$545)+SUMIF(Mercado_Receita!$S$2:$S$545,"44531B2ConvencionalRuralCooperativa de eletrificação ruralNão se aplicaNão se aplicaIntermediário",Mercado_Receita!$L$2:$L$545)+SUMIF(Mercado_Receita!$S$2:$S$545,"44531B2ConvencionalRuralCooperativa de eletrificação ruralNão se aplicaNão se aplicaNão se aplica",Mercado_Receita!$L$2:$L$545)</f>
        <v>0</v>
      </c>
      <c r="O34" s="13">
        <f>SUMIF(Mercado_Receita!$S$2:$S$545,"44562B2ConvencionalRuralCooperativa de eletrificação ruralNão se aplicaNão se aplicaPonta",Mercado_Receita!$L$2:$L$545)+SUMIF(Mercado_Receita!$S$2:$S$545,"44562B2ConvencionalRuralCooperativa de eletrificação ruralNão se aplicaNão se aplicaFora ponta",Mercado_Receita!$L$2:$L$545)+SUMIF(Mercado_Receita!$S$2:$S$545,"44562B2ConvencionalRuralCooperativa de eletrificação ruralNão se aplicaNão se aplicaIntermediário",Mercado_Receita!$L$2:$L$545)+SUMIF(Mercado_Receita!$S$2:$S$545,"44562B2ConvencionalRuralCooperativa de eletrificação ruralNão se aplicaNão se aplicaNão se aplica",Mercado_Receita!$L$2:$L$545)</f>
        <v>0</v>
      </c>
      <c r="P34" s="13">
        <f>SUMIF(Mercado_Receita!$S$2:$S$545,"44593B2ConvencionalRuralCooperativa de eletrificação ruralNão se aplicaNão se aplicaPonta",Mercado_Receita!$L$2:$L$545)+SUMIF(Mercado_Receita!$S$2:$S$545,"44593B2ConvencionalRuralCooperativa de eletrificação ruralNão se aplicaNão se aplicaFora ponta",Mercado_Receita!$L$2:$L$545)+SUMIF(Mercado_Receita!$S$2:$S$545,"44593B2ConvencionalRuralCooperativa de eletrificação ruralNão se aplicaNão se aplicaIntermediário",Mercado_Receita!$L$2:$L$545)+SUMIF(Mercado_Receita!$S$2:$S$545,"44593B2ConvencionalRuralCooperativa de eletrificação ruralNão se aplicaNão se aplicaNão se aplica",Mercado_Receita!$L$2:$L$545)</f>
        <v>0</v>
      </c>
      <c r="Q34" s="13">
        <f>SUMIF(Mercado_Receita!$S$2:$S$545,"44621B2ConvencionalRuralCooperativa de eletrificação ruralNão se aplicaNão se aplicaPonta",Mercado_Receita!$L$2:$L$545)+SUMIF(Mercado_Receita!$S$2:$S$545,"44621B2ConvencionalRuralCooperativa de eletrificação ruralNão se aplicaNão se aplicaFora ponta",Mercado_Receita!$L$2:$L$545)+SUMIF(Mercado_Receita!$S$2:$S$545,"44621B2ConvencionalRuralCooperativa de eletrificação ruralNão se aplicaNão se aplicaIntermediário",Mercado_Receita!$L$2:$L$545)+SUMIF(Mercado_Receita!$S$2:$S$545,"44621B2ConvencionalRuralCooperativa de eletrificação ruralNão se aplicaNão se aplicaNão se aplica",Mercado_Receita!$L$2:$L$545)</f>
        <v>0</v>
      </c>
      <c r="R34" s="13">
        <f>SUMIF(Mercado_Receita!$S$2:$S$545,"44652B2ConvencionalRuralCooperativa de eletrificação ruralNão se aplicaNão se aplicaPonta",Mercado_Receita!$L$2:$L$545)+SUMIF(Mercado_Receita!$S$2:$S$545,"44652B2ConvencionalRuralCooperativa de eletrificação ruralNão se aplicaNão se aplicaFora ponta",Mercado_Receita!$L$2:$L$545)+SUMIF(Mercado_Receita!$S$2:$S$545,"44652B2ConvencionalRuralCooperativa de eletrificação ruralNão se aplicaNão se aplicaIntermediário",Mercado_Receita!$L$2:$L$545)+SUMIF(Mercado_Receita!$S$2:$S$545,"44652B2ConvencionalRuralCooperativa de eletrificação ruralNão se aplicaNão se aplicaNão se aplica",Mercado_Receita!$L$2:$L$545)</f>
        <v>0</v>
      </c>
      <c r="S34" s="13">
        <f>SUMIF(Mercado_Receita!$S$2:$S$545,"44682B2ConvencionalRuralCooperativa de eletrificação ruralNão se aplicaNão se aplicaPonta",Mercado_Receita!$L$2:$L$545)+SUMIF(Mercado_Receita!$S$2:$S$545,"44682B2ConvencionalRuralCooperativa de eletrificação ruralNão se aplicaNão se aplicaFora ponta",Mercado_Receita!$L$2:$L$545)+SUMIF(Mercado_Receita!$S$2:$S$545,"44682B2ConvencionalRuralCooperativa de eletrificação ruralNão se aplicaNão se aplicaIntermediário",Mercado_Receita!$L$2:$L$545)+SUMIF(Mercado_Receita!$S$2:$S$545,"44682B2ConvencionalRuralCooperativa de eletrificação ruralNão se aplicaNão se aplicaNão se aplica",Mercado_Receita!$L$2:$L$545)</f>
        <v>0</v>
      </c>
      <c r="T34" s="13">
        <f>SUMIF(Mercado_Receita!$S$2:$S$545,"44713B2ConvencionalRuralCooperativa de eletrificação ruralNão se aplicaNão se aplicaPonta",Mercado_Receita!$L$2:$L$545)+SUMIF(Mercado_Receita!$S$2:$S$545,"44713B2ConvencionalRuralCooperativa de eletrificação ruralNão se aplicaNão se aplicaFora ponta",Mercado_Receita!$L$2:$L$545)+SUMIF(Mercado_Receita!$S$2:$S$545,"44713B2ConvencionalRuralCooperativa de eletrificação ruralNão se aplicaNão se aplicaIntermediário",Mercado_Receita!$L$2:$L$545)+SUMIF(Mercado_Receita!$S$2:$S$545,"44713B2ConvencionalRuralCooperativa de eletrificação ruralNão se aplicaNão se aplicaNão se aplica",Mercado_Receita!$L$2:$L$545)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95"/>
      <c r="B35" s="94" t="s">
        <v>86</v>
      </c>
      <c r="C35" s="94" t="s">
        <v>42</v>
      </c>
      <c r="D35" s="94" t="s">
        <v>90</v>
      </c>
      <c r="E35" s="94" t="s">
        <v>25</v>
      </c>
      <c r="F35" s="94" t="s">
        <v>25</v>
      </c>
      <c r="G35" s="13" t="s">
        <v>74</v>
      </c>
      <c r="H35" s="13" t="s">
        <v>73</v>
      </c>
      <c r="I35" s="13">
        <f>SUMIF(Mercado_Receita!$S$2:$S$545,"44378B2BrancaRuralServiço público de irrigação ruralNão se aplicaNão se aplicaPonta",Mercado_Receita!$L$2:$L$545)</f>
        <v>0</v>
      </c>
      <c r="J35" s="13">
        <f>SUMIF(Mercado_Receita!$S$2:$S$545,"44409B2BrancaRuralServiço público de irrigação ruralNão se aplicaNão se aplicaPonta",Mercado_Receita!$L$2:$L$545)</f>
        <v>0</v>
      </c>
      <c r="K35" s="13">
        <f>SUMIF(Mercado_Receita!$S$2:$S$545,"44440B2BrancaRuralServiço público de irrigação ruralNão se aplicaNão se aplicaPonta",Mercado_Receita!$L$2:$L$545)</f>
        <v>0</v>
      </c>
      <c r="L35" s="13">
        <f>SUMIF(Mercado_Receita!$S$2:$S$545,"44470B2BrancaRuralServiço público de irrigação ruralNão se aplicaNão se aplicaPonta",Mercado_Receita!$L$2:$L$545)</f>
        <v>0</v>
      </c>
      <c r="M35" s="13">
        <f>SUMIF(Mercado_Receita!$S$2:$S$545,"44501B2BrancaRuralServiço público de irrigação ruralNão se aplicaNão se aplicaPonta",Mercado_Receita!$L$2:$L$545)</f>
        <v>0</v>
      </c>
      <c r="N35" s="13">
        <f>SUMIF(Mercado_Receita!$S$2:$S$545,"44531B2BrancaRuralServiço público de irrigação ruralNão se aplicaNão se aplicaPonta",Mercado_Receita!$L$2:$L$545)</f>
        <v>0</v>
      </c>
      <c r="O35" s="13">
        <f>SUMIF(Mercado_Receita!$S$2:$S$545,"44562B2BrancaRuralServiço público de irrigação ruralNão se aplicaNão se aplicaPonta",Mercado_Receita!$L$2:$L$545)</f>
        <v>0</v>
      </c>
      <c r="P35" s="13">
        <f>SUMIF(Mercado_Receita!$S$2:$S$545,"44593B2BrancaRuralServiço público de irrigação ruralNão se aplicaNão se aplicaPonta",Mercado_Receita!$L$2:$L$545)</f>
        <v>0</v>
      </c>
      <c r="Q35" s="13">
        <f>SUMIF(Mercado_Receita!$S$2:$S$545,"44621B2BrancaRuralServiço público de irrigação ruralNão se aplicaNão se aplicaPonta",Mercado_Receita!$L$2:$L$545)</f>
        <v>0</v>
      </c>
      <c r="R35" s="13">
        <f>SUMIF(Mercado_Receita!$S$2:$S$545,"44652B2BrancaRuralServiço público de irrigação ruralNão se aplicaNão se aplicaPonta",Mercado_Receita!$L$2:$L$545)</f>
        <v>0</v>
      </c>
      <c r="S35" s="13">
        <f>SUMIF(Mercado_Receita!$S$2:$S$545,"44682B2BrancaRuralServiço público de irrigação ruralNão se aplicaNão se aplicaPonta",Mercado_Receita!$L$2:$L$545)</f>
        <v>0</v>
      </c>
      <c r="T35" s="13">
        <f>SUMIF(Mercado_Receita!$S$2:$S$545,"44713B2BrancaRuralServiço público de irrigação ruralNão se aplicaNão se aplicaPonta",Mercado_Receita!$L$2:$L$545)</f>
        <v>0</v>
      </c>
      <c r="U35" s="13">
        <f t="shared" si="0"/>
        <v>0</v>
      </c>
      <c r="V35" s="13"/>
      <c r="W35" s="13"/>
    </row>
    <row r="36" spans="1:23" ht="11.25" customHeight="1" x14ac:dyDescent="0.25">
      <c r="A36" s="95"/>
      <c r="B36" s="95"/>
      <c r="C36" s="95"/>
      <c r="D36" s="95"/>
      <c r="E36" s="95"/>
      <c r="F36" s="95"/>
      <c r="G36" s="13" t="s">
        <v>85</v>
      </c>
      <c r="H36" s="13" t="s">
        <v>73</v>
      </c>
      <c r="I36" s="13">
        <f>SUMIF(Mercado_Receita!$S$2:$S$545,"44378B2BrancaRuralServiço público de irrigação ruralNão se aplicaNão se aplicaIntermediário",Mercado_Receita!$L$2:$L$545)</f>
        <v>0</v>
      </c>
      <c r="J36" s="13">
        <f>SUMIF(Mercado_Receita!$S$2:$S$545,"44409B2BrancaRuralServiço público de irrigação ruralNão se aplicaNão se aplicaIntermediário",Mercado_Receita!$L$2:$L$545)</f>
        <v>0</v>
      </c>
      <c r="K36" s="13">
        <f>SUMIF(Mercado_Receita!$S$2:$S$545,"44440B2BrancaRuralServiço público de irrigação ruralNão se aplicaNão se aplicaIntermediário",Mercado_Receita!$L$2:$L$545)</f>
        <v>0</v>
      </c>
      <c r="L36" s="13">
        <f>SUMIF(Mercado_Receita!$S$2:$S$545,"44470B2BrancaRuralServiço público de irrigação ruralNão se aplicaNão se aplicaIntermediário",Mercado_Receita!$L$2:$L$545)</f>
        <v>0</v>
      </c>
      <c r="M36" s="13">
        <f>SUMIF(Mercado_Receita!$S$2:$S$545,"44501B2BrancaRuralServiço público de irrigação ruralNão se aplicaNão se aplicaIntermediário",Mercado_Receita!$L$2:$L$545)</f>
        <v>0</v>
      </c>
      <c r="N36" s="13">
        <f>SUMIF(Mercado_Receita!$S$2:$S$545,"44531B2BrancaRuralServiço público de irrigação ruralNão se aplicaNão se aplicaIntermediário",Mercado_Receita!$L$2:$L$545)</f>
        <v>0</v>
      </c>
      <c r="O36" s="13">
        <f>SUMIF(Mercado_Receita!$S$2:$S$545,"44562B2BrancaRuralServiço público de irrigação ruralNão se aplicaNão se aplicaIntermediário",Mercado_Receita!$L$2:$L$545)</f>
        <v>0</v>
      </c>
      <c r="P36" s="13">
        <f>SUMIF(Mercado_Receita!$S$2:$S$545,"44593B2BrancaRuralServiço público de irrigação ruralNão se aplicaNão se aplicaIntermediário",Mercado_Receita!$L$2:$L$545)</f>
        <v>0</v>
      </c>
      <c r="Q36" s="13">
        <f>SUMIF(Mercado_Receita!$S$2:$S$545,"44621B2BrancaRuralServiço público de irrigação ruralNão se aplicaNão se aplicaIntermediário",Mercado_Receita!$L$2:$L$545)</f>
        <v>0</v>
      </c>
      <c r="R36" s="13">
        <f>SUMIF(Mercado_Receita!$S$2:$S$545,"44652B2BrancaRuralServiço público de irrigação ruralNão se aplicaNão se aplicaIntermediário",Mercado_Receita!$L$2:$L$545)</f>
        <v>0</v>
      </c>
      <c r="S36" s="13">
        <f>SUMIF(Mercado_Receita!$S$2:$S$545,"44682B2BrancaRuralServiço público de irrigação ruralNão se aplicaNão se aplicaIntermediário",Mercado_Receita!$L$2:$L$545)</f>
        <v>0</v>
      </c>
      <c r="T36" s="13">
        <f>SUMIF(Mercado_Receita!$S$2:$S$545,"44713B2BrancaRuralServiço público de irrigação ruralNão se aplicaNão se aplicaIntermediário",Mercado_Receita!$L$2:$L$545)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95"/>
      <c r="B37" s="95"/>
      <c r="C37" s="95"/>
      <c r="D37" s="95"/>
      <c r="E37" s="95"/>
      <c r="F37" s="95"/>
      <c r="G37" s="13" t="s">
        <v>75</v>
      </c>
      <c r="H37" s="13" t="s">
        <v>73</v>
      </c>
      <c r="I37" s="13">
        <f>SUMIF(Mercado_Receita!$S$2:$S$545,"44378B2BrancaRuralServiço público de irrigação ruralNão se aplicaNão se aplicaFora ponta",Mercado_Receita!$L$2:$L$545)</f>
        <v>0</v>
      </c>
      <c r="J37" s="13">
        <f>SUMIF(Mercado_Receita!$S$2:$S$545,"44409B2BrancaRuralServiço público de irrigação ruralNão se aplicaNão se aplicaFora ponta",Mercado_Receita!$L$2:$L$545)</f>
        <v>0</v>
      </c>
      <c r="K37" s="13">
        <f>SUMIF(Mercado_Receita!$S$2:$S$545,"44440B2BrancaRuralServiço público de irrigação ruralNão se aplicaNão se aplicaFora ponta",Mercado_Receita!$L$2:$L$545)</f>
        <v>0</v>
      </c>
      <c r="L37" s="13">
        <f>SUMIF(Mercado_Receita!$S$2:$S$545,"44470B2BrancaRuralServiço público de irrigação ruralNão se aplicaNão se aplicaFora ponta",Mercado_Receita!$L$2:$L$545)</f>
        <v>0</v>
      </c>
      <c r="M37" s="13">
        <f>SUMIF(Mercado_Receita!$S$2:$S$545,"44501B2BrancaRuralServiço público de irrigação ruralNão se aplicaNão se aplicaFora ponta",Mercado_Receita!$L$2:$L$545)</f>
        <v>0</v>
      </c>
      <c r="N37" s="13">
        <f>SUMIF(Mercado_Receita!$S$2:$S$545,"44531B2BrancaRuralServiço público de irrigação ruralNão se aplicaNão se aplicaFora ponta",Mercado_Receita!$L$2:$L$545)</f>
        <v>0</v>
      </c>
      <c r="O37" s="13">
        <f>SUMIF(Mercado_Receita!$S$2:$S$545,"44562B2BrancaRuralServiço público de irrigação ruralNão se aplicaNão se aplicaFora ponta",Mercado_Receita!$L$2:$L$545)</f>
        <v>0</v>
      </c>
      <c r="P37" s="13">
        <f>SUMIF(Mercado_Receita!$S$2:$S$545,"44593B2BrancaRuralServiço público de irrigação ruralNão se aplicaNão se aplicaFora ponta",Mercado_Receita!$L$2:$L$545)</f>
        <v>0</v>
      </c>
      <c r="Q37" s="13">
        <f>SUMIF(Mercado_Receita!$S$2:$S$545,"44621B2BrancaRuralServiço público de irrigação ruralNão se aplicaNão se aplicaFora ponta",Mercado_Receita!$L$2:$L$545)</f>
        <v>0</v>
      </c>
      <c r="R37" s="13">
        <f>SUMIF(Mercado_Receita!$S$2:$S$545,"44652B2BrancaRuralServiço público de irrigação ruralNão se aplicaNão se aplicaFora ponta",Mercado_Receita!$L$2:$L$545)</f>
        <v>0</v>
      </c>
      <c r="S37" s="13">
        <f>SUMIF(Mercado_Receita!$S$2:$S$545,"44682B2BrancaRuralServiço público de irrigação ruralNão se aplicaNão se aplicaFora ponta",Mercado_Receita!$L$2:$L$545)</f>
        <v>0</v>
      </c>
      <c r="T37" s="13">
        <f>SUMIF(Mercado_Receita!$S$2:$S$545,"44713B2BrancaRuralServiço público de irrigação ruralNão se aplicaNão se aplicaFora ponta",Mercado_Receita!$L$2:$L$545)</f>
        <v>0</v>
      </c>
      <c r="U37" s="13">
        <f t="shared" si="0"/>
        <v>0</v>
      </c>
      <c r="V37" s="13"/>
      <c r="W37" s="13"/>
    </row>
    <row r="38" spans="1:23" ht="11.25" customHeight="1" x14ac:dyDescent="0.25">
      <c r="A38" s="95"/>
      <c r="B38" s="12" t="s">
        <v>23</v>
      </c>
      <c r="C38" s="12" t="s">
        <v>42</v>
      </c>
      <c r="D38" s="12" t="s">
        <v>90</v>
      </c>
      <c r="E38" s="12" t="s">
        <v>25</v>
      </c>
      <c r="F38" s="12" t="s">
        <v>25</v>
      </c>
      <c r="G38" s="13" t="s">
        <v>77</v>
      </c>
      <c r="H38" s="13" t="s">
        <v>73</v>
      </c>
      <c r="I38" s="13">
        <f>SUMIF(Mercado_Receita!$S$2:$S$545,"44378B2ConvencionalRuralServiço público de irrigação ruralNão se aplicaNão se aplicaPonta",Mercado_Receita!$L$2:$L$545)+SUMIF(Mercado_Receita!$S$2:$S$545,"44378B2ConvencionalRuralServiço público de irrigação ruralNão se aplicaNão se aplicaFora ponta",Mercado_Receita!$L$2:$L$545)+SUMIF(Mercado_Receita!$S$2:$S$545,"44378B2ConvencionalRuralServiço público de irrigação ruralNão se aplicaNão se aplicaIntermediário",Mercado_Receita!$L$2:$L$545)+SUMIF(Mercado_Receita!$S$2:$S$545,"44378B2ConvencionalRuralServiço público de irrigação ruralNão se aplicaNão se aplicaNão se aplica",Mercado_Receita!$L$2:$L$545)</f>
        <v>0</v>
      </c>
      <c r="J38" s="13">
        <f>SUMIF(Mercado_Receita!$S$2:$S$545,"44409B2ConvencionalRuralServiço público de irrigação ruralNão se aplicaNão se aplicaPonta",Mercado_Receita!$L$2:$L$545)+SUMIF(Mercado_Receita!$S$2:$S$545,"44409B2ConvencionalRuralServiço público de irrigação ruralNão se aplicaNão se aplicaFora ponta",Mercado_Receita!$L$2:$L$545)+SUMIF(Mercado_Receita!$S$2:$S$545,"44409B2ConvencionalRuralServiço público de irrigação ruralNão se aplicaNão se aplicaIntermediário",Mercado_Receita!$L$2:$L$545)+SUMIF(Mercado_Receita!$S$2:$S$545,"44409B2ConvencionalRuralServiço público de irrigação ruralNão se aplicaNão se aplicaNão se aplica",Mercado_Receita!$L$2:$L$545)</f>
        <v>0</v>
      </c>
      <c r="K38" s="13">
        <f>SUMIF(Mercado_Receita!$S$2:$S$545,"44440B2ConvencionalRuralServiço público de irrigação ruralNão se aplicaNão se aplicaPonta",Mercado_Receita!$L$2:$L$545)+SUMIF(Mercado_Receita!$S$2:$S$545,"44440B2ConvencionalRuralServiço público de irrigação ruralNão se aplicaNão se aplicaFora ponta",Mercado_Receita!$L$2:$L$545)+SUMIF(Mercado_Receita!$S$2:$S$545,"44440B2ConvencionalRuralServiço público de irrigação ruralNão se aplicaNão se aplicaIntermediário",Mercado_Receita!$L$2:$L$545)+SUMIF(Mercado_Receita!$S$2:$S$545,"44440B2ConvencionalRuralServiço público de irrigação ruralNão se aplicaNão se aplicaNão se aplica",Mercado_Receita!$L$2:$L$545)</f>
        <v>0</v>
      </c>
      <c r="L38" s="13">
        <f>SUMIF(Mercado_Receita!$S$2:$S$545,"44470B2ConvencionalRuralServiço público de irrigação ruralNão se aplicaNão se aplicaPonta",Mercado_Receita!$L$2:$L$545)+SUMIF(Mercado_Receita!$S$2:$S$545,"44470B2ConvencionalRuralServiço público de irrigação ruralNão se aplicaNão se aplicaFora ponta",Mercado_Receita!$L$2:$L$545)+SUMIF(Mercado_Receita!$S$2:$S$545,"44470B2ConvencionalRuralServiço público de irrigação ruralNão se aplicaNão se aplicaIntermediário",Mercado_Receita!$L$2:$L$545)+SUMIF(Mercado_Receita!$S$2:$S$545,"44470B2ConvencionalRuralServiço público de irrigação ruralNão se aplicaNão se aplicaNão se aplica",Mercado_Receita!$L$2:$L$545)</f>
        <v>0</v>
      </c>
      <c r="M38" s="13">
        <f>SUMIF(Mercado_Receita!$S$2:$S$545,"44501B2ConvencionalRuralServiço público de irrigação ruralNão se aplicaNão se aplicaPonta",Mercado_Receita!$L$2:$L$545)+SUMIF(Mercado_Receita!$S$2:$S$545,"44501B2ConvencionalRuralServiço público de irrigação ruralNão se aplicaNão se aplicaFora ponta",Mercado_Receita!$L$2:$L$545)+SUMIF(Mercado_Receita!$S$2:$S$545,"44501B2ConvencionalRuralServiço público de irrigação ruralNão se aplicaNão se aplicaIntermediário",Mercado_Receita!$L$2:$L$545)+SUMIF(Mercado_Receita!$S$2:$S$545,"44501B2ConvencionalRuralServiço público de irrigação ruralNão se aplicaNão se aplicaNão se aplica",Mercado_Receita!$L$2:$L$545)</f>
        <v>0</v>
      </c>
      <c r="N38" s="13">
        <f>SUMIF(Mercado_Receita!$S$2:$S$545,"44531B2ConvencionalRuralServiço público de irrigação ruralNão se aplicaNão se aplicaPonta",Mercado_Receita!$L$2:$L$545)+SUMIF(Mercado_Receita!$S$2:$S$545,"44531B2ConvencionalRuralServiço público de irrigação ruralNão se aplicaNão se aplicaFora ponta",Mercado_Receita!$L$2:$L$545)+SUMIF(Mercado_Receita!$S$2:$S$545,"44531B2ConvencionalRuralServiço público de irrigação ruralNão se aplicaNão se aplicaIntermediário",Mercado_Receita!$L$2:$L$545)+SUMIF(Mercado_Receita!$S$2:$S$545,"44531B2ConvencionalRuralServiço público de irrigação ruralNão se aplicaNão se aplicaNão se aplica",Mercado_Receita!$L$2:$L$545)</f>
        <v>0</v>
      </c>
      <c r="O38" s="13">
        <f>SUMIF(Mercado_Receita!$S$2:$S$545,"44562B2ConvencionalRuralServiço público de irrigação ruralNão se aplicaNão se aplicaPonta",Mercado_Receita!$L$2:$L$545)+SUMIF(Mercado_Receita!$S$2:$S$545,"44562B2ConvencionalRuralServiço público de irrigação ruralNão se aplicaNão se aplicaFora ponta",Mercado_Receita!$L$2:$L$545)+SUMIF(Mercado_Receita!$S$2:$S$545,"44562B2ConvencionalRuralServiço público de irrigação ruralNão se aplicaNão se aplicaIntermediário",Mercado_Receita!$L$2:$L$545)+SUMIF(Mercado_Receita!$S$2:$S$545,"44562B2ConvencionalRuralServiço público de irrigação ruralNão se aplicaNão se aplicaNão se aplica",Mercado_Receita!$L$2:$L$545)</f>
        <v>0</v>
      </c>
      <c r="P38" s="13">
        <f>SUMIF(Mercado_Receita!$S$2:$S$545,"44593B2ConvencionalRuralServiço público de irrigação ruralNão se aplicaNão se aplicaPonta",Mercado_Receita!$L$2:$L$545)+SUMIF(Mercado_Receita!$S$2:$S$545,"44593B2ConvencionalRuralServiço público de irrigação ruralNão se aplicaNão se aplicaFora ponta",Mercado_Receita!$L$2:$L$545)+SUMIF(Mercado_Receita!$S$2:$S$545,"44593B2ConvencionalRuralServiço público de irrigação ruralNão se aplicaNão se aplicaIntermediário",Mercado_Receita!$L$2:$L$545)+SUMIF(Mercado_Receita!$S$2:$S$545,"44593B2ConvencionalRuralServiço público de irrigação ruralNão se aplicaNão se aplicaNão se aplica",Mercado_Receita!$L$2:$L$545)</f>
        <v>0</v>
      </c>
      <c r="Q38" s="13">
        <f>SUMIF(Mercado_Receita!$S$2:$S$545,"44621B2ConvencionalRuralServiço público de irrigação ruralNão se aplicaNão se aplicaPonta",Mercado_Receita!$L$2:$L$545)+SUMIF(Mercado_Receita!$S$2:$S$545,"44621B2ConvencionalRuralServiço público de irrigação ruralNão se aplicaNão se aplicaFora ponta",Mercado_Receita!$L$2:$L$545)+SUMIF(Mercado_Receita!$S$2:$S$545,"44621B2ConvencionalRuralServiço público de irrigação ruralNão se aplicaNão se aplicaIntermediário",Mercado_Receita!$L$2:$L$545)+SUMIF(Mercado_Receita!$S$2:$S$545,"44621B2ConvencionalRuralServiço público de irrigação ruralNão se aplicaNão se aplicaNão se aplica",Mercado_Receita!$L$2:$L$545)</f>
        <v>0</v>
      </c>
      <c r="R38" s="13">
        <f>SUMIF(Mercado_Receita!$S$2:$S$545,"44652B2ConvencionalRuralServiço público de irrigação ruralNão se aplicaNão se aplicaPonta",Mercado_Receita!$L$2:$L$545)+SUMIF(Mercado_Receita!$S$2:$S$545,"44652B2ConvencionalRuralServiço público de irrigação ruralNão se aplicaNão se aplicaFora ponta",Mercado_Receita!$L$2:$L$545)+SUMIF(Mercado_Receita!$S$2:$S$545,"44652B2ConvencionalRuralServiço público de irrigação ruralNão se aplicaNão se aplicaIntermediário",Mercado_Receita!$L$2:$L$545)+SUMIF(Mercado_Receita!$S$2:$S$545,"44652B2ConvencionalRuralServiço público de irrigação ruralNão se aplicaNão se aplicaNão se aplica",Mercado_Receita!$L$2:$L$545)</f>
        <v>0</v>
      </c>
      <c r="S38" s="13">
        <f>SUMIF(Mercado_Receita!$S$2:$S$545,"44682B2ConvencionalRuralServiço público de irrigação ruralNão se aplicaNão se aplicaPonta",Mercado_Receita!$L$2:$L$545)+SUMIF(Mercado_Receita!$S$2:$S$545,"44682B2ConvencionalRuralServiço público de irrigação ruralNão se aplicaNão se aplicaFora ponta",Mercado_Receita!$L$2:$L$545)+SUMIF(Mercado_Receita!$S$2:$S$545,"44682B2ConvencionalRuralServiço público de irrigação ruralNão se aplicaNão se aplicaIntermediário",Mercado_Receita!$L$2:$L$545)+SUMIF(Mercado_Receita!$S$2:$S$545,"44682B2ConvencionalRuralServiço público de irrigação ruralNão se aplicaNão se aplicaNão se aplica",Mercado_Receita!$L$2:$L$545)</f>
        <v>0</v>
      </c>
      <c r="T38" s="13">
        <f>SUMIF(Mercado_Receita!$S$2:$S$545,"44713B2ConvencionalRuralServiço público de irrigação ruralNão se aplicaNão se aplicaPonta",Mercado_Receita!$L$2:$L$545)+SUMIF(Mercado_Receita!$S$2:$S$545,"44713B2ConvencionalRuralServiço público de irrigação ruralNão se aplicaNão se aplicaFora ponta",Mercado_Receita!$L$2:$L$545)+SUMIF(Mercado_Receita!$S$2:$S$545,"44713B2ConvencionalRuralServiço público de irrigação ruralNão se aplicaNão se aplicaIntermediário",Mercado_Receita!$L$2:$L$545)+SUMIF(Mercado_Receita!$S$2:$S$545,"44713B2ConvencionalRuralServiço público de irrigação ruralNão se aplicaNão se aplicaNão se aplica",Mercado_Receita!$L$2:$L$545)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95"/>
      <c r="B39" s="94" t="s">
        <v>88</v>
      </c>
      <c r="C39" s="94" t="s">
        <v>42</v>
      </c>
      <c r="D39" s="12" t="s">
        <v>25</v>
      </c>
      <c r="E39" s="12" t="s">
        <v>25</v>
      </c>
      <c r="F39" s="12" t="s">
        <v>25</v>
      </c>
      <c r="G39" s="13" t="s">
        <v>77</v>
      </c>
      <c r="H39" s="13" t="s">
        <v>73</v>
      </c>
      <c r="I39" s="13">
        <f>SUMIF(Mercado_Receita!$S$2:$S$545,"44378B2Convencional pré-pagamentoRuralNão se aplicaNão se aplicaNão se aplicaPonta",Mercado_Receita!$L$2:$L$545)+SUMIF(Mercado_Receita!$S$2:$S$545,"44378B2Convencional pré-pagamentoRuralNão se aplicaNão se aplicaNão se aplicaFora ponta",Mercado_Receita!$L$2:$L$545)+SUMIF(Mercado_Receita!$S$2:$S$545,"44378B2Convencional pré-pagamentoRuralNão se aplicaNão se aplicaNão se aplicaIntermediário",Mercado_Receita!$L$2:$L$545)+SUMIF(Mercado_Receita!$S$2:$S$545,"44378B2Convencional pré-pagamentoRuralNão se aplicaNão se aplicaNão se aplicaNão se aplica",Mercado_Receita!$L$2:$L$545)</f>
        <v>0</v>
      </c>
      <c r="J39" s="13">
        <f>SUMIF(Mercado_Receita!$S$2:$S$545,"44409B2Convencional pré-pagamentoRuralNão se aplicaNão se aplicaNão se aplicaPonta",Mercado_Receita!$L$2:$L$545)+SUMIF(Mercado_Receita!$S$2:$S$545,"44409B2Convencional pré-pagamentoRuralNão se aplicaNão se aplicaNão se aplicaFora ponta",Mercado_Receita!$L$2:$L$545)+SUMIF(Mercado_Receita!$S$2:$S$545,"44409B2Convencional pré-pagamentoRuralNão se aplicaNão se aplicaNão se aplicaIntermediário",Mercado_Receita!$L$2:$L$545)+SUMIF(Mercado_Receita!$S$2:$S$545,"44409B2Convencional pré-pagamentoRuralNão se aplicaNão se aplicaNão se aplicaNão se aplica",Mercado_Receita!$L$2:$L$545)</f>
        <v>0</v>
      </c>
      <c r="K39" s="13">
        <f>SUMIF(Mercado_Receita!$S$2:$S$545,"44440B2Convencional pré-pagamentoRuralNão se aplicaNão se aplicaNão se aplicaPonta",Mercado_Receita!$L$2:$L$545)+SUMIF(Mercado_Receita!$S$2:$S$545,"44440B2Convencional pré-pagamentoRuralNão se aplicaNão se aplicaNão se aplicaFora ponta",Mercado_Receita!$L$2:$L$545)+SUMIF(Mercado_Receita!$S$2:$S$545,"44440B2Convencional pré-pagamentoRuralNão se aplicaNão se aplicaNão se aplicaIntermediário",Mercado_Receita!$L$2:$L$545)+SUMIF(Mercado_Receita!$S$2:$S$545,"44440B2Convencional pré-pagamentoRuralNão se aplicaNão se aplicaNão se aplicaNão se aplica",Mercado_Receita!$L$2:$L$545)</f>
        <v>0</v>
      </c>
      <c r="L39" s="13">
        <f>SUMIF(Mercado_Receita!$S$2:$S$545,"44470B2Convencional pré-pagamentoRuralNão se aplicaNão se aplicaNão se aplicaPonta",Mercado_Receita!$L$2:$L$545)+SUMIF(Mercado_Receita!$S$2:$S$545,"44470B2Convencional pré-pagamentoRuralNão se aplicaNão se aplicaNão se aplicaFora ponta",Mercado_Receita!$L$2:$L$545)+SUMIF(Mercado_Receita!$S$2:$S$545,"44470B2Convencional pré-pagamentoRuralNão se aplicaNão se aplicaNão se aplicaIntermediário",Mercado_Receita!$L$2:$L$545)+SUMIF(Mercado_Receita!$S$2:$S$545,"44470B2Convencional pré-pagamentoRuralNão se aplicaNão se aplicaNão se aplicaNão se aplica",Mercado_Receita!$L$2:$L$545)</f>
        <v>0</v>
      </c>
      <c r="M39" s="13">
        <f>SUMIF(Mercado_Receita!$S$2:$S$545,"44501B2Convencional pré-pagamentoRuralNão se aplicaNão se aplicaNão se aplicaPonta",Mercado_Receita!$L$2:$L$545)+SUMIF(Mercado_Receita!$S$2:$S$545,"44501B2Convencional pré-pagamentoRuralNão se aplicaNão se aplicaNão se aplicaFora ponta",Mercado_Receita!$L$2:$L$545)+SUMIF(Mercado_Receita!$S$2:$S$545,"44501B2Convencional pré-pagamentoRuralNão se aplicaNão se aplicaNão se aplicaIntermediário",Mercado_Receita!$L$2:$L$545)+SUMIF(Mercado_Receita!$S$2:$S$545,"44501B2Convencional pré-pagamentoRuralNão se aplicaNão se aplicaNão se aplicaNão se aplica",Mercado_Receita!$L$2:$L$545)</f>
        <v>0</v>
      </c>
      <c r="N39" s="13">
        <f>SUMIF(Mercado_Receita!$S$2:$S$545,"44531B2Convencional pré-pagamentoRuralNão se aplicaNão se aplicaNão se aplicaPonta",Mercado_Receita!$L$2:$L$545)+SUMIF(Mercado_Receita!$S$2:$S$545,"44531B2Convencional pré-pagamentoRuralNão se aplicaNão se aplicaNão se aplicaFora ponta",Mercado_Receita!$L$2:$L$545)+SUMIF(Mercado_Receita!$S$2:$S$545,"44531B2Convencional pré-pagamentoRuralNão se aplicaNão se aplicaNão se aplicaIntermediário",Mercado_Receita!$L$2:$L$545)+SUMIF(Mercado_Receita!$S$2:$S$545,"44531B2Convencional pré-pagamentoRuralNão se aplicaNão se aplicaNão se aplicaNão se aplica",Mercado_Receita!$L$2:$L$545)</f>
        <v>0</v>
      </c>
      <c r="O39" s="13">
        <f>SUMIF(Mercado_Receita!$S$2:$S$545,"44562B2Convencional pré-pagamentoRuralNão se aplicaNão se aplicaNão se aplicaPonta",Mercado_Receita!$L$2:$L$545)+SUMIF(Mercado_Receita!$S$2:$S$545,"44562B2Convencional pré-pagamentoRuralNão se aplicaNão se aplicaNão se aplicaFora ponta",Mercado_Receita!$L$2:$L$545)+SUMIF(Mercado_Receita!$S$2:$S$545,"44562B2Convencional pré-pagamentoRuralNão se aplicaNão se aplicaNão se aplicaIntermediário",Mercado_Receita!$L$2:$L$545)+SUMIF(Mercado_Receita!$S$2:$S$545,"44562B2Convencional pré-pagamentoRuralNão se aplicaNão se aplicaNão se aplicaNão se aplica",Mercado_Receita!$L$2:$L$545)</f>
        <v>0</v>
      </c>
      <c r="P39" s="13">
        <f>SUMIF(Mercado_Receita!$S$2:$S$545,"44593B2Convencional pré-pagamentoRuralNão se aplicaNão se aplicaNão se aplicaPonta",Mercado_Receita!$L$2:$L$545)+SUMIF(Mercado_Receita!$S$2:$S$545,"44593B2Convencional pré-pagamentoRuralNão se aplicaNão se aplicaNão se aplicaFora ponta",Mercado_Receita!$L$2:$L$545)+SUMIF(Mercado_Receita!$S$2:$S$545,"44593B2Convencional pré-pagamentoRuralNão se aplicaNão se aplicaNão se aplicaIntermediário",Mercado_Receita!$L$2:$L$545)+SUMIF(Mercado_Receita!$S$2:$S$545,"44593B2Convencional pré-pagamentoRuralNão se aplicaNão se aplicaNão se aplicaNão se aplica",Mercado_Receita!$L$2:$L$545)</f>
        <v>0</v>
      </c>
      <c r="Q39" s="13">
        <f>SUMIF(Mercado_Receita!$S$2:$S$545,"44621B2Convencional pré-pagamentoRuralNão se aplicaNão se aplicaNão se aplicaPonta",Mercado_Receita!$L$2:$L$545)+SUMIF(Mercado_Receita!$S$2:$S$545,"44621B2Convencional pré-pagamentoRuralNão se aplicaNão se aplicaNão se aplicaFora ponta",Mercado_Receita!$L$2:$L$545)+SUMIF(Mercado_Receita!$S$2:$S$545,"44621B2Convencional pré-pagamentoRuralNão se aplicaNão se aplicaNão se aplicaIntermediário",Mercado_Receita!$L$2:$L$545)+SUMIF(Mercado_Receita!$S$2:$S$545,"44621B2Convencional pré-pagamentoRuralNão se aplicaNão se aplicaNão se aplicaNão se aplica",Mercado_Receita!$L$2:$L$545)</f>
        <v>0</v>
      </c>
      <c r="R39" s="13">
        <f>SUMIF(Mercado_Receita!$S$2:$S$545,"44652B2Convencional pré-pagamentoRuralNão se aplicaNão se aplicaNão se aplicaPonta",Mercado_Receita!$L$2:$L$545)+SUMIF(Mercado_Receita!$S$2:$S$545,"44652B2Convencional pré-pagamentoRuralNão se aplicaNão se aplicaNão se aplicaFora ponta",Mercado_Receita!$L$2:$L$545)+SUMIF(Mercado_Receita!$S$2:$S$545,"44652B2Convencional pré-pagamentoRuralNão se aplicaNão se aplicaNão se aplicaIntermediário",Mercado_Receita!$L$2:$L$545)+SUMIF(Mercado_Receita!$S$2:$S$545,"44652B2Convencional pré-pagamentoRuralNão se aplicaNão se aplicaNão se aplicaNão se aplica",Mercado_Receita!$L$2:$L$545)</f>
        <v>0</v>
      </c>
      <c r="S39" s="13">
        <f>SUMIF(Mercado_Receita!$S$2:$S$545,"44682B2Convencional pré-pagamentoRuralNão se aplicaNão se aplicaNão se aplicaPonta",Mercado_Receita!$L$2:$L$545)+SUMIF(Mercado_Receita!$S$2:$S$545,"44682B2Convencional pré-pagamentoRuralNão se aplicaNão se aplicaNão se aplicaFora ponta",Mercado_Receita!$L$2:$L$545)+SUMIF(Mercado_Receita!$S$2:$S$545,"44682B2Convencional pré-pagamentoRuralNão se aplicaNão se aplicaNão se aplicaIntermediário",Mercado_Receita!$L$2:$L$545)+SUMIF(Mercado_Receita!$S$2:$S$545,"44682B2Convencional pré-pagamentoRuralNão se aplicaNão se aplicaNão se aplicaNão se aplica",Mercado_Receita!$L$2:$L$545)</f>
        <v>0</v>
      </c>
      <c r="T39" s="13">
        <f>SUMIF(Mercado_Receita!$S$2:$S$545,"44713B2Convencional pré-pagamentoRuralNão se aplicaNão se aplicaNão se aplicaPonta",Mercado_Receita!$L$2:$L$545)+SUMIF(Mercado_Receita!$S$2:$S$545,"44713B2Convencional pré-pagamentoRuralNão se aplicaNão se aplicaNão se aplicaFora ponta",Mercado_Receita!$L$2:$L$545)+SUMIF(Mercado_Receita!$S$2:$S$545,"44713B2Convencional pré-pagamentoRuralNão se aplicaNão se aplicaNão se aplicaIntermediário",Mercado_Receita!$L$2:$L$545)+SUMIF(Mercado_Receita!$S$2:$S$545,"44713B2Convencional pré-pagamentoRuralNão se aplicaNão se aplicaNão se aplicaNão se aplica",Mercado_Receita!$L$2:$L$545)</f>
        <v>0</v>
      </c>
      <c r="U39" s="13">
        <f t="shared" si="0"/>
        <v>0</v>
      </c>
      <c r="V39" s="13"/>
      <c r="W39" s="13"/>
    </row>
    <row r="40" spans="1:23" ht="11.25" customHeight="1" x14ac:dyDescent="0.25">
      <c r="A40" s="95"/>
      <c r="B40" s="95"/>
      <c r="C40" s="95"/>
      <c r="D40" s="12" t="s">
        <v>89</v>
      </c>
      <c r="E40" s="12" t="s">
        <v>25</v>
      </c>
      <c r="F40" s="12" t="s">
        <v>25</v>
      </c>
      <c r="G40" s="13" t="s">
        <v>77</v>
      </c>
      <c r="H40" s="13" t="s">
        <v>73</v>
      </c>
      <c r="I40" s="13">
        <f>SUMIF(Mercado_Receita!$S$2:$S$545,"44378B2Convencional pré-pagamentoRuralCooperativa de eletrificação ruralNão se aplicaNão se aplicaPonta",Mercado_Receita!$L$2:$L$545)+SUMIF(Mercado_Receita!$S$2:$S$545,"44378B2Convencional pré-pagamentoRuralCooperativa de eletrificação ruralNão se aplicaNão se aplicaFora ponta",Mercado_Receita!$L$2:$L$545)+SUMIF(Mercado_Receita!$S$2:$S$545,"44378B2Convencional pré-pagamentoRuralCooperativa de eletrificação ruralNão se aplicaNão se aplicaIntermediário",Mercado_Receita!$L$2:$L$545)+SUMIF(Mercado_Receita!$S$2:$S$545,"44378B2Convencional pré-pagamentoRuralCooperativa de eletrificação ruralNão se aplicaNão se aplicaNão se aplica",Mercado_Receita!$L$2:$L$545)</f>
        <v>0</v>
      </c>
      <c r="J40" s="13">
        <f>SUMIF(Mercado_Receita!$S$2:$S$545,"44409B2Convencional pré-pagamentoRuralCooperativa de eletrificação ruralNão se aplicaNão se aplicaPonta",Mercado_Receita!$L$2:$L$545)+SUMIF(Mercado_Receita!$S$2:$S$545,"44409B2Convencional pré-pagamentoRuralCooperativa de eletrificação ruralNão se aplicaNão se aplicaFora ponta",Mercado_Receita!$L$2:$L$545)+SUMIF(Mercado_Receita!$S$2:$S$545,"44409B2Convencional pré-pagamentoRuralCooperativa de eletrificação ruralNão se aplicaNão se aplicaIntermediário",Mercado_Receita!$L$2:$L$545)+SUMIF(Mercado_Receita!$S$2:$S$545,"44409B2Convencional pré-pagamentoRuralCooperativa de eletrificação ruralNão se aplicaNão se aplicaNão se aplica",Mercado_Receita!$L$2:$L$545)</f>
        <v>0</v>
      </c>
      <c r="K40" s="13">
        <f>SUMIF(Mercado_Receita!$S$2:$S$545,"44440B2Convencional pré-pagamentoRuralCooperativa de eletrificação ruralNão se aplicaNão se aplicaPonta",Mercado_Receita!$L$2:$L$545)+SUMIF(Mercado_Receita!$S$2:$S$545,"44440B2Convencional pré-pagamentoRuralCooperativa de eletrificação ruralNão se aplicaNão se aplicaFora ponta",Mercado_Receita!$L$2:$L$545)+SUMIF(Mercado_Receita!$S$2:$S$545,"44440B2Convencional pré-pagamentoRuralCooperativa de eletrificação ruralNão se aplicaNão se aplicaIntermediário",Mercado_Receita!$L$2:$L$545)+SUMIF(Mercado_Receita!$S$2:$S$545,"44440B2Convencional pré-pagamentoRuralCooperativa de eletrificação ruralNão se aplicaNão se aplicaNão se aplica",Mercado_Receita!$L$2:$L$545)</f>
        <v>0</v>
      </c>
      <c r="L40" s="13">
        <f>SUMIF(Mercado_Receita!$S$2:$S$545,"44470B2Convencional pré-pagamentoRuralCooperativa de eletrificação ruralNão se aplicaNão se aplicaPonta",Mercado_Receita!$L$2:$L$545)+SUMIF(Mercado_Receita!$S$2:$S$545,"44470B2Convencional pré-pagamentoRuralCooperativa de eletrificação ruralNão se aplicaNão se aplicaFora ponta",Mercado_Receita!$L$2:$L$545)+SUMIF(Mercado_Receita!$S$2:$S$545,"44470B2Convencional pré-pagamentoRuralCooperativa de eletrificação ruralNão se aplicaNão se aplicaIntermediário",Mercado_Receita!$L$2:$L$545)+SUMIF(Mercado_Receita!$S$2:$S$545,"44470B2Convencional pré-pagamentoRuralCooperativa de eletrificação ruralNão se aplicaNão se aplicaNão se aplica",Mercado_Receita!$L$2:$L$545)</f>
        <v>0</v>
      </c>
      <c r="M40" s="13">
        <f>SUMIF(Mercado_Receita!$S$2:$S$545,"44501B2Convencional pré-pagamentoRuralCooperativa de eletrificação ruralNão se aplicaNão se aplicaPonta",Mercado_Receita!$L$2:$L$545)+SUMIF(Mercado_Receita!$S$2:$S$545,"44501B2Convencional pré-pagamentoRuralCooperativa de eletrificação ruralNão se aplicaNão se aplicaFora ponta",Mercado_Receita!$L$2:$L$545)+SUMIF(Mercado_Receita!$S$2:$S$545,"44501B2Convencional pré-pagamentoRuralCooperativa de eletrificação ruralNão se aplicaNão se aplicaIntermediário",Mercado_Receita!$L$2:$L$545)+SUMIF(Mercado_Receita!$S$2:$S$545,"44501B2Convencional pré-pagamentoRuralCooperativa de eletrificação ruralNão se aplicaNão se aplicaNão se aplica",Mercado_Receita!$L$2:$L$545)</f>
        <v>0</v>
      </c>
      <c r="N40" s="13">
        <f>SUMIF(Mercado_Receita!$S$2:$S$545,"44531B2Convencional pré-pagamentoRuralCooperativa de eletrificação ruralNão se aplicaNão se aplicaPonta",Mercado_Receita!$L$2:$L$545)+SUMIF(Mercado_Receita!$S$2:$S$545,"44531B2Convencional pré-pagamentoRuralCooperativa de eletrificação ruralNão se aplicaNão se aplicaFora ponta",Mercado_Receita!$L$2:$L$545)+SUMIF(Mercado_Receita!$S$2:$S$545,"44531B2Convencional pré-pagamentoRuralCooperativa de eletrificação ruralNão se aplicaNão se aplicaIntermediário",Mercado_Receita!$L$2:$L$545)+SUMIF(Mercado_Receita!$S$2:$S$545,"44531B2Convencional pré-pagamentoRuralCooperativa de eletrificação ruralNão se aplicaNão se aplicaNão se aplica",Mercado_Receita!$L$2:$L$545)</f>
        <v>0</v>
      </c>
      <c r="O40" s="13">
        <f>SUMIF(Mercado_Receita!$S$2:$S$545,"44562B2Convencional pré-pagamentoRuralCooperativa de eletrificação ruralNão se aplicaNão se aplicaPonta",Mercado_Receita!$L$2:$L$545)+SUMIF(Mercado_Receita!$S$2:$S$545,"44562B2Convencional pré-pagamentoRuralCooperativa de eletrificação ruralNão se aplicaNão se aplicaFora ponta",Mercado_Receita!$L$2:$L$545)+SUMIF(Mercado_Receita!$S$2:$S$545,"44562B2Convencional pré-pagamentoRuralCooperativa de eletrificação ruralNão se aplicaNão se aplicaIntermediário",Mercado_Receita!$L$2:$L$545)+SUMIF(Mercado_Receita!$S$2:$S$545,"44562B2Convencional pré-pagamentoRuralCooperativa de eletrificação ruralNão se aplicaNão se aplicaNão se aplica",Mercado_Receita!$L$2:$L$545)</f>
        <v>0</v>
      </c>
      <c r="P40" s="13">
        <f>SUMIF(Mercado_Receita!$S$2:$S$545,"44593B2Convencional pré-pagamentoRuralCooperativa de eletrificação ruralNão se aplicaNão se aplicaPonta",Mercado_Receita!$L$2:$L$545)+SUMIF(Mercado_Receita!$S$2:$S$545,"44593B2Convencional pré-pagamentoRuralCooperativa de eletrificação ruralNão se aplicaNão se aplicaFora ponta",Mercado_Receita!$L$2:$L$545)+SUMIF(Mercado_Receita!$S$2:$S$545,"44593B2Convencional pré-pagamentoRuralCooperativa de eletrificação ruralNão se aplicaNão se aplicaIntermediário",Mercado_Receita!$L$2:$L$545)+SUMIF(Mercado_Receita!$S$2:$S$545,"44593B2Convencional pré-pagamentoRuralCooperativa de eletrificação ruralNão se aplicaNão se aplicaNão se aplica",Mercado_Receita!$L$2:$L$545)</f>
        <v>0</v>
      </c>
      <c r="Q40" s="13">
        <f>SUMIF(Mercado_Receita!$S$2:$S$545,"44621B2Convencional pré-pagamentoRuralCooperativa de eletrificação ruralNão se aplicaNão se aplicaPonta",Mercado_Receita!$L$2:$L$545)+SUMIF(Mercado_Receita!$S$2:$S$545,"44621B2Convencional pré-pagamentoRuralCooperativa de eletrificação ruralNão se aplicaNão se aplicaFora ponta",Mercado_Receita!$L$2:$L$545)+SUMIF(Mercado_Receita!$S$2:$S$545,"44621B2Convencional pré-pagamentoRuralCooperativa de eletrificação ruralNão se aplicaNão se aplicaIntermediário",Mercado_Receita!$L$2:$L$545)+SUMIF(Mercado_Receita!$S$2:$S$545,"44621B2Convencional pré-pagamentoRuralCooperativa de eletrificação ruralNão se aplicaNão se aplicaNão se aplica",Mercado_Receita!$L$2:$L$545)</f>
        <v>0</v>
      </c>
      <c r="R40" s="13">
        <f>SUMIF(Mercado_Receita!$S$2:$S$545,"44652B2Convencional pré-pagamentoRuralCooperativa de eletrificação ruralNão se aplicaNão se aplicaPonta",Mercado_Receita!$L$2:$L$545)+SUMIF(Mercado_Receita!$S$2:$S$545,"44652B2Convencional pré-pagamentoRuralCooperativa de eletrificação ruralNão se aplicaNão se aplicaFora ponta",Mercado_Receita!$L$2:$L$545)+SUMIF(Mercado_Receita!$S$2:$S$545,"44652B2Convencional pré-pagamentoRuralCooperativa de eletrificação ruralNão se aplicaNão se aplicaIntermediário",Mercado_Receita!$L$2:$L$545)+SUMIF(Mercado_Receita!$S$2:$S$545,"44652B2Convencional pré-pagamentoRuralCooperativa de eletrificação ruralNão se aplicaNão se aplicaNão se aplica",Mercado_Receita!$L$2:$L$545)</f>
        <v>0</v>
      </c>
      <c r="S40" s="13">
        <f>SUMIF(Mercado_Receita!$S$2:$S$545,"44682B2Convencional pré-pagamentoRuralCooperativa de eletrificação ruralNão se aplicaNão se aplicaPonta",Mercado_Receita!$L$2:$L$545)+SUMIF(Mercado_Receita!$S$2:$S$545,"44682B2Convencional pré-pagamentoRuralCooperativa de eletrificação ruralNão se aplicaNão se aplicaFora ponta",Mercado_Receita!$L$2:$L$545)+SUMIF(Mercado_Receita!$S$2:$S$545,"44682B2Convencional pré-pagamentoRuralCooperativa de eletrificação ruralNão se aplicaNão se aplicaIntermediário",Mercado_Receita!$L$2:$L$545)+SUMIF(Mercado_Receita!$S$2:$S$545,"44682B2Convencional pré-pagamentoRuralCooperativa de eletrificação ruralNão se aplicaNão se aplicaNão se aplica",Mercado_Receita!$L$2:$L$545)</f>
        <v>0</v>
      </c>
      <c r="T40" s="13">
        <f>SUMIF(Mercado_Receita!$S$2:$S$545,"44713B2Convencional pré-pagamentoRuralCooperativa de eletrificação ruralNão se aplicaNão se aplicaPonta",Mercado_Receita!$L$2:$L$545)+SUMIF(Mercado_Receita!$S$2:$S$545,"44713B2Convencional pré-pagamentoRuralCooperativa de eletrificação ruralNão se aplicaNão se aplicaFora ponta",Mercado_Receita!$L$2:$L$545)+SUMIF(Mercado_Receita!$S$2:$S$545,"44713B2Convencional pré-pagamentoRuralCooperativa de eletrificação ruralNão se aplicaNão se aplicaIntermediário",Mercado_Receita!$L$2:$L$545)+SUMIF(Mercado_Receita!$S$2:$S$545,"44713B2Convencional pré-pagamentoRuralCooperativa de eletrificação ruralNão se aplicaNão se aplicaNão se aplica",Mercado_Receita!$L$2:$L$545)</f>
        <v>0</v>
      </c>
      <c r="U40" s="13">
        <f t="shared" si="0"/>
        <v>0</v>
      </c>
      <c r="V40" s="13"/>
      <c r="W40" s="13"/>
    </row>
    <row r="41" spans="1:23" ht="11.25" customHeight="1" x14ac:dyDescent="0.25">
      <c r="A41" s="95"/>
      <c r="B41" s="95"/>
      <c r="C41" s="95"/>
      <c r="D41" s="12" t="s">
        <v>90</v>
      </c>
      <c r="E41" s="12" t="s">
        <v>25</v>
      </c>
      <c r="F41" s="12" t="s">
        <v>25</v>
      </c>
      <c r="G41" s="13" t="s">
        <v>77</v>
      </c>
      <c r="H41" s="13" t="s">
        <v>73</v>
      </c>
      <c r="I41" s="13">
        <f>SUMIF(Mercado_Receita!$S$2:$S$545,"44378B2Convencional pré-pagamentoRuralServiço público de irrigação ruralNão se aplicaNão se aplicaPonta",Mercado_Receita!$L$2:$L$545)+SUMIF(Mercado_Receita!$S$2:$S$545,"44378B2Convencional pré-pagamentoRuralServiço público de irrigação ruralNão se aplicaNão se aplicaFora ponta",Mercado_Receita!$L$2:$L$545)+SUMIF(Mercado_Receita!$S$2:$S$545,"44378B2Convencional pré-pagamentoRuralServiço público de irrigação ruralNão se aplicaNão se aplicaIntermediário",Mercado_Receita!$L$2:$L$545)+SUMIF(Mercado_Receita!$S$2:$S$545,"44378B2Convencional pré-pagamentoRuralServiço público de irrigação ruralNão se aplicaNão se aplicaNão se aplica",Mercado_Receita!$L$2:$L$545)</f>
        <v>0</v>
      </c>
      <c r="J41" s="13">
        <f>SUMIF(Mercado_Receita!$S$2:$S$545,"44409B2Convencional pré-pagamentoRuralServiço público de irrigação ruralNão se aplicaNão se aplicaPonta",Mercado_Receita!$L$2:$L$545)+SUMIF(Mercado_Receita!$S$2:$S$545,"44409B2Convencional pré-pagamentoRuralServiço público de irrigação ruralNão se aplicaNão se aplicaFora ponta",Mercado_Receita!$L$2:$L$545)+SUMIF(Mercado_Receita!$S$2:$S$545,"44409B2Convencional pré-pagamentoRuralServiço público de irrigação ruralNão se aplicaNão se aplicaIntermediário",Mercado_Receita!$L$2:$L$545)+SUMIF(Mercado_Receita!$S$2:$S$545,"44409B2Convencional pré-pagamentoRuralServiço público de irrigação ruralNão se aplicaNão se aplicaNão se aplica",Mercado_Receita!$L$2:$L$545)</f>
        <v>0</v>
      </c>
      <c r="K41" s="13">
        <f>SUMIF(Mercado_Receita!$S$2:$S$545,"44440B2Convencional pré-pagamentoRuralServiço público de irrigação ruralNão se aplicaNão se aplicaPonta",Mercado_Receita!$L$2:$L$545)+SUMIF(Mercado_Receita!$S$2:$S$545,"44440B2Convencional pré-pagamentoRuralServiço público de irrigação ruralNão se aplicaNão se aplicaFora ponta",Mercado_Receita!$L$2:$L$545)+SUMIF(Mercado_Receita!$S$2:$S$545,"44440B2Convencional pré-pagamentoRuralServiço público de irrigação ruralNão se aplicaNão se aplicaIntermediário",Mercado_Receita!$L$2:$L$545)+SUMIF(Mercado_Receita!$S$2:$S$545,"44440B2Convencional pré-pagamentoRuralServiço público de irrigação ruralNão se aplicaNão se aplicaNão se aplica",Mercado_Receita!$L$2:$L$545)</f>
        <v>0</v>
      </c>
      <c r="L41" s="13">
        <f>SUMIF(Mercado_Receita!$S$2:$S$545,"44470B2Convencional pré-pagamentoRuralServiço público de irrigação ruralNão se aplicaNão se aplicaPonta",Mercado_Receita!$L$2:$L$545)+SUMIF(Mercado_Receita!$S$2:$S$545,"44470B2Convencional pré-pagamentoRuralServiço público de irrigação ruralNão se aplicaNão se aplicaFora ponta",Mercado_Receita!$L$2:$L$545)+SUMIF(Mercado_Receita!$S$2:$S$545,"44470B2Convencional pré-pagamentoRuralServiço público de irrigação ruralNão se aplicaNão se aplicaIntermediário",Mercado_Receita!$L$2:$L$545)+SUMIF(Mercado_Receita!$S$2:$S$545,"44470B2Convencional pré-pagamentoRuralServiço público de irrigação ruralNão se aplicaNão se aplicaNão se aplica",Mercado_Receita!$L$2:$L$545)</f>
        <v>0</v>
      </c>
      <c r="M41" s="13">
        <f>SUMIF(Mercado_Receita!$S$2:$S$545,"44501B2Convencional pré-pagamentoRuralServiço público de irrigação ruralNão se aplicaNão se aplicaPonta",Mercado_Receita!$L$2:$L$545)+SUMIF(Mercado_Receita!$S$2:$S$545,"44501B2Convencional pré-pagamentoRuralServiço público de irrigação ruralNão se aplicaNão se aplicaFora ponta",Mercado_Receita!$L$2:$L$545)+SUMIF(Mercado_Receita!$S$2:$S$545,"44501B2Convencional pré-pagamentoRuralServiço público de irrigação ruralNão se aplicaNão se aplicaIntermediário",Mercado_Receita!$L$2:$L$545)+SUMIF(Mercado_Receita!$S$2:$S$545,"44501B2Convencional pré-pagamentoRuralServiço público de irrigação ruralNão se aplicaNão se aplicaNão se aplica",Mercado_Receita!$L$2:$L$545)</f>
        <v>0</v>
      </c>
      <c r="N41" s="13">
        <f>SUMIF(Mercado_Receita!$S$2:$S$545,"44531B2Convencional pré-pagamentoRuralServiço público de irrigação ruralNão se aplicaNão se aplicaPonta",Mercado_Receita!$L$2:$L$545)+SUMIF(Mercado_Receita!$S$2:$S$545,"44531B2Convencional pré-pagamentoRuralServiço público de irrigação ruralNão se aplicaNão se aplicaFora ponta",Mercado_Receita!$L$2:$L$545)+SUMIF(Mercado_Receita!$S$2:$S$545,"44531B2Convencional pré-pagamentoRuralServiço público de irrigação ruralNão se aplicaNão se aplicaIntermediário",Mercado_Receita!$L$2:$L$545)+SUMIF(Mercado_Receita!$S$2:$S$545,"44531B2Convencional pré-pagamentoRuralServiço público de irrigação ruralNão se aplicaNão se aplicaNão se aplica",Mercado_Receita!$L$2:$L$545)</f>
        <v>0</v>
      </c>
      <c r="O41" s="13">
        <f>SUMIF(Mercado_Receita!$S$2:$S$545,"44562B2Convencional pré-pagamentoRuralServiço público de irrigação ruralNão se aplicaNão se aplicaPonta",Mercado_Receita!$L$2:$L$545)+SUMIF(Mercado_Receita!$S$2:$S$545,"44562B2Convencional pré-pagamentoRuralServiço público de irrigação ruralNão se aplicaNão se aplicaFora ponta",Mercado_Receita!$L$2:$L$545)+SUMIF(Mercado_Receita!$S$2:$S$545,"44562B2Convencional pré-pagamentoRuralServiço público de irrigação ruralNão se aplicaNão se aplicaIntermediário",Mercado_Receita!$L$2:$L$545)+SUMIF(Mercado_Receita!$S$2:$S$545,"44562B2Convencional pré-pagamentoRuralServiço público de irrigação ruralNão se aplicaNão se aplicaNão se aplica",Mercado_Receita!$L$2:$L$545)</f>
        <v>0</v>
      </c>
      <c r="P41" s="13">
        <f>SUMIF(Mercado_Receita!$S$2:$S$545,"44593B2Convencional pré-pagamentoRuralServiço público de irrigação ruralNão se aplicaNão se aplicaPonta",Mercado_Receita!$L$2:$L$545)+SUMIF(Mercado_Receita!$S$2:$S$545,"44593B2Convencional pré-pagamentoRuralServiço público de irrigação ruralNão se aplicaNão se aplicaFora ponta",Mercado_Receita!$L$2:$L$545)+SUMIF(Mercado_Receita!$S$2:$S$545,"44593B2Convencional pré-pagamentoRuralServiço público de irrigação ruralNão se aplicaNão se aplicaIntermediário",Mercado_Receita!$L$2:$L$545)+SUMIF(Mercado_Receita!$S$2:$S$545,"44593B2Convencional pré-pagamentoRuralServiço público de irrigação ruralNão se aplicaNão se aplicaNão se aplica",Mercado_Receita!$L$2:$L$545)</f>
        <v>0</v>
      </c>
      <c r="Q41" s="13">
        <f>SUMIF(Mercado_Receita!$S$2:$S$545,"44621B2Convencional pré-pagamentoRuralServiço público de irrigação ruralNão se aplicaNão se aplicaPonta",Mercado_Receita!$L$2:$L$545)+SUMIF(Mercado_Receita!$S$2:$S$545,"44621B2Convencional pré-pagamentoRuralServiço público de irrigação ruralNão se aplicaNão se aplicaFora ponta",Mercado_Receita!$L$2:$L$545)+SUMIF(Mercado_Receita!$S$2:$S$545,"44621B2Convencional pré-pagamentoRuralServiço público de irrigação ruralNão se aplicaNão se aplicaIntermediário",Mercado_Receita!$L$2:$L$545)+SUMIF(Mercado_Receita!$S$2:$S$545,"44621B2Convencional pré-pagamentoRuralServiço público de irrigação ruralNão se aplicaNão se aplicaNão se aplica",Mercado_Receita!$L$2:$L$545)</f>
        <v>0</v>
      </c>
      <c r="R41" s="13">
        <f>SUMIF(Mercado_Receita!$S$2:$S$545,"44652B2Convencional pré-pagamentoRuralServiço público de irrigação ruralNão se aplicaNão se aplicaPonta",Mercado_Receita!$L$2:$L$545)+SUMIF(Mercado_Receita!$S$2:$S$545,"44652B2Convencional pré-pagamentoRuralServiço público de irrigação ruralNão se aplicaNão se aplicaFora ponta",Mercado_Receita!$L$2:$L$545)+SUMIF(Mercado_Receita!$S$2:$S$545,"44652B2Convencional pré-pagamentoRuralServiço público de irrigação ruralNão se aplicaNão se aplicaIntermediário",Mercado_Receita!$L$2:$L$545)+SUMIF(Mercado_Receita!$S$2:$S$545,"44652B2Convencional pré-pagamentoRuralServiço público de irrigação ruralNão se aplicaNão se aplicaNão se aplica",Mercado_Receita!$L$2:$L$545)</f>
        <v>0</v>
      </c>
      <c r="S41" s="13">
        <f>SUMIF(Mercado_Receita!$S$2:$S$545,"44682B2Convencional pré-pagamentoRuralServiço público de irrigação ruralNão se aplicaNão se aplicaPonta",Mercado_Receita!$L$2:$L$545)+SUMIF(Mercado_Receita!$S$2:$S$545,"44682B2Convencional pré-pagamentoRuralServiço público de irrigação ruralNão se aplicaNão se aplicaFora ponta",Mercado_Receita!$L$2:$L$545)+SUMIF(Mercado_Receita!$S$2:$S$545,"44682B2Convencional pré-pagamentoRuralServiço público de irrigação ruralNão se aplicaNão se aplicaIntermediário",Mercado_Receita!$L$2:$L$545)+SUMIF(Mercado_Receita!$S$2:$S$545,"44682B2Convencional pré-pagamentoRuralServiço público de irrigação ruralNão se aplicaNão se aplicaNão se aplica",Mercado_Receita!$L$2:$L$545)</f>
        <v>0</v>
      </c>
      <c r="T41" s="13">
        <f>SUMIF(Mercado_Receita!$S$2:$S$545,"44713B2Convencional pré-pagamentoRuralServiço público de irrigação ruralNão se aplicaNão se aplicaPonta",Mercado_Receita!$L$2:$L$545)+SUMIF(Mercado_Receita!$S$2:$S$545,"44713B2Convencional pré-pagamentoRuralServiço público de irrigação ruralNão se aplicaNão se aplicaFora ponta",Mercado_Receita!$L$2:$L$545)+SUMIF(Mercado_Receita!$S$2:$S$545,"44713B2Convencional pré-pagamentoRuralServiço público de irrigação ruralNão se aplicaNão se aplicaIntermediário",Mercado_Receita!$L$2:$L$545)+SUMIF(Mercado_Receita!$S$2:$S$545,"44713B2Convencional pré-pagamentoRuralServiço público de irrigação ruralNão se aplicaNão se aplicaNão se aplica",Mercado_Receita!$L$2:$L$545)</f>
        <v>0</v>
      </c>
      <c r="U41" s="13">
        <f t="shared" si="0"/>
        <v>0</v>
      </c>
      <c r="V41" s="13"/>
      <c r="W41" s="13"/>
    </row>
    <row r="42" spans="1:23" ht="11.25" customHeight="1" x14ac:dyDescent="0.25">
      <c r="A42" s="94" t="s">
        <v>33</v>
      </c>
      <c r="B42" s="94" t="s">
        <v>86</v>
      </c>
      <c r="C42" s="94" t="s">
        <v>25</v>
      </c>
      <c r="D42" s="94" t="s">
        <v>25</v>
      </c>
      <c r="E42" s="94" t="s">
        <v>25</v>
      </c>
      <c r="F42" s="94" t="s">
        <v>25</v>
      </c>
      <c r="G42" s="13" t="s">
        <v>74</v>
      </c>
      <c r="H42" s="13" t="s">
        <v>73</v>
      </c>
      <c r="I42" s="13">
        <f>SUMIF(Mercado_Receita!$S$2:$S$545,"44378B3BrancaNão se aplicaNão se aplicaNão se aplicaNão se aplicaPonta",Mercado_Receita!$L$2:$L$545)</f>
        <v>0</v>
      </c>
      <c r="J42" s="13">
        <f>SUMIF(Mercado_Receita!$S$2:$S$545,"44409B3BrancaNão se aplicaNão se aplicaNão se aplicaNão se aplicaPonta",Mercado_Receita!$L$2:$L$545)</f>
        <v>0</v>
      </c>
      <c r="K42" s="13">
        <f>SUMIF(Mercado_Receita!$S$2:$S$545,"44440B3BrancaNão se aplicaNão se aplicaNão se aplicaNão se aplicaPonta",Mercado_Receita!$L$2:$L$545)</f>
        <v>0</v>
      </c>
      <c r="L42" s="13">
        <f>SUMIF(Mercado_Receita!$S$2:$S$545,"44470B3BrancaNão se aplicaNão se aplicaNão se aplicaNão se aplicaPonta",Mercado_Receita!$L$2:$L$545)</f>
        <v>0</v>
      </c>
      <c r="M42" s="13">
        <f>SUMIF(Mercado_Receita!$S$2:$S$545,"44501B3BrancaNão se aplicaNão se aplicaNão se aplicaNão se aplicaPonta",Mercado_Receita!$L$2:$L$545)</f>
        <v>0</v>
      </c>
      <c r="N42" s="13">
        <f>SUMIF(Mercado_Receita!$S$2:$S$545,"44531B3BrancaNão se aplicaNão se aplicaNão se aplicaNão se aplicaPonta",Mercado_Receita!$L$2:$L$545)</f>
        <v>0</v>
      </c>
      <c r="O42" s="13">
        <f>SUMIF(Mercado_Receita!$S$2:$S$545,"44562B3BrancaNão se aplicaNão se aplicaNão se aplicaNão se aplicaPonta",Mercado_Receita!$L$2:$L$545)</f>
        <v>0</v>
      </c>
      <c r="P42" s="13">
        <f>SUMIF(Mercado_Receita!$S$2:$S$545,"44593B3BrancaNão se aplicaNão se aplicaNão se aplicaNão se aplicaPonta",Mercado_Receita!$L$2:$L$545)</f>
        <v>0</v>
      </c>
      <c r="Q42" s="13">
        <f>SUMIF(Mercado_Receita!$S$2:$S$545,"44621B3BrancaNão se aplicaNão se aplicaNão se aplicaNão se aplicaPonta",Mercado_Receita!$L$2:$L$545)</f>
        <v>0</v>
      </c>
      <c r="R42" s="13">
        <f>SUMIF(Mercado_Receita!$S$2:$S$545,"44652B3BrancaNão se aplicaNão se aplicaNão se aplicaNão se aplicaPonta",Mercado_Receita!$L$2:$L$545)</f>
        <v>0</v>
      </c>
      <c r="S42" s="13">
        <f>SUMIF(Mercado_Receita!$S$2:$S$545,"44682B3BrancaNão se aplicaNão se aplicaNão se aplicaNão se aplicaPonta",Mercado_Receita!$L$2:$L$545)</f>
        <v>0</v>
      </c>
      <c r="T42" s="13">
        <f>SUMIF(Mercado_Receita!$S$2:$S$545,"44713B3BrancaNão se aplicaNão se aplicaNão se aplicaNão se aplicaPonta",Mercado_Receita!$L$2:$L$545)</f>
        <v>0</v>
      </c>
      <c r="U42" s="13">
        <f t="shared" si="0"/>
        <v>0</v>
      </c>
      <c r="V42" s="13"/>
      <c r="W42" s="13"/>
    </row>
    <row r="43" spans="1:23" ht="11.25" customHeight="1" x14ac:dyDescent="0.25">
      <c r="A43" s="95"/>
      <c r="B43" s="95"/>
      <c r="C43" s="95"/>
      <c r="D43" s="95"/>
      <c r="E43" s="95"/>
      <c r="F43" s="95"/>
      <c r="G43" s="13" t="s">
        <v>85</v>
      </c>
      <c r="H43" s="13" t="s">
        <v>73</v>
      </c>
      <c r="I43" s="13">
        <f>SUMIF(Mercado_Receita!$S$2:$S$545,"44378B3BrancaNão se aplicaNão se aplicaNão se aplicaNão se aplicaIntermediário",Mercado_Receita!$L$2:$L$545)</f>
        <v>0</v>
      </c>
      <c r="J43" s="13">
        <f>SUMIF(Mercado_Receita!$S$2:$S$545,"44409B3BrancaNão se aplicaNão se aplicaNão se aplicaNão se aplicaIntermediário",Mercado_Receita!$L$2:$L$545)</f>
        <v>0</v>
      </c>
      <c r="K43" s="13">
        <f>SUMIF(Mercado_Receita!$S$2:$S$545,"44440B3BrancaNão se aplicaNão se aplicaNão se aplicaNão se aplicaIntermediário",Mercado_Receita!$L$2:$L$545)</f>
        <v>0</v>
      </c>
      <c r="L43" s="13">
        <f>SUMIF(Mercado_Receita!$S$2:$S$545,"44470B3BrancaNão se aplicaNão se aplicaNão se aplicaNão se aplicaIntermediário",Mercado_Receita!$L$2:$L$545)</f>
        <v>0</v>
      </c>
      <c r="M43" s="13">
        <f>SUMIF(Mercado_Receita!$S$2:$S$545,"44501B3BrancaNão se aplicaNão se aplicaNão se aplicaNão se aplicaIntermediário",Mercado_Receita!$L$2:$L$545)</f>
        <v>0</v>
      </c>
      <c r="N43" s="13">
        <f>SUMIF(Mercado_Receita!$S$2:$S$545,"44531B3BrancaNão se aplicaNão se aplicaNão se aplicaNão se aplicaIntermediário",Mercado_Receita!$L$2:$L$545)</f>
        <v>0</v>
      </c>
      <c r="O43" s="13">
        <f>SUMIF(Mercado_Receita!$S$2:$S$545,"44562B3BrancaNão se aplicaNão se aplicaNão se aplicaNão se aplicaIntermediário",Mercado_Receita!$L$2:$L$545)</f>
        <v>0</v>
      </c>
      <c r="P43" s="13">
        <f>SUMIF(Mercado_Receita!$S$2:$S$545,"44593B3BrancaNão se aplicaNão se aplicaNão se aplicaNão se aplicaIntermediário",Mercado_Receita!$L$2:$L$545)</f>
        <v>0</v>
      </c>
      <c r="Q43" s="13">
        <f>SUMIF(Mercado_Receita!$S$2:$S$545,"44621B3BrancaNão se aplicaNão se aplicaNão se aplicaNão se aplicaIntermediário",Mercado_Receita!$L$2:$L$545)</f>
        <v>0</v>
      </c>
      <c r="R43" s="13">
        <f>SUMIF(Mercado_Receita!$S$2:$S$545,"44652B3BrancaNão se aplicaNão se aplicaNão se aplicaNão se aplicaIntermediário",Mercado_Receita!$L$2:$L$545)</f>
        <v>0</v>
      </c>
      <c r="S43" s="13">
        <f>SUMIF(Mercado_Receita!$S$2:$S$545,"44682B3BrancaNão se aplicaNão se aplicaNão se aplicaNão se aplicaIntermediário",Mercado_Receita!$L$2:$L$545)</f>
        <v>0</v>
      </c>
      <c r="T43" s="13">
        <f>SUMIF(Mercado_Receita!$S$2:$S$545,"44713B3BrancaNão se aplicaNão se aplicaNão se aplicaNão se aplicaIntermediário",Mercado_Receita!$L$2:$L$545)</f>
        <v>0</v>
      </c>
      <c r="U43" s="13">
        <f t="shared" si="0"/>
        <v>0</v>
      </c>
      <c r="V43" s="13"/>
      <c r="W43" s="13"/>
    </row>
    <row r="44" spans="1:23" ht="11.25" customHeight="1" x14ac:dyDescent="0.25">
      <c r="A44" s="95"/>
      <c r="B44" s="95"/>
      <c r="C44" s="95"/>
      <c r="D44" s="95"/>
      <c r="E44" s="95"/>
      <c r="F44" s="95"/>
      <c r="G44" s="13" t="s">
        <v>75</v>
      </c>
      <c r="H44" s="13" t="s">
        <v>73</v>
      </c>
      <c r="I44" s="13">
        <f>SUMIF(Mercado_Receita!$S$2:$S$545,"44378B3BrancaNão se aplicaNão se aplicaNão se aplicaNão se aplicaFora ponta",Mercado_Receita!$L$2:$L$545)</f>
        <v>0</v>
      </c>
      <c r="J44" s="13">
        <f>SUMIF(Mercado_Receita!$S$2:$S$545,"44409B3BrancaNão se aplicaNão se aplicaNão se aplicaNão se aplicaFora ponta",Mercado_Receita!$L$2:$L$545)</f>
        <v>0</v>
      </c>
      <c r="K44" s="13">
        <f>SUMIF(Mercado_Receita!$S$2:$S$545,"44440B3BrancaNão se aplicaNão se aplicaNão se aplicaNão se aplicaFora ponta",Mercado_Receita!$L$2:$L$545)</f>
        <v>0</v>
      </c>
      <c r="L44" s="13">
        <f>SUMIF(Mercado_Receita!$S$2:$S$545,"44470B3BrancaNão se aplicaNão se aplicaNão se aplicaNão se aplicaFora ponta",Mercado_Receita!$L$2:$L$545)</f>
        <v>0</v>
      </c>
      <c r="M44" s="13">
        <f>SUMIF(Mercado_Receita!$S$2:$S$545,"44501B3BrancaNão se aplicaNão se aplicaNão se aplicaNão se aplicaFora ponta",Mercado_Receita!$L$2:$L$545)</f>
        <v>0</v>
      </c>
      <c r="N44" s="13">
        <f>SUMIF(Mercado_Receita!$S$2:$S$545,"44531B3BrancaNão se aplicaNão se aplicaNão se aplicaNão se aplicaFora ponta",Mercado_Receita!$L$2:$L$545)</f>
        <v>0</v>
      </c>
      <c r="O44" s="13">
        <f>SUMIF(Mercado_Receita!$S$2:$S$545,"44562B3BrancaNão se aplicaNão se aplicaNão se aplicaNão se aplicaFora ponta",Mercado_Receita!$L$2:$L$545)</f>
        <v>0</v>
      </c>
      <c r="P44" s="13">
        <f>SUMIF(Mercado_Receita!$S$2:$S$545,"44593B3BrancaNão se aplicaNão se aplicaNão se aplicaNão se aplicaFora ponta",Mercado_Receita!$L$2:$L$545)</f>
        <v>0</v>
      </c>
      <c r="Q44" s="13">
        <f>SUMIF(Mercado_Receita!$S$2:$S$545,"44621B3BrancaNão se aplicaNão se aplicaNão se aplicaNão se aplicaFora ponta",Mercado_Receita!$L$2:$L$545)</f>
        <v>0</v>
      </c>
      <c r="R44" s="13">
        <f>SUMIF(Mercado_Receita!$S$2:$S$545,"44652B3BrancaNão se aplicaNão se aplicaNão se aplicaNão se aplicaFora ponta",Mercado_Receita!$L$2:$L$545)</f>
        <v>0</v>
      </c>
      <c r="S44" s="13">
        <f>SUMIF(Mercado_Receita!$S$2:$S$545,"44682B3BrancaNão se aplicaNão se aplicaNão se aplicaNão se aplicaFora ponta",Mercado_Receita!$L$2:$L$545)</f>
        <v>0</v>
      </c>
      <c r="T44" s="13">
        <f>SUMIF(Mercado_Receita!$S$2:$S$545,"44713B3BrancaNão se aplicaNão se aplicaNão se aplicaNão se aplicaFora ponta",Mercado_Receita!$L$2:$L$545)</f>
        <v>0</v>
      </c>
      <c r="U44" s="13">
        <f t="shared" si="0"/>
        <v>0</v>
      </c>
      <c r="V44" s="13"/>
      <c r="W44" s="13"/>
    </row>
    <row r="45" spans="1:23" ht="11.25" customHeight="1" x14ac:dyDescent="0.25">
      <c r="A45" s="95"/>
      <c r="B45" s="12" t="s">
        <v>23</v>
      </c>
      <c r="C45" s="12" t="s">
        <v>25</v>
      </c>
      <c r="D45" s="12" t="s">
        <v>25</v>
      </c>
      <c r="E45" s="12" t="s">
        <v>25</v>
      </c>
      <c r="F45" s="12" t="s">
        <v>25</v>
      </c>
      <c r="G45" s="13" t="s">
        <v>77</v>
      </c>
      <c r="H45" s="13" t="s">
        <v>73</v>
      </c>
      <c r="I45" s="13">
        <f>SUMIF(Mercado_Receita!$S$2:$S$545,"44378B3ConvencionalNão se aplicaNão se aplicaNão se aplicaNão se aplicaPonta",Mercado_Receita!$L$2:$L$545)+SUMIF(Mercado_Receita!$S$2:$S$545,"44378B3ConvencionalNão se aplicaNão se aplicaNão se aplicaNão se aplicaFora ponta",Mercado_Receita!$L$2:$L$545)+SUMIF(Mercado_Receita!$S$2:$S$545,"44378B3ConvencionalNão se aplicaNão se aplicaNão se aplicaNão se aplicaIntermediário",Mercado_Receita!$L$2:$L$545)+SUMIF(Mercado_Receita!$S$2:$S$545,"44378B3ConvencionalNão se aplicaNão se aplicaNão se aplicaNão se aplicaNão se aplica",Mercado_Receita!$L$2:$L$545)</f>
        <v>261.52299999999997</v>
      </c>
      <c r="J45" s="13">
        <f>SUMIF(Mercado_Receita!$S$2:$S$545,"44409B3ConvencionalNão se aplicaNão se aplicaNão se aplicaNão se aplicaPonta",Mercado_Receita!$L$2:$L$545)+SUMIF(Mercado_Receita!$S$2:$S$545,"44409B3ConvencionalNão se aplicaNão se aplicaNão se aplicaNão se aplicaFora ponta",Mercado_Receita!$L$2:$L$545)+SUMIF(Mercado_Receita!$S$2:$S$545,"44409B3ConvencionalNão se aplicaNão se aplicaNão se aplicaNão se aplicaIntermediário",Mercado_Receita!$L$2:$L$545)+SUMIF(Mercado_Receita!$S$2:$S$545,"44409B3ConvencionalNão se aplicaNão se aplicaNão se aplicaNão se aplicaNão se aplica",Mercado_Receita!$L$2:$L$545)</f>
        <v>237.39699999999999</v>
      </c>
      <c r="K45" s="13">
        <f>SUMIF(Mercado_Receita!$S$2:$S$545,"44440B3ConvencionalNão se aplicaNão se aplicaNão se aplicaNão se aplicaPonta",Mercado_Receita!$L$2:$L$545)+SUMIF(Mercado_Receita!$S$2:$S$545,"44440B3ConvencionalNão se aplicaNão se aplicaNão se aplicaNão se aplicaFora ponta",Mercado_Receita!$L$2:$L$545)+SUMIF(Mercado_Receita!$S$2:$S$545,"44440B3ConvencionalNão se aplicaNão se aplicaNão se aplicaNão se aplicaIntermediário",Mercado_Receita!$L$2:$L$545)+SUMIF(Mercado_Receita!$S$2:$S$545,"44440B3ConvencionalNão se aplicaNão se aplicaNão se aplicaNão se aplicaNão se aplica",Mercado_Receita!$L$2:$L$545)</f>
        <v>240.11100000000002</v>
      </c>
      <c r="L45" s="13">
        <f>SUMIF(Mercado_Receita!$S$2:$S$545,"44470B3ConvencionalNão se aplicaNão se aplicaNão se aplicaNão se aplicaPonta",Mercado_Receita!$L$2:$L$545)+SUMIF(Mercado_Receita!$S$2:$S$545,"44470B3ConvencionalNão se aplicaNão se aplicaNão se aplicaNão se aplicaFora ponta",Mercado_Receita!$L$2:$L$545)+SUMIF(Mercado_Receita!$S$2:$S$545,"44470B3ConvencionalNão se aplicaNão se aplicaNão se aplicaNão se aplicaIntermediário",Mercado_Receita!$L$2:$L$545)+SUMIF(Mercado_Receita!$S$2:$S$545,"44470B3ConvencionalNão se aplicaNão se aplicaNão se aplicaNão se aplicaNão se aplica",Mercado_Receita!$L$2:$L$545)</f>
        <v>243.85</v>
      </c>
      <c r="M45" s="13">
        <f>SUMIF(Mercado_Receita!$S$2:$S$545,"44501B3ConvencionalNão se aplicaNão se aplicaNão se aplicaNão se aplicaPonta",Mercado_Receita!$L$2:$L$545)+SUMIF(Mercado_Receita!$S$2:$S$545,"44501B3ConvencionalNão se aplicaNão se aplicaNão se aplicaNão se aplicaFora ponta",Mercado_Receita!$L$2:$L$545)+SUMIF(Mercado_Receita!$S$2:$S$545,"44501B3ConvencionalNão se aplicaNão se aplicaNão se aplicaNão se aplicaIntermediário",Mercado_Receita!$L$2:$L$545)+SUMIF(Mercado_Receita!$S$2:$S$545,"44501B3ConvencionalNão se aplicaNão se aplicaNão se aplicaNão se aplicaNão se aplica",Mercado_Receita!$L$2:$L$545)</f>
        <v>249.94100000000003</v>
      </c>
      <c r="N45" s="13">
        <f>SUMIF(Mercado_Receita!$S$2:$S$545,"44531B3ConvencionalNão se aplicaNão se aplicaNão se aplicaNão se aplicaPonta",Mercado_Receita!$L$2:$L$545)+SUMIF(Mercado_Receita!$S$2:$S$545,"44531B3ConvencionalNão se aplicaNão se aplicaNão se aplicaNão se aplicaFora ponta",Mercado_Receita!$L$2:$L$545)+SUMIF(Mercado_Receita!$S$2:$S$545,"44531B3ConvencionalNão se aplicaNão se aplicaNão se aplicaNão se aplicaIntermediário",Mercado_Receita!$L$2:$L$545)+SUMIF(Mercado_Receita!$S$2:$S$545,"44531B3ConvencionalNão se aplicaNão se aplicaNão se aplicaNão se aplicaNão se aplica",Mercado_Receita!$L$2:$L$545)</f>
        <v>297.21899999999999</v>
      </c>
      <c r="O45" s="13">
        <f>SUMIF(Mercado_Receita!$S$2:$S$545,"44562B3ConvencionalNão se aplicaNão se aplicaNão se aplicaNão se aplicaPonta",Mercado_Receita!$L$2:$L$545)+SUMIF(Mercado_Receita!$S$2:$S$545,"44562B3ConvencionalNão se aplicaNão se aplicaNão se aplicaNão se aplicaFora ponta",Mercado_Receita!$L$2:$L$545)+SUMIF(Mercado_Receita!$S$2:$S$545,"44562B3ConvencionalNão se aplicaNão se aplicaNão se aplicaNão se aplicaIntermediário",Mercado_Receita!$L$2:$L$545)+SUMIF(Mercado_Receita!$S$2:$S$545,"44562B3ConvencionalNão se aplicaNão se aplicaNão se aplicaNão se aplicaNão se aplica",Mercado_Receita!$L$2:$L$545)</f>
        <v>291.70099999999996</v>
      </c>
      <c r="P45" s="13">
        <f>SUMIF(Mercado_Receita!$S$2:$S$545,"44593B3ConvencionalNão se aplicaNão se aplicaNão se aplicaNão se aplicaPonta",Mercado_Receita!$L$2:$L$545)+SUMIF(Mercado_Receita!$S$2:$S$545,"44593B3ConvencionalNão se aplicaNão se aplicaNão se aplicaNão se aplicaFora ponta",Mercado_Receita!$L$2:$L$545)+SUMIF(Mercado_Receita!$S$2:$S$545,"44593B3ConvencionalNão se aplicaNão se aplicaNão se aplicaNão se aplicaIntermediário",Mercado_Receita!$L$2:$L$545)+SUMIF(Mercado_Receita!$S$2:$S$545,"44593B3ConvencionalNão se aplicaNão se aplicaNão se aplicaNão se aplicaNão se aplica",Mercado_Receita!$L$2:$L$545)</f>
        <v>269.50400000000002</v>
      </c>
      <c r="Q45" s="13">
        <f>SUMIF(Mercado_Receita!$S$2:$S$545,"44621B3ConvencionalNão se aplicaNão se aplicaNão se aplicaNão se aplicaPonta",Mercado_Receita!$L$2:$L$545)+SUMIF(Mercado_Receita!$S$2:$S$545,"44621B3ConvencionalNão se aplicaNão se aplicaNão se aplicaNão se aplicaFora ponta",Mercado_Receita!$L$2:$L$545)+SUMIF(Mercado_Receita!$S$2:$S$545,"44621B3ConvencionalNão se aplicaNão se aplicaNão se aplicaNão se aplicaIntermediário",Mercado_Receita!$L$2:$L$545)+SUMIF(Mercado_Receita!$S$2:$S$545,"44621B3ConvencionalNão se aplicaNão se aplicaNão se aplicaNão se aplicaNão se aplica",Mercado_Receita!$L$2:$L$545)</f>
        <v>250.77199999999996</v>
      </c>
      <c r="R45" s="13">
        <f>SUMIF(Mercado_Receita!$S$2:$S$545,"44652B3ConvencionalNão se aplicaNão se aplicaNão se aplicaNão se aplicaPonta",Mercado_Receita!$L$2:$L$545)+SUMIF(Mercado_Receita!$S$2:$S$545,"44652B3ConvencionalNão se aplicaNão se aplicaNão se aplicaNão se aplicaFora ponta",Mercado_Receita!$L$2:$L$545)+SUMIF(Mercado_Receita!$S$2:$S$545,"44652B3ConvencionalNão se aplicaNão se aplicaNão se aplicaNão se aplicaIntermediário",Mercado_Receita!$L$2:$L$545)+SUMIF(Mercado_Receita!$S$2:$S$545,"44652B3ConvencionalNão se aplicaNão se aplicaNão se aplicaNão se aplicaNão se aplica",Mercado_Receita!$L$2:$L$545)</f>
        <v>267.40699999999998</v>
      </c>
      <c r="S45" s="13">
        <f>SUMIF(Mercado_Receita!$S$2:$S$545,"44682B3ConvencionalNão se aplicaNão se aplicaNão se aplicaNão se aplicaPonta",Mercado_Receita!$L$2:$L$545)+SUMIF(Mercado_Receita!$S$2:$S$545,"44682B3ConvencionalNão se aplicaNão se aplicaNão se aplicaNão se aplicaFora ponta",Mercado_Receita!$L$2:$L$545)+SUMIF(Mercado_Receita!$S$2:$S$545,"44682B3ConvencionalNão se aplicaNão se aplicaNão se aplicaNão se aplicaIntermediário",Mercado_Receita!$L$2:$L$545)+SUMIF(Mercado_Receita!$S$2:$S$545,"44682B3ConvencionalNão se aplicaNão se aplicaNão se aplicaNão se aplicaNão se aplica",Mercado_Receita!$L$2:$L$545)</f>
        <v>256.49499999999995</v>
      </c>
      <c r="T45" s="13">
        <f>SUMIF(Mercado_Receita!$S$2:$S$545,"44713B3ConvencionalNão se aplicaNão se aplicaNão se aplicaNão se aplicaPonta",Mercado_Receita!$L$2:$L$545)+SUMIF(Mercado_Receita!$S$2:$S$545,"44713B3ConvencionalNão se aplicaNão se aplicaNão se aplicaNão se aplicaFora ponta",Mercado_Receita!$L$2:$L$545)+SUMIF(Mercado_Receita!$S$2:$S$545,"44713B3ConvencionalNão se aplicaNão se aplicaNão se aplicaNão se aplicaIntermediário",Mercado_Receita!$L$2:$L$545)+SUMIF(Mercado_Receita!$S$2:$S$545,"44713B3ConvencionalNão se aplicaNão se aplicaNão se aplicaNão se aplicaNão se aplica",Mercado_Receita!$L$2:$L$545)</f>
        <v>296.49600000000004</v>
      </c>
      <c r="U45" s="13">
        <f t="shared" si="0"/>
        <v>3162.4160000000002</v>
      </c>
      <c r="V45" s="13"/>
      <c r="W45" s="13"/>
    </row>
    <row r="46" spans="1:23" ht="11.25" customHeight="1" x14ac:dyDescent="0.25">
      <c r="A46" s="95"/>
      <c r="B46" s="12" t="s">
        <v>88</v>
      </c>
      <c r="C46" s="12" t="s">
        <v>25</v>
      </c>
      <c r="D46" s="12" t="s">
        <v>25</v>
      </c>
      <c r="E46" s="12" t="s">
        <v>25</v>
      </c>
      <c r="F46" s="12" t="s">
        <v>25</v>
      </c>
      <c r="G46" s="13" t="s">
        <v>77</v>
      </c>
      <c r="H46" s="13" t="s">
        <v>73</v>
      </c>
      <c r="I46" s="13">
        <f>SUMIF(Mercado_Receita!$S$2:$S$545,"44378B3Convencional pré-pagamentoNão se aplicaNão se aplicaNão se aplicaNão se aplicaPonta",Mercado_Receita!$L$2:$L$545)+SUMIF(Mercado_Receita!$S$2:$S$545,"44378B3Convencional pré-pagamentoNão se aplicaNão se aplicaNão se aplicaNão se aplicaFora ponta",Mercado_Receita!$L$2:$L$545)+SUMIF(Mercado_Receita!$S$2:$S$545,"44378B3Convencional pré-pagamentoNão se aplicaNão se aplicaNão se aplicaNão se aplicaIntermediário",Mercado_Receita!$L$2:$L$545)+SUMIF(Mercado_Receita!$S$2:$S$545,"44378B3Convencional pré-pagamentoNão se aplicaNão se aplicaNão se aplicaNão se aplicaNão se aplica",Mercado_Receita!$L$2:$L$545)</f>
        <v>0</v>
      </c>
      <c r="J46" s="13">
        <f>SUMIF(Mercado_Receita!$S$2:$S$545,"44409B3Convencional pré-pagamentoNão se aplicaNão se aplicaNão se aplicaNão se aplicaPonta",Mercado_Receita!$L$2:$L$545)+SUMIF(Mercado_Receita!$S$2:$S$545,"44409B3Convencional pré-pagamentoNão se aplicaNão se aplicaNão se aplicaNão se aplicaFora ponta",Mercado_Receita!$L$2:$L$545)+SUMIF(Mercado_Receita!$S$2:$S$545,"44409B3Convencional pré-pagamentoNão se aplicaNão se aplicaNão se aplicaNão se aplicaIntermediário",Mercado_Receita!$L$2:$L$545)+SUMIF(Mercado_Receita!$S$2:$S$545,"44409B3Convencional pré-pagamentoNão se aplicaNão se aplicaNão se aplicaNão se aplicaNão se aplica",Mercado_Receita!$L$2:$L$545)</f>
        <v>0</v>
      </c>
      <c r="K46" s="13">
        <f>SUMIF(Mercado_Receita!$S$2:$S$545,"44440B3Convencional pré-pagamentoNão se aplicaNão se aplicaNão se aplicaNão se aplicaPonta",Mercado_Receita!$L$2:$L$545)+SUMIF(Mercado_Receita!$S$2:$S$545,"44440B3Convencional pré-pagamentoNão se aplicaNão se aplicaNão se aplicaNão se aplicaFora ponta",Mercado_Receita!$L$2:$L$545)+SUMIF(Mercado_Receita!$S$2:$S$545,"44440B3Convencional pré-pagamentoNão se aplicaNão se aplicaNão se aplicaNão se aplicaIntermediário",Mercado_Receita!$L$2:$L$545)+SUMIF(Mercado_Receita!$S$2:$S$545,"44440B3Convencional pré-pagamentoNão se aplicaNão se aplicaNão se aplicaNão se aplicaNão se aplica",Mercado_Receita!$L$2:$L$545)</f>
        <v>0</v>
      </c>
      <c r="L46" s="13">
        <f>SUMIF(Mercado_Receita!$S$2:$S$545,"44470B3Convencional pré-pagamentoNão se aplicaNão se aplicaNão se aplicaNão se aplicaPonta",Mercado_Receita!$L$2:$L$545)+SUMIF(Mercado_Receita!$S$2:$S$545,"44470B3Convencional pré-pagamentoNão se aplicaNão se aplicaNão se aplicaNão se aplicaFora ponta",Mercado_Receita!$L$2:$L$545)+SUMIF(Mercado_Receita!$S$2:$S$545,"44470B3Convencional pré-pagamentoNão se aplicaNão se aplicaNão se aplicaNão se aplicaIntermediário",Mercado_Receita!$L$2:$L$545)+SUMIF(Mercado_Receita!$S$2:$S$545,"44470B3Convencional pré-pagamentoNão se aplicaNão se aplicaNão se aplicaNão se aplicaNão se aplica",Mercado_Receita!$L$2:$L$545)</f>
        <v>0</v>
      </c>
      <c r="M46" s="13">
        <f>SUMIF(Mercado_Receita!$S$2:$S$545,"44501B3Convencional pré-pagamentoNão se aplicaNão se aplicaNão se aplicaNão se aplicaPonta",Mercado_Receita!$L$2:$L$545)+SUMIF(Mercado_Receita!$S$2:$S$545,"44501B3Convencional pré-pagamentoNão se aplicaNão se aplicaNão se aplicaNão se aplicaFora ponta",Mercado_Receita!$L$2:$L$545)+SUMIF(Mercado_Receita!$S$2:$S$545,"44501B3Convencional pré-pagamentoNão se aplicaNão se aplicaNão se aplicaNão se aplicaIntermediário",Mercado_Receita!$L$2:$L$545)+SUMIF(Mercado_Receita!$S$2:$S$545,"44501B3Convencional pré-pagamentoNão se aplicaNão se aplicaNão se aplicaNão se aplicaNão se aplica",Mercado_Receita!$L$2:$L$545)</f>
        <v>0</v>
      </c>
      <c r="N46" s="13">
        <f>SUMIF(Mercado_Receita!$S$2:$S$545,"44531B3Convencional pré-pagamentoNão se aplicaNão se aplicaNão se aplicaNão se aplicaPonta",Mercado_Receita!$L$2:$L$545)+SUMIF(Mercado_Receita!$S$2:$S$545,"44531B3Convencional pré-pagamentoNão se aplicaNão se aplicaNão se aplicaNão se aplicaFora ponta",Mercado_Receita!$L$2:$L$545)+SUMIF(Mercado_Receita!$S$2:$S$545,"44531B3Convencional pré-pagamentoNão se aplicaNão se aplicaNão se aplicaNão se aplicaIntermediário",Mercado_Receita!$L$2:$L$545)+SUMIF(Mercado_Receita!$S$2:$S$545,"44531B3Convencional pré-pagamentoNão se aplicaNão se aplicaNão se aplicaNão se aplicaNão se aplica",Mercado_Receita!$L$2:$L$545)</f>
        <v>0</v>
      </c>
      <c r="O46" s="13">
        <f>SUMIF(Mercado_Receita!$S$2:$S$545,"44562B3Convencional pré-pagamentoNão se aplicaNão se aplicaNão se aplicaNão se aplicaPonta",Mercado_Receita!$L$2:$L$545)+SUMIF(Mercado_Receita!$S$2:$S$545,"44562B3Convencional pré-pagamentoNão se aplicaNão se aplicaNão se aplicaNão se aplicaFora ponta",Mercado_Receita!$L$2:$L$545)+SUMIF(Mercado_Receita!$S$2:$S$545,"44562B3Convencional pré-pagamentoNão se aplicaNão se aplicaNão se aplicaNão se aplicaIntermediário",Mercado_Receita!$L$2:$L$545)+SUMIF(Mercado_Receita!$S$2:$S$545,"44562B3Convencional pré-pagamentoNão se aplicaNão se aplicaNão se aplicaNão se aplicaNão se aplica",Mercado_Receita!$L$2:$L$545)</f>
        <v>0</v>
      </c>
      <c r="P46" s="13">
        <f>SUMIF(Mercado_Receita!$S$2:$S$545,"44593B3Convencional pré-pagamentoNão se aplicaNão se aplicaNão se aplicaNão se aplicaPonta",Mercado_Receita!$L$2:$L$545)+SUMIF(Mercado_Receita!$S$2:$S$545,"44593B3Convencional pré-pagamentoNão se aplicaNão se aplicaNão se aplicaNão se aplicaFora ponta",Mercado_Receita!$L$2:$L$545)+SUMIF(Mercado_Receita!$S$2:$S$545,"44593B3Convencional pré-pagamentoNão se aplicaNão se aplicaNão se aplicaNão se aplicaIntermediário",Mercado_Receita!$L$2:$L$545)+SUMIF(Mercado_Receita!$S$2:$S$545,"44593B3Convencional pré-pagamentoNão se aplicaNão se aplicaNão se aplicaNão se aplicaNão se aplica",Mercado_Receita!$L$2:$L$545)</f>
        <v>0</v>
      </c>
      <c r="Q46" s="13">
        <f>SUMIF(Mercado_Receita!$S$2:$S$545,"44621B3Convencional pré-pagamentoNão se aplicaNão se aplicaNão se aplicaNão se aplicaPonta",Mercado_Receita!$L$2:$L$545)+SUMIF(Mercado_Receita!$S$2:$S$545,"44621B3Convencional pré-pagamentoNão se aplicaNão se aplicaNão se aplicaNão se aplicaFora ponta",Mercado_Receita!$L$2:$L$545)+SUMIF(Mercado_Receita!$S$2:$S$545,"44621B3Convencional pré-pagamentoNão se aplicaNão se aplicaNão se aplicaNão se aplicaIntermediário",Mercado_Receita!$L$2:$L$545)+SUMIF(Mercado_Receita!$S$2:$S$545,"44621B3Convencional pré-pagamentoNão se aplicaNão se aplicaNão se aplicaNão se aplicaNão se aplica",Mercado_Receita!$L$2:$L$545)</f>
        <v>0</v>
      </c>
      <c r="R46" s="13">
        <f>SUMIF(Mercado_Receita!$S$2:$S$545,"44652B3Convencional pré-pagamentoNão se aplicaNão se aplicaNão se aplicaNão se aplicaPonta",Mercado_Receita!$L$2:$L$545)+SUMIF(Mercado_Receita!$S$2:$S$545,"44652B3Convencional pré-pagamentoNão se aplicaNão se aplicaNão se aplicaNão se aplicaFora ponta",Mercado_Receita!$L$2:$L$545)+SUMIF(Mercado_Receita!$S$2:$S$545,"44652B3Convencional pré-pagamentoNão se aplicaNão se aplicaNão se aplicaNão se aplicaIntermediário",Mercado_Receita!$L$2:$L$545)+SUMIF(Mercado_Receita!$S$2:$S$545,"44652B3Convencional pré-pagamentoNão se aplicaNão se aplicaNão se aplicaNão se aplicaNão se aplica",Mercado_Receita!$L$2:$L$545)</f>
        <v>0</v>
      </c>
      <c r="S46" s="13">
        <f>SUMIF(Mercado_Receita!$S$2:$S$545,"44682B3Convencional pré-pagamentoNão se aplicaNão se aplicaNão se aplicaNão se aplicaPonta",Mercado_Receita!$L$2:$L$545)+SUMIF(Mercado_Receita!$S$2:$S$545,"44682B3Convencional pré-pagamentoNão se aplicaNão se aplicaNão se aplicaNão se aplicaFora ponta",Mercado_Receita!$L$2:$L$545)+SUMIF(Mercado_Receita!$S$2:$S$545,"44682B3Convencional pré-pagamentoNão se aplicaNão se aplicaNão se aplicaNão se aplicaIntermediário",Mercado_Receita!$L$2:$L$545)+SUMIF(Mercado_Receita!$S$2:$S$545,"44682B3Convencional pré-pagamentoNão se aplicaNão se aplicaNão se aplicaNão se aplicaNão se aplica",Mercado_Receita!$L$2:$L$545)</f>
        <v>0</v>
      </c>
      <c r="T46" s="13">
        <f>SUMIF(Mercado_Receita!$S$2:$S$545,"44713B3Convencional pré-pagamentoNão se aplicaNão se aplicaNão se aplicaNão se aplicaPonta",Mercado_Receita!$L$2:$L$545)+SUMIF(Mercado_Receita!$S$2:$S$545,"44713B3Convencional pré-pagamentoNão se aplicaNão se aplicaNão se aplicaNão se aplicaFora ponta",Mercado_Receita!$L$2:$L$545)+SUMIF(Mercado_Receita!$S$2:$S$545,"44713B3Convencional pré-pagamentoNão se aplicaNão se aplicaNão se aplicaNão se aplicaIntermediário",Mercado_Receita!$L$2:$L$545)+SUMIF(Mercado_Receita!$S$2:$S$545,"44713B3Convencional pré-pagamentoNão se aplicaNão se aplicaNão se aplicaNão se aplicaNão se aplica",Mercado_Receita!$L$2:$L$545)</f>
        <v>0</v>
      </c>
      <c r="U46" s="13">
        <f t="shared" si="0"/>
        <v>0</v>
      </c>
      <c r="V46" s="13"/>
      <c r="W46" s="13"/>
    </row>
    <row r="47" spans="1:23" ht="11.25" customHeight="1" x14ac:dyDescent="0.25">
      <c r="A47" s="94" t="s">
        <v>44</v>
      </c>
      <c r="B47" s="94" t="s">
        <v>23</v>
      </c>
      <c r="C47" s="94" t="s">
        <v>45</v>
      </c>
      <c r="D47" s="12" t="s">
        <v>46</v>
      </c>
      <c r="E47" s="12" t="s">
        <v>25</v>
      </c>
      <c r="F47" s="12" t="s">
        <v>25</v>
      </c>
      <c r="G47" s="13" t="s">
        <v>77</v>
      </c>
      <c r="H47" s="13" t="s">
        <v>73</v>
      </c>
      <c r="I47" s="13">
        <f>SUMIF(Mercado_Receita!$S$2:$S$545,"44378B4ConvencionalIluminação públicaIluminação pública – B4aNão se aplicaNão se aplicaPonta",Mercado_Receita!$L$2:$L$545)+SUMIF(Mercado_Receita!$S$2:$S$545,"44378B4ConvencionalIluminação públicaIluminação pública – B4aNão se aplicaNão se aplicaFora ponta",Mercado_Receita!$L$2:$L$545)+SUMIF(Mercado_Receita!$S$2:$S$545,"44378B4ConvencionalIluminação públicaIluminação pública – B4aNão se aplicaNão se aplicaIntermediário",Mercado_Receita!$L$2:$L$545)+SUMIF(Mercado_Receita!$S$2:$S$545,"44378B4ConvencionalIluminação públicaIluminação pública – B4aNão se aplicaNão se aplicaNão se aplica",Mercado_Receita!$L$2:$L$545)</f>
        <v>70.344999999999999</v>
      </c>
      <c r="J47" s="13">
        <f>SUMIF(Mercado_Receita!$S$2:$S$545,"44409B4ConvencionalIluminação públicaIluminação pública – B4aNão se aplicaNão se aplicaPonta",Mercado_Receita!$L$2:$L$545)+SUMIF(Mercado_Receita!$S$2:$S$545,"44409B4ConvencionalIluminação públicaIluminação pública – B4aNão se aplicaNão se aplicaFora ponta",Mercado_Receita!$L$2:$L$545)+SUMIF(Mercado_Receita!$S$2:$S$545,"44409B4ConvencionalIluminação públicaIluminação pública – B4aNão se aplicaNão se aplicaIntermediário",Mercado_Receita!$L$2:$L$545)+SUMIF(Mercado_Receita!$S$2:$S$545,"44409B4ConvencionalIluminação públicaIluminação pública – B4aNão se aplicaNão se aplicaNão se aplica",Mercado_Receita!$L$2:$L$545)</f>
        <v>74.613</v>
      </c>
      <c r="K47" s="13">
        <f>SUMIF(Mercado_Receita!$S$2:$S$545,"44440B4ConvencionalIluminação públicaIluminação pública – B4aNão se aplicaNão se aplicaPonta",Mercado_Receita!$L$2:$L$545)+SUMIF(Mercado_Receita!$S$2:$S$545,"44440B4ConvencionalIluminação públicaIluminação pública – B4aNão se aplicaNão se aplicaFora ponta",Mercado_Receita!$L$2:$L$545)+SUMIF(Mercado_Receita!$S$2:$S$545,"44440B4ConvencionalIluminação públicaIluminação pública – B4aNão se aplicaNão se aplicaIntermediário",Mercado_Receita!$L$2:$L$545)+SUMIF(Mercado_Receita!$S$2:$S$545,"44440B4ConvencionalIluminação públicaIluminação pública – B4aNão se aplicaNão se aplicaNão se aplica",Mercado_Receita!$L$2:$L$545)</f>
        <v>74.100999999999999</v>
      </c>
      <c r="L47" s="13">
        <f>SUMIF(Mercado_Receita!$S$2:$S$545,"44470B4ConvencionalIluminação públicaIluminação pública – B4aNão se aplicaNão se aplicaPonta",Mercado_Receita!$L$2:$L$545)+SUMIF(Mercado_Receita!$S$2:$S$545,"44470B4ConvencionalIluminação públicaIluminação pública – B4aNão se aplicaNão se aplicaFora ponta",Mercado_Receita!$L$2:$L$545)+SUMIF(Mercado_Receita!$S$2:$S$545,"44470B4ConvencionalIluminação públicaIluminação pública – B4aNão se aplicaNão se aplicaIntermediário",Mercado_Receita!$L$2:$L$545)+SUMIF(Mercado_Receita!$S$2:$S$545,"44470B4ConvencionalIluminação públicaIluminação pública – B4aNão se aplicaNão se aplicaNão se aplica",Mercado_Receita!$L$2:$L$545)</f>
        <v>75.506</v>
      </c>
      <c r="M47" s="13">
        <f>SUMIF(Mercado_Receita!$S$2:$S$545,"44501B4ConvencionalIluminação públicaIluminação pública – B4aNão se aplicaNão se aplicaPonta",Mercado_Receita!$L$2:$L$545)+SUMIF(Mercado_Receita!$S$2:$S$545,"44501B4ConvencionalIluminação públicaIluminação pública – B4aNão se aplicaNão se aplicaFora ponta",Mercado_Receita!$L$2:$L$545)+SUMIF(Mercado_Receita!$S$2:$S$545,"44501B4ConvencionalIluminação públicaIluminação pública – B4aNão se aplicaNão se aplicaIntermediário",Mercado_Receita!$L$2:$L$545)+SUMIF(Mercado_Receita!$S$2:$S$545,"44501B4ConvencionalIluminação públicaIluminação pública – B4aNão se aplicaNão se aplicaNão se aplica",Mercado_Receita!$L$2:$L$545)</f>
        <v>73.221999999999994</v>
      </c>
      <c r="N47" s="13">
        <f>SUMIF(Mercado_Receita!$S$2:$S$545,"44531B4ConvencionalIluminação públicaIluminação pública – B4aNão se aplicaNão se aplicaPonta",Mercado_Receita!$L$2:$L$545)+SUMIF(Mercado_Receita!$S$2:$S$545,"44531B4ConvencionalIluminação públicaIluminação pública – B4aNão se aplicaNão se aplicaFora ponta",Mercado_Receita!$L$2:$L$545)+SUMIF(Mercado_Receita!$S$2:$S$545,"44531B4ConvencionalIluminação públicaIluminação pública – B4aNão se aplicaNão se aplicaIntermediário",Mercado_Receita!$L$2:$L$545)+SUMIF(Mercado_Receita!$S$2:$S$545,"44531B4ConvencionalIluminação públicaIluminação pública – B4aNão se aplicaNão se aplicaNão se aplica",Mercado_Receita!$L$2:$L$545)</f>
        <v>85.138000000000005</v>
      </c>
      <c r="O47" s="13">
        <f>SUMIF(Mercado_Receita!$S$2:$S$545,"44562B4ConvencionalIluminação públicaIluminação pública – B4aNão se aplicaNão se aplicaPonta",Mercado_Receita!$L$2:$L$545)+SUMIF(Mercado_Receita!$S$2:$S$545,"44562B4ConvencionalIluminação públicaIluminação pública – B4aNão se aplicaNão se aplicaFora ponta",Mercado_Receita!$L$2:$L$545)+SUMIF(Mercado_Receita!$S$2:$S$545,"44562B4ConvencionalIluminação públicaIluminação pública – B4aNão se aplicaNão se aplicaIntermediário",Mercado_Receita!$L$2:$L$545)+SUMIF(Mercado_Receita!$S$2:$S$545,"44562B4ConvencionalIluminação públicaIluminação pública – B4aNão se aplicaNão se aplicaNão se aplica",Mercado_Receita!$L$2:$L$545)</f>
        <v>76.95</v>
      </c>
      <c r="P47" s="13">
        <f>SUMIF(Mercado_Receita!$S$2:$S$545,"44593B4ConvencionalIluminação públicaIluminação pública – B4aNão se aplicaNão se aplicaPonta",Mercado_Receita!$L$2:$L$545)+SUMIF(Mercado_Receita!$S$2:$S$545,"44593B4ConvencionalIluminação públicaIluminação pública – B4aNão se aplicaNão se aplicaFora ponta",Mercado_Receita!$L$2:$L$545)+SUMIF(Mercado_Receita!$S$2:$S$545,"44593B4ConvencionalIluminação públicaIluminação pública – B4aNão se aplicaNão se aplicaIntermediário",Mercado_Receita!$L$2:$L$545)+SUMIF(Mercado_Receita!$S$2:$S$545,"44593B4ConvencionalIluminação públicaIluminação pública – B4aNão se aplicaNão se aplicaNão se aplica",Mercado_Receita!$L$2:$L$545)</f>
        <v>75.739999999999995</v>
      </c>
      <c r="Q47" s="13">
        <f>SUMIF(Mercado_Receita!$S$2:$S$545,"44621B4ConvencionalIluminação públicaIluminação pública – B4aNão se aplicaNão se aplicaPonta",Mercado_Receita!$L$2:$L$545)+SUMIF(Mercado_Receita!$S$2:$S$545,"44621B4ConvencionalIluminação públicaIluminação pública – B4aNão se aplicaNão se aplicaFora ponta",Mercado_Receita!$L$2:$L$545)+SUMIF(Mercado_Receita!$S$2:$S$545,"44621B4ConvencionalIluminação públicaIluminação pública – B4aNão se aplicaNão se aplicaIntermediário",Mercado_Receita!$L$2:$L$545)+SUMIF(Mercado_Receita!$S$2:$S$545,"44621B4ConvencionalIluminação públicaIluminação pública – B4aNão se aplicaNão se aplicaNão se aplica",Mercado_Receita!$L$2:$L$545)</f>
        <v>75.369</v>
      </c>
      <c r="R47" s="13">
        <f>SUMIF(Mercado_Receita!$S$2:$S$545,"44652B4ConvencionalIluminação públicaIluminação pública – B4aNão se aplicaNão se aplicaPonta",Mercado_Receita!$L$2:$L$545)+SUMIF(Mercado_Receita!$S$2:$S$545,"44652B4ConvencionalIluminação públicaIluminação pública – B4aNão se aplicaNão se aplicaFora ponta",Mercado_Receita!$L$2:$L$545)+SUMIF(Mercado_Receita!$S$2:$S$545,"44652B4ConvencionalIluminação públicaIluminação pública – B4aNão se aplicaNão se aplicaIntermediário",Mercado_Receita!$L$2:$L$545)+SUMIF(Mercado_Receita!$S$2:$S$545,"44652B4ConvencionalIluminação públicaIluminação pública – B4aNão se aplicaNão se aplicaNão se aplica",Mercado_Receita!$L$2:$L$545)</f>
        <v>73.501999999999995</v>
      </c>
      <c r="S47" s="13">
        <f>SUMIF(Mercado_Receita!$S$2:$S$545,"44682B4ConvencionalIluminação públicaIluminação pública – B4aNão se aplicaNão se aplicaPonta",Mercado_Receita!$L$2:$L$545)+SUMIF(Mercado_Receita!$S$2:$S$545,"44682B4ConvencionalIluminação públicaIluminação pública – B4aNão se aplicaNão se aplicaFora ponta",Mercado_Receita!$L$2:$L$545)+SUMIF(Mercado_Receita!$S$2:$S$545,"44682B4ConvencionalIluminação públicaIluminação pública – B4aNão se aplicaNão se aplicaIntermediário",Mercado_Receita!$L$2:$L$545)+SUMIF(Mercado_Receita!$S$2:$S$545,"44682B4ConvencionalIluminação públicaIluminação pública – B4aNão se aplicaNão se aplicaNão se aplica",Mercado_Receita!$L$2:$L$545)</f>
        <v>75.978999999999999</v>
      </c>
      <c r="T47" s="13">
        <f>SUMIF(Mercado_Receita!$S$2:$S$545,"44713B4ConvencionalIluminação públicaIluminação pública – B4aNão se aplicaNão se aplicaPonta",Mercado_Receita!$L$2:$L$545)+SUMIF(Mercado_Receita!$S$2:$S$545,"44713B4ConvencionalIluminação públicaIluminação pública – B4aNão se aplicaNão se aplicaFora ponta",Mercado_Receita!$L$2:$L$545)+SUMIF(Mercado_Receita!$S$2:$S$545,"44713B4ConvencionalIluminação públicaIluminação pública – B4aNão se aplicaNão se aplicaIntermediário",Mercado_Receita!$L$2:$L$545)+SUMIF(Mercado_Receita!$S$2:$S$545,"44713B4ConvencionalIluminação públicaIluminação pública – B4aNão se aplicaNão se aplicaNão se aplica",Mercado_Receita!$L$2:$L$545)</f>
        <v>75.396000000000001</v>
      </c>
      <c r="U47" s="13">
        <f t="shared" si="0"/>
        <v>905.86099999999999</v>
      </c>
      <c r="V47" s="13"/>
      <c r="W47" s="13"/>
    </row>
    <row r="48" spans="1:23" ht="11.25" customHeight="1" x14ac:dyDescent="0.25">
      <c r="A48" s="95"/>
      <c r="B48" s="95"/>
      <c r="C48" s="95"/>
      <c r="D48" s="13" t="s">
        <v>91</v>
      </c>
      <c r="E48" s="13" t="s">
        <v>25</v>
      </c>
      <c r="F48" s="13" t="s">
        <v>25</v>
      </c>
      <c r="G48" s="13" t="s">
        <v>77</v>
      </c>
      <c r="H48" s="13" t="s">
        <v>73</v>
      </c>
      <c r="I48" s="13">
        <f>SUMIF(Mercado_Receita!$S$2:$S$545,"44378B4ConvencionalIluminação públicaIluminação pública – B4bNão se aplicaNão se aplicaPonta",Mercado_Receita!$L$2:$L$545)+SUMIF(Mercado_Receita!$S$2:$S$545,"44378B4ConvencionalIluminação públicaIluminação pública – B4bNão se aplicaNão se aplicaFora ponta",Mercado_Receita!$L$2:$L$545)+SUMIF(Mercado_Receita!$S$2:$S$545,"44378B4ConvencionalIluminação públicaIluminação pública – B4bNão se aplicaNão se aplicaIntermediário",Mercado_Receita!$L$2:$L$545)+SUMIF(Mercado_Receita!$S$2:$S$545,"44378B4ConvencionalIluminação públicaIluminação pública – B4bNão se aplicaNão se aplicaNão se aplica",Mercado_Receita!$L$2:$L$545)</f>
        <v>0</v>
      </c>
      <c r="J48" s="13">
        <f>SUMIF(Mercado_Receita!$S$2:$S$545,"44409B4ConvencionalIluminação públicaIluminação pública – B4bNão se aplicaNão se aplicaPonta",Mercado_Receita!$L$2:$L$545)+SUMIF(Mercado_Receita!$S$2:$S$545,"44409B4ConvencionalIluminação públicaIluminação pública – B4bNão se aplicaNão se aplicaFora ponta",Mercado_Receita!$L$2:$L$545)+SUMIF(Mercado_Receita!$S$2:$S$545,"44409B4ConvencionalIluminação públicaIluminação pública – B4bNão se aplicaNão se aplicaIntermediário",Mercado_Receita!$L$2:$L$545)+SUMIF(Mercado_Receita!$S$2:$S$545,"44409B4ConvencionalIluminação públicaIluminação pública – B4bNão se aplicaNão se aplicaNão se aplica",Mercado_Receita!$L$2:$L$545)</f>
        <v>0</v>
      </c>
      <c r="K48" s="13">
        <f>SUMIF(Mercado_Receita!$S$2:$S$545,"44440B4ConvencionalIluminação públicaIluminação pública – B4bNão se aplicaNão se aplicaPonta",Mercado_Receita!$L$2:$L$545)+SUMIF(Mercado_Receita!$S$2:$S$545,"44440B4ConvencionalIluminação públicaIluminação pública – B4bNão se aplicaNão se aplicaFora ponta",Mercado_Receita!$L$2:$L$545)+SUMIF(Mercado_Receita!$S$2:$S$545,"44440B4ConvencionalIluminação públicaIluminação pública – B4bNão se aplicaNão se aplicaIntermediário",Mercado_Receita!$L$2:$L$545)+SUMIF(Mercado_Receita!$S$2:$S$545,"44440B4ConvencionalIluminação públicaIluminação pública – B4bNão se aplicaNão se aplicaNão se aplica",Mercado_Receita!$L$2:$L$545)</f>
        <v>0</v>
      </c>
      <c r="L48" s="13">
        <f>SUMIF(Mercado_Receita!$S$2:$S$545,"44470B4ConvencionalIluminação públicaIluminação pública – B4bNão se aplicaNão se aplicaPonta",Mercado_Receita!$L$2:$L$545)+SUMIF(Mercado_Receita!$S$2:$S$545,"44470B4ConvencionalIluminação públicaIluminação pública – B4bNão se aplicaNão se aplicaFora ponta",Mercado_Receita!$L$2:$L$545)+SUMIF(Mercado_Receita!$S$2:$S$545,"44470B4ConvencionalIluminação públicaIluminação pública – B4bNão se aplicaNão se aplicaIntermediário",Mercado_Receita!$L$2:$L$545)+SUMIF(Mercado_Receita!$S$2:$S$545,"44470B4ConvencionalIluminação públicaIluminação pública – B4bNão se aplicaNão se aplicaNão se aplica",Mercado_Receita!$L$2:$L$545)</f>
        <v>0</v>
      </c>
      <c r="M48" s="13">
        <f>SUMIF(Mercado_Receita!$S$2:$S$545,"44501B4ConvencionalIluminação públicaIluminação pública – B4bNão se aplicaNão se aplicaPonta",Mercado_Receita!$L$2:$L$545)+SUMIF(Mercado_Receita!$S$2:$S$545,"44501B4ConvencionalIluminação públicaIluminação pública – B4bNão se aplicaNão se aplicaFora ponta",Mercado_Receita!$L$2:$L$545)+SUMIF(Mercado_Receita!$S$2:$S$545,"44501B4ConvencionalIluminação públicaIluminação pública – B4bNão se aplicaNão se aplicaIntermediário",Mercado_Receita!$L$2:$L$545)+SUMIF(Mercado_Receita!$S$2:$S$545,"44501B4ConvencionalIluminação públicaIluminação pública – B4bNão se aplicaNão se aplicaNão se aplica",Mercado_Receita!$L$2:$L$545)</f>
        <v>0</v>
      </c>
      <c r="N48" s="13">
        <f>SUMIF(Mercado_Receita!$S$2:$S$545,"44531B4ConvencionalIluminação públicaIluminação pública – B4bNão se aplicaNão se aplicaPonta",Mercado_Receita!$L$2:$L$545)+SUMIF(Mercado_Receita!$S$2:$S$545,"44531B4ConvencionalIluminação públicaIluminação pública – B4bNão se aplicaNão se aplicaFora ponta",Mercado_Receita!$L$2:$L$545)+SUMIF(Mercado_Receita!$S$2:$S$545,"44531B4ConvencionalIluminação públicaIluminação pública – B4bNão se aplicaNão se aplicaIntermediário",Mercado_Receita!$L$2:$L$545)+SUMIF(Mercado_Receita!$S$2:$S$545,"44531B4ConvencionalIluminação públicaIluminação pública – B4bNão se aplicaNão se aplicaNão se aplica",Mercado_Receita!$L$2:$L$545)</f>
        <v>0</v>
      </c>
      <c r="O48" s="13">
        <f>SUMIF(Mercado_Receita!$S$2:$S$545,"44562B4ConvencionalIluminação públicaIluminação pública – B4bNão se aplicaNão se aplicaPonta",Mercado_Receita!$L$2:$L$545)+SUMIF(Mercado_Receita!$S$2:$S$545,"44562B4ConvencionalIluminação públicaIluminação pública – B4bNão se aplicaNão se aplicaFora ponta",Mercado_Receita!$L$2:$L$545)+SUMIF(Mercado_Receita!$S$2:$S$545,"44562B4ConvencionalIluminação públicaIluminação pública – B4bNão se aplicaNão se aplicaIntermediário",Mercado_Receita!$L$2:$L$545)+SUMIF(Mercado_Receita!$S$2:$S$545,"44562B4ConvencionalIluminação públicaIluminação pública – B4bNão se aplicaNão se aplicaNão se aplica",Mercado_Receita!$L$2:$L$545)</f>
        <v>0</v>
      </c>
      <c r="P48" s="13">
        <f>SUMIF(Mercado_Receita!$S$2:$S$545,"44593B4ConvencionalIluminação públicaIluminação pública – B4bNão se aplicaNão se aplicaPonta",Mercado_Receita!$L$2:$L$545)+SUMIF(Mercado_Receita!$S$2:$S$545,"44593B4ConvencionalIluminação públicaIluminação pública – B4bNão se aplicaNão se aplicaFora ponta",Mercado_Receita!$L$2:$L$545)+SUMIF(Mercado_Receita!$S$2:$S$545,"44593B4ConvencionalIluminação públicaIluminação pública – B4bNão se aplicaNão se aplicaIntermediário",Mercado_Receita!$L$2:$L$545)+SUMIF(Mercado_Receita!$S$2:$S$545,"44593B4ConvencionalIluminação públicaIluminação pública – B4bNão se aplicaNão se aplicaNão se aplica",Mercado_Receita!$L$2:$L$545)</f>
        <v>0</v>
      </c>
      <c r="Q48" s="13">
        <f>SUMIF(Mercado_Receita!$S$2:$S$545,"44621B4ConvencionalIluminação públicaIluminação pública – B4bNão se aplicaNão se aplicaPonta",Mercado_Receita!$L$2:$L$545)+SUMIF(Mercado_Receita!$S$2:$S$545,"44621B4ConvencionalIluminação públicaIluminação pública – B4bNão se aplicaNão se aplicaFora ponta",Mercado_Receita!$L$2:$L$545)+SUMIF(Mercado_Receita!$S$2:$S$545,"44621B4ConvencionalIluminação públicaIluminação pública – B4bNão se aplicaNão se aplicaIntermediário",Mercado_Receita!$L$2:$L$545)+SUMIF(Mercado_Receita!$S$2:$S$545,"44621B4ConvencionalIluminação públicaIluminação pública – B4bNão se aplicaNão se aplicaNão se aplica",Mercado_Receita!$L$2:$L$545)</f>
        <v>0</v>
      </c>
      <c r="R48" s="13">
        <f>SUMIF(Mercado_Receita!$S$2:$S$545,"44652B4ConvencionalIluminação públicaIluminação pública – B4bNão se aplicaNão se aplicaPonta",Mercado_Receita!$L$2:$L$545)+SUMIF(Mercado_Receita!$S$2:$S$545,"44652B4ConvencionalIluminação públicaIluminação pública – B4bNão se aplicaNão se aplicaFora ponta",Mercado_Receita!$L$2:$L$545)+SUMIF(Mercado_Receita!$S$2:$S$545,"44652B4ConvencionalIluminação públicaIluminação pública – B4bNão se aplicaNão se aplicaIntermediário",Mercado_Receita!$L$2:$L$545)+SUMIF(Mercado_Receita!$S$2:$S$545,"44652B4ConvencionalIluminação públicaIluminação pública – B4bNão se aplicaNão se aplicaNão se aplica",Mercado_Receita!$L$2:$L$545)</f>
        <v>0</v>
      </c>
      <c r="S48" s="13">
        <f>SUMIF(Mercado_Receita!$S$2:$S$545,"44682B4ConvencionalIluminação públicaIluminação pública – B4bNão se aplicaNão se aplicaPonta",Mercado_Receita!$L$2:$L$545)+SUMIF(Mercado_Receita!$S$2:$S$545,"44682B4ConvencionalIluminação públicaIluminação pública – B4bNão se aplicaNão se aplicaFora ponta",Mercado_Receita!$L$2:$L$545)+SUMIF(Mercado_Receita!$S$2:$S$545,"44682B4ConvencionalIluminação públicaIluminação pública – B4bNão se aplicaNão se aplicaIntermediário",Mercado_Receita!$L$2:$L$545)+SUMIF(Mercado_Receita!$S$2:$S$545,"44682B4ConvencionalIluminação públicaIluminação pública – B4bNão se aplicaNão se aplicaNão se aplica",Mercado_Receita!$L$2:$L$545)</f>
        <v>0</v>
      </c>
      <c r="T48" s="13">
        <f>SUMIF(Mercado_Receita!$S$2:$S$545,"44713B4ConvencionalIluminação públicaIluminação pública – B4bNão se aplicaNão se aplicaPonta",Mercado_Receita!$L$2:$L$545)+SUMIF(Mercado_Receita!$S$2:$S$545,"44713B4ConvencionalIluminação públicaIluminação pública – B4bNão se aplicaNão se aplicaFora ponta",Mercado_Receita!$L$2:$L$545)+SUMIF(Mercado_Receita!$S$2:$S$545,"44713B4ConvencionalIluminação públicaIluminação pública – B4bNão se aplicaNão se aplicaIntermediário",Mercado_Receita!$L$2:$L$545)+SUMIF(Mercado_Receita!$S$2:$S$545,"44713B4ConvencionalIluminação públicaIluminação pública – B4bNão se aplicaNão se aplicaNão se aplica",Mercado_Receita!$L$2:$L$545)</f>
        <v>0</v>
      </c>
      <c r="U48" s="13">
        <f t="shared" si="0"/>
        <v>0</v>
      </c>
      <c r="V48" s="13"/>
      <c r="W48" s="13"/>
    </row>
    <row r="49" spans="1:23" ht="11.25" customHeight="1" x14ac:dyDescent="0.25">
      <c r="A49" s="96" t="s">
        <v>386</v>
      </c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13"/>
      <c r="W49" s="13"/>
    </row>
  </sheetData>
  <mergeCells count="55"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F27:F29"/>
    <mergeCell ref="E27:E29"/>
    <mergeCell ref="D27:D29"/>
    <mergeCell ref="C27:C29"/>
    <mergeCell ref="B27:B29"/>
    <mergeCell ref="C17:C21"/>
    <mergeCell ref="B17:B21"/>
    <mergeCell ref="C22:C26"/>
    <mergeCell ref="B22:B26"/>
    <mergeCell ref="A14:A26"/>
    <mergeCell ref="C31:C33"/>
    <mergeCell ref="B31:B33"/>
    <mergeCell ref="F35:F37"/>
    <mergeCell ref="E35:E37"/>
    <mergeCell ref="D35:D37"/>
    <mergeCell ref="C35:C37"/>
    <mergeCell ref="B35:B37"/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0A97-3FCC-4EAE-92A7-C0D75AB833F8}">
  <dimension ref="A1:AD40"/>
  <sheetViews>
    <sheetView showGridLines="0" workbookViewId="0">
      <selection sqref="A1:W40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63</v>
      </c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  <c r="G1" s="10" t="s">
        <v>69</v>
      </c>
      <c r="H1" s="10" t="s">
        <v>70</v>
      </c>
      <c r="I1" s="11">
        <v>44378</v>
      </c>
      <c r="J1" s="11">
        <v>44409</v>
      </c>
      <c r="K1" s="11">
        <v>44440</v>
      </c>
      <c r="L1" s="11">
        <v>44470</v>
      </c>
      <c r="M1" s="11">
        <v>44501</v>
      </c>
      <c r="N1" s="11">
        <v>44531</v>
      </c>
      <c r="O1" s="11">
        <v>44562</v>
      </c>
      <c r="P1" s="11">
        <v>44593</v>
      </c>
      <c r="Q1" s="11">
        <v>44621</v>
      </c>
      <c r="R1" s="11">
        <v>44652</v>
      </c>
      <c r="S1" s="11">
        <v>44682</v>
      </c>
      <c r="T1" s="11">
        <v>44713</v>
      </c>
      <c r="U1" s="10" t="s">
        <v>71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94" t="s">
        <v>35</v>
      </c>
      <c r="B2" s="94" t="s">
        <v>72</v>
      </c>
      <c r="C2" s="94" t="s">
        <v>25</v>
      </c>
      <c r="D2" s="94" t="s">
        <v>25</v>
      </c>
      <c r="E2" s="94" t="s">
        <v>25</v>
      </c>
      <c r="F2" s="94" t="s">
        <v>25</v>
      </c>
      <c r="G2" s="13" t="s">
        <v>74</v>
      </c>
      <c r="H2" s="13" t="s">
        <v>73</v>
      </c>
      <c r="I2" s="13">
        <f>SUMIF(Mercado_Receita!$T$2:$T$545,"44378A4Energia horáriaNão se aplicaNão se aplicaNão se aplicaNão se aplicaPonta",Mercado_Receita!$N$2:$N$545)</f>
        <v>251.13200000000003</v>
      </c>
      <c r="J2" s="13">
        <f>SUMIF(Mercado_Receita!$T$2:$T$545,"44409A4Energia horáriaNão se aplicaNão se aplicaNão se aplicaNão se aplicaPonta",Mercado_Receita!$N$2:$N$545)</f>
        <v>256.34499999999991</v>
      </c>
      <c r="K2" s="13">
        <f>SUMIF(Mercado_Receita!$T$2:$T$545,"44440A4Energia horáriaNão se aplicaNão se aplicaNão se aplicaNão se aplicaPonta",Mercado_Receita!$N$2:$N$545)</f>
        <v>253.06200000000001</v>
      </c>
      <c r="L2" s="13">
        <f>SUMIF(Mercado_Receita!$T$2:$T$545,"44470A4Energia horáriaNão se aplicaNão se aplicaNão se aplicaNão se aplicaPonta",Mercado_Receita!$N$2:$N$545)</f>
        <v>252.67199999999997</v>
      </c>
      <c r="M2" s="13">
        <f>SUMIF(Mercado_Receita!$T$2:$T$545,"44501A4Energia horáriaNão se aplicaNão se aplicaNão se aplicaNão se aplicaPonta",Mercado_Receita!$N$2:$N$545)</f>
        <v>258.32</v>
      </c>
      <c r="N2" s="13">
        <f>SUMIF(Mercado_Receita!$T$2:$T$545,"44531A4Energia horáriaNão se aplicaNão se aplicaNão se aplicaNão se aplicaPonta",Mercado_Receita!$N$2:$N$545)</f>
        <v>271.75200000000001</v>
      </c>
      <c r="O2" s="13">
        <f>SUMIF(Mercado_Receita!$T$2:$T$545,"44562A4Energia horáriaNão se aplicaNão se aplicaNão se aplicaNão se aplicaPonta",Mercado_Receita!$N$2:$N$545)</f>
        <v>256.38599999999997</v>
      </c>
      <c r="P2" s="13">
        <f>SUMIF(Mercado_Receita!$T$2:$T$545,"44593A4Energia horáriaNão se aplicaNão se aplicaNão se aplicaNão se aplicaPonta",Mercado_Receita!$N$2:$N$545)</f>
        <v>274.899</v>
      </c>
      <c r="Q2" s="13">
        <f>SUMIF(Mercado_Receita!$T$2:$T$545,"44621A4Energia horáriaNão se aplicaNão se aplicaNão se aplicaNão se aplicaPonta",Mercado_Receita!$N$2:$N$545)</f>
        <v>325.60000000000002</v>
      </c>
      <c r="R2" s="13">
        <f>SUMIF(Mercado_Receita!$T$2:$T$545,"44652A4Energia horáriaNão se aplicaNão se aplicaNão se aplicaNão se aplicaPonta",Mercado_Receita!$N$2:$N$545)</f>
        <v>241.32499999999999</v>
      </c>
      <c r="S2" s="13">
        <f>SUMIF(Mercado_Receita!$T$2:$T$545,"44682A4Energia horáriaNão se aplicaNão se aplicaNão se aplicaNão se aplicaPonta",Mercado_Receita!$N$2:$N$545)</f>
        <v>286.90199999999999</v>
      </c>
      <c r="T2" s="13">
        <f>SUMIF(Mercado_Receita!$T$2:$T$545,"44713A4Energia horáriaNão se aplicaNão se aplicaNão se aplicaNão se aplicaPonta",Mercado_Receita!$N$2:$N$545)</f>
        <v>250.95900000000003</v>
      </c>
      <c r="U2" s="13">
        <f t="shared" ref="U2:U39" si="0">SUM(I2:T2)</f>
        <v>3179.3539999999994</v>
      </c>
      <c r="V2" s="13"/>
      <c r="W2" s="13"/>
    </row>
    <row r="3" spans="1:30" ht="11.25" customHeight="1" x14ac:dyDescent="0.25">
      <c r="A3" s="95"/>
      <c r="B3" s="95"/>
      <c r="C3" s="95"/>
      <c r="D3" s="95"/>
      <c r="E3" s="95"/>
      <c r="F3" s="95"/>
      <c r="G3" s="13" t="s">
        <v>75</v>
      </c>
      <c r="H3" s="13" t="s">
        <v>73</v>
      </c>
      <c r="I3" s="13">
        <f>SUMIF(Mercado_Receita!$T$2:$T$545,"44378A4Energia horáriaNão se aplicaNão se aplicaNão se aplicaNão se aplicaFora ponta",Mercado_Receita!$N$2:$N$545)</f>
        <v>3082.4810000000002</v>
      </c>
      <c r="J3" s="13">
        <f>SUMIF(Mercado_Receita!$T$2:$T$545,"44409A4Energia horáriaNão se aplicaNão se aplicaNão se aplicaNão se aplicaFora ponta",Mercado_Receita!$N$2:$N$545)</f>
        <v>3091.5419999999999</v>
      </c>
      <c r="K3" s="13">
        <f>SUMIF(Mercado_Receita!$T$2:$T$545,"44440A4Energia horáriaNão se aplicaNão se aplicaNão se aplicaNão se aplicaFora ponta",Mercado_Receita!$N$2:$N$545)</f>
        <v>3105.5120000000002</v>
      </c>
      <c r="L3" s="13">
        <f>SUMIF(Mercado_Receita!$T$2:$T$545,"44470A4Energia horáriaNão se aplicaNão se aplicaNão se aplicaNão se aplicaFora ponta",Mercado_Receita!$N$2:$N$545)</f>
        <v>3206.0239999999999</v>
      </c>
      <c r="M3" s="13">
        <f>SUMIF(Mercado_Receita!$T$2:$T$545,"44501A4Energia horáriaNão se aplicaNão se aplicaNão se aplicaNão se aplicaFora ponta",Mercado_Receita!$N$2:$N$545)</f>
        <v>3376.8159999999998</v>
      </c>
      <c r="N3" s="13">
        <f>SUMIF(Mercado_Receita!$T$2:$T$545,"44531A4Energia horáriaNão se aplicaNão se aplicaNão se aplicaNão se aplicaFora ponta",Mercado_Receita!$N$2:$N$545)</f>
        <v>3414.24</v>
      </c>
      <c r="O3" s="13">
        <f>SUMIF(Mercado_Receita!$T$2:$T$545,"44562A4Energia horáriaNão se aplicaNão se aplicaNão se aplicaNão se aplicaFora ponta",Mercado_Receita!$N$2:$N$545)</f>
        <v>3325.8989999999994</v>
      </c>
      <c r="P3" s="13">
        <f>SUMIF(Mercado_Receita!$T$2:$T$545,"44593A4Energia horáriaNão se aplicaNão se aplicaNão se aplicaNão se aplicaFora ponta",Mercado_Receita!$N$2:$N$545)</f>
        <v>3328.4300000000003</v>
      </c>
      <c r="Q3" s="13">
        <f>SUMIF(Mercado_Receita!$T$2:$T$545,"44621A4Energia horáriaNão se aplicaNão se aplicaNão se aplicaNão se aplicaFora ponta",Mercado_Receita!$N$2:$N$545)</f>
        <v>3635.3360000000002</v>
      </c>
      <c r="R3" s="13">
        <f>SUMIF(Mercado_Receita!$T$2:$T$545,"44652A4Energia horáriaNão se aplicaNão se aplicaNão se aplicaNão se aplicaFora ponta",Mercado_Receita!$N$2:$N$545)</f>
        <v>2999.3999999999996</v>
      </c>
      <c r="S3" s="13">
        <f>SUMIF(Mercado_Receita!$T$2:$T$545,"44682A4Energia horáriaNão se aplicaNão se aplicaNão se aplicaNão se aplicaFora ponta",Mercado_Receita!$N$2:$N$545)</f>
        <v>3103.4870000000005</v>
      </c>
      <c r="T3" s="13">
        <f>SUMIF(Mercado_Receita!$T$2:$T$545,"44713A4Energia horáriaNão se aplicaNão se aplicaNão se aplicaNão se aplicaFora ponta",Mercado_Receita!$N$2:$N$545)</f>
        <v>2846.14</v>
      </c>
      <c r="U3" s="13">
        <f t="shared" si="0"/>
        <v>38515.306999999993</v>
      </c>
      <c r="V3" s="13"/>
      <c r="W3" s="13"/>
    </row>
    <row r="4" spans="1:30" ht="11.25" customHeight="1" x14ac:dyDescent="0.25">
      <c r="A4" s="95"/>
      <c r="B4" s="12" t="s">
        <v>76</v>
      </c>
      <c r="C4" s="12" t="s">
        <v>25</v>
      </c>
      <c r="D4" s="12" t="s">
        <v>25</v>
      </c>
      <c r="E4" s="12" t="s">
        <v>25</v>
      </c>
      <c r="F4" s="12" t="s">
        <v>25</v>
      </c>
      <c r="G4" s="13" t="s">
        <v>77</v>
      </c>
      <c r="H4" s="13" t="s">
        <v>73</v>
      </c>
      <c r="I4" s="13">
        <f>SUMIF(Mercado_Receita!$T$2:$T$545,"44378A4Energia convencionalNão se aplicaNão se aplicaNão se aplicaNão se aplicaNão se aplica",Mercado_Receita!$N$2:$N$545)</f>
        <v>0</v>
      </c>
      <c r="J4" s="13">
        <f>SUMIF(Mercado_Receita!$T$2:$T$545,"44409A4Energia convencionalNão se aplicaNão se aplicaNão se aplicaNão se aplicaNão se aplica",Mercado_Receita!$N$2:$N$545)</f>
        <v>0</v>
      </c>
      <c r="K4" s="13">
        <f>SUMIF(Mercado_Receita!$T$2:$T$545,"44440A4Energia convencionalNão se aplicaNão se aplicaNão se aplicaNão se aplicaNão se aplica",Mercado_Receita!$N$2:$N$545)</f>
        <v>0</v>
      </c>
      <c r="L4" s="13">
        <f>SUMIF(Mercado_Receita!$T$2:$T$545,"44470A4Energia convencionalNão se aplicaNão se aplicaNão se aplicaNão se aplicaNão se aplica",Mercado_Receita!$N$2:$N$545)</f>
        <v>0</v>
      </c>
      <c r="M4" s="13">
        <f>SUMIF(Mercado_Receita!$T$2:$T$545,"44501A4Energia convencionalNão se aplicaNão se aplicaNão se aplicaNão se aplicaNão se aplica",Mercado_Receita!$N$2:$N$545)</f>
        <v>0</v>
      </c>
      <c r="N4" s="13">
        <f>SUMIF(Mercado_Receita!$T$2:$T$545,"44531A4Energia convencionalNão se aplicaNão se aplicaNão se aplicaNão se aplicaNão se aplica",Mercado_Receita!$N$2:$N$545)</f>
        <v>0</v>
      </c>
      <c r="O4" s="13">
        <f>SUMIF(Mercado_Receita!$T$2:$T$545,"44562A4Energia convencionalNão se aplicaNão se aplicaNão se aplicaNão se aplicaNão se aplica",Mercado_Receita!$N$2:$N$545)</f>
        <v>0</v>
      </c>
      <c r="P4" s="13">
        <f>SUMIF(Mercado_Receita!$T$2:$T$545,"44593A4Energia convencionalNão se aplicaNão se aplicaNão se aplicaNão se aplicaNão se aplica",Mercado_Receita!$N$2:$N$545)</f>
        <v>0</v>
      </c>
      <c r="Q4" s="13">
        <f>SUMIF(Mercado_Receita!$T$2:$T$545,"44621A4Energia convencionalNão se aplicaNão se aplicaNão se aplicaNão se aplicaNão se aplica",Mercado_Receita!$N$2:$N$545)</f>
        <v>0</v>
      </c>
      <c r="R4" s="13">
        <f>SUMIF(Mercado_Receita!$T$2:$T$545,"44652A4Energia convencionalNão se aplicaNão se aplicaNão se aplicaNão se aplicaNão se aplica",Mercado_Receita!$N$2:$N$545)</f>
        <v>0</v>
      </c>
      <c r="S4" s="13">
        <f>SUMIF(Mercado_Receita!$T$2:$T$545,"44682A4Energia convencionalNão se aplicaNão se aplicaNão se aplicaNão se aplicaNão se aplica",Mercado_Receita!$N$2:$N$545)</f>
        <v>0</v>
      </c>
      <c r="T4" s="13">
        <f>SUMIF(Mercado_Receita!$T$2:$T$545,"44713A4Energia convencionalNão se aplicaNão se aplicaNão se aplicaNão se aplicaNão se aplica",Mercado_Receita!$N$2:$N$545)</f>
        <v>0</v>
      </c>
      <c r="U4" s="13">
        <f t="shared" si="0"/>
        <v>0</v>
      </c>
      <c r="V4" s="13"/>
      <c r="W4" s="13"/>
    </row>
    <row r="5" spans="1:30" ht="11.25" customHeight="1" x14ac:dyDescent="0.25">
      <c r="A5" s="94" t="s">
        <v>22</v>
      </c>
      <c r="B5" s="94" t="s">
        <v>72</v>
      </c>
      <c r="C5" s="94" t="s">
        <v>24</v>
      </c>
      <c r="D5" s="94" t="s">
        <v>24</v>
      </c>
      <c r="E5" s="94" t="s">
        <v>25</v>
      </c>
      <c r="F5" s="94" t="s">
        <v>25</v>
      </c>
      <c r="G5" s="13" t="s">
        <v>74</v>
      </c>
      <c r="H5" s="13" t="s">
        <v>73</v>
      </c>
      <c r="I5" s="13">
        <f>SUMIF(Mercado_Receita!$T$2:$T$545,"44378B1Energia horáriaResidencialResidencialNão se aplicaNão se aplicaPonta",Mercado_Receita!$N$2:$N$545)</f>
        <v>0</v>
      </c>
      <c r="J5" s="13">
        <f>SUMIF(Mercado_Receita!$T$2:$T$545,"44409B1Energia horáriaResidencialResidencialNão se aplicaNão se aplicaPonta",Mercado_Receita!$N$2:$N$545)</f>
        <v>0</v>
      </c>
      <c r="K5" s="13">
        <f>SUMIF(Mercado_Receita!$T$2:$T$545,"44440B1Energia horáriaResidencialResidencialNão se aplicaNão se aplicaPonta",Mercado_Receita!$N$2:$N$545)</f>
        <v>0</v>
      </c>
      <c r="L5" s="13">
        <f>SUMIF(Mercado_Receita!$T$2:$T$545,"44470B1Energia horáriaResidencialResidencialNão se aplicaNão se aplicaPonta",Mercado_Receita!$N$2:$N$545)</f>
        <v>0</v>
      </c>
      <c r="M5" s="13">
        <f>SUMIF(Mercado_Receita!$T$2:$T$545,"44501B1Energia horáriaResidencialResidencialNão se aplicaNão se aplicaPonta",Mercado_Receita!$N$2:$N$545)</f>
        <v>0</v>
      </c>
      <c r="N5" s="13">
        <f>SUMIF(Mercado_Receita!$T$2:$T$545,"44531B1Energia horáriaResidencialResidencialNão se aplicaNão se aplicaPonta",Mercado_Receita!$N$2:$N$545)</f>
        <v>0</v>
      </c>
      <c r="O5" s="13">
        <f>SUMIF(Mercado_Receita!$T$2:$T$545,"44562B1Energia horáriaResidencialResidencialNão se aplicaNão se aplicaPonta",Mercado_Receita!$N$2:$N$545)</f>
        <v>0</v>
      </c>
      <c r="P5" s="13">
        <f>SUMIF(Mercado_Receita!$T$2:$T$545,"44593B1Energia horáriaResidencialResidencialNão se aplicaNão se aplicaPonta",Mercado_Receita!$N$2:$N$545)</f>
        <v>0</v>
      </c>
      <c r="Q5" s="13">
        <f>SUMIF(Mercado_Receita!$T$2:$T$545,"44621B1Energia horáriaResidencialResidencialNão se aplicaNão se aplicaPonta",Mercado_Receita!$N$2:$N$545)</f>
        <v>0</v>
      </c>
      <c r="R5" s="13">
        <f>SUMIF(Mercado_Receita!$T$2:$T$545,"44652B1Energia horáriaResidencialResidencialNão se aplicaNão se aplicaPonta",Mercado_Receita!$N$2:$N$545)</f>
        <v>0</v>
      </c>
      <c r="S5" s="13">
        <f>SUMIF(Mercado_Receita!$T$2:$T$545,"44682B1Energia horáriaResidencialResidencialNão se aplicaNão se aplicaPonta",Mercado_Receita!$N$2:$N$545)</f>
        <v>0</v>
      </c>
      <c r="T5" s="13">
        <f>SUMIF(Mercado_Receita!$T$2:$T$545,"44713B1Energia horáriaResidencialResidencialNão se aplicaNão se aplicaPonta",Mercado_Receita!$N$2:$N$545)</f>
        <v>0</v>
      </c>
      <c r="U5" s="13">
        <f t="shared" si="0"/>
        <v>0</v>
      </c>
      <c r="V5" s="13"/>
      <c r="W5" s="13"/>
    </row>
    <row r="6" spans="1:30" ht="11.25" customHeight="1" x14ac:dyDescent="0.25">
      <c r="A6" s="95"/>
      <c r="B6" s="95"/>
      <c r="C6" s="95"/>
      <c r="D6" s="95"/>
      <c r="E6" s="95"/>
      <c r="F6" s="95"/>
      <c r="G6" s="13" t="s">
        <v>85</v>
      </c>
      <c r="H6" s="13" t="s">
        <v>73</v>
      </c>
      <c r="I6" s="13">
        <f>SUMIF(Mercado_Receita!$T$2:$T$545,"44378B1Energia horáriaResidencialResidencialNão se aplicaNão se aplicaIntermediário",Mercado_Receita!$N$2:$N$545)</f>
        <v>0</v>
      </c>
      <c r="J6" s="13">
        <f>SUMIF(Mercado_Receita!$T$2:$T$545,"44409B1Energia horáriaResidencialResidencialNão se aplicaNão se aplicaIntermediário",Mercado_Receita!$N$2:$N$545)</f>
        <v>0</v>
      </c>
      <c r="K6" s="13">
        <f>SUMIF(Mercado_Receita!$T$2:$T$545,"44440B1Energia horáriaResidencialResidencialNão se aplicaNão se aplicaIntermediário",Mercado_Receita!$N$2:$N$545)</f>
        <v>0</v>
      </c>
      <c r="L6" s="13">
        <f>SUMIF(Mercado_Receita!$T$2:$T$545,"44470B1Energia horáriaResidencialResidencialNão se aplicaNão se aplicaIntermediário",Mercado_Receita!$N$2:$N$545)</f>
        <v>0</v>
      </c>
      <c r="M6" s="13">
        <f>SUMIF(Mercado_Receita!$T$2:$T$545,"44501B1Energia horáriaResidencialResidencialNão se aplicaNão se aplicaIntermediário",Mercado_Receita!$N$2:$N$545)</f>
        <v>0</v>
      </c>
      <c r="N6" s="13">
        <f>SUMIF(Mercado_Receita!$T$2:$T$545,"44531B1Energia horáriaResidencialResidencialNão se aplicaNão se aplicaIntermediário",Mercado_Receita!$N$2:$N$545)</f>
        <v>0</v>
      </c>
      <c r="O6" s="13">
        <f>SUMIF(Mercado_Receita!$T$2:$T$545,"44562B1Energia horáriaResidencialResidencialNão se aplicaNão se aplicaIntermediário",Mercado_Receita!$N$2:$N$545)</f>
        <v>0</v>
      </c>
      <c r="P6" s="13">
        <f>SUMIF(Mercado_Receita!$T$2:$T$545,"44593B1Energia horáriaResidencialResidencialNão se aplicaNão se aplicaIntermediário",Mercado_Receita!$N$2:$N$545)</f>
        <v>0</v>
      </c>
      <c r="Q6" s="13">
        <f>SUMIF(Mercado_Receita!$T$2:$T$545,"44621B1Energia horáriaResidencialResidencialNão se aplicaNão se aplicaIntermediário",Mercado_Receita!$N$2:$N$545)</f>
        <v>0</v>
      </c>
      <c r="R6" s="13">
        <f>SUMIF(Mercado_Receita!$T$2:$T$545,"44652B1Energia horáriaResidencialResidencialNão se aplicaNão se aplicaIntermediário",Mercado_Receita!$N$2:$N$545)</f>
        <v>0</v>
      </c>
      <c r="S6" s="13">
        <f>SUMIF(Mercado_Receita!$T$2:$T$545,"44682B1Energia horáriaResidencialResidencialNão se aplicaNão se aplicaIntermediário",Mercado_Receita!$N$2:$N$545)</f>
        <v>0</v>
      </c>
      <c r="T6" s="13">
        <f>SUMIF(Mercado_Receita!$T$2:$T$545,"44713B1Energia horáriaResidencialResidencialNão se aplicaNão se aplicaIntermediário",Mercado_Receita!$N$2:$N$545)</f>
        <v>0</v>
      </c>
      <c r="U6" s="13">
        <f t="shared" si="0"/>
        <v>0</v>
      </c>
      <c r="V6" s="13"/>
      <c r="W6" s="13"/>
    </row>
    <row r="7" spans="1:30" ht="11.25" customHeight="1" x14ac:dyDescent="0.25">
      <c r="A7" s="95"/>
      <c r="B7" s="95"/>
      <c r="C7" s="95"/>
      <c r="D7" s="95"/>
      <c r="E7" s="95"/>
      <c r="F7" s="95"/>
      <c r="G7" s="13" t="s">
        <v>75</v>
      </c>
      <c r="H7" s="13" t="s">
        <v>73</v>
      </c>
      <c r="I7" s="13">
        <f>SUMIF(Mercado_Receita!$T$2:$T$545,"44378B1Energia horáriaResidencialResidencialNão se aplicaNão se aplicaFora ponta",Mercado_Receita!$N$2:$N$545)</f>
        <v>0</v>
      </c>
      <c r="J7" s="13">
        <f>SUMIF(Mercado_Receita!$T$2:$T$545,"44409B1Energia horáriaResidencialResidencialNão se aplicaNão se aplicaFora ponta",Mercado_Receita!$N$2:$N$545)</f>
        <v>0</v>
      </c>
      <c r="K7" s="13">
        <f>SUMIF(Mercado_Receita!$T$2:$T$545,"44440B1Energia horáriaResidencialResidencialNão se aplicaNão se aplicaFora ponta",Mercado_Receita!$N$2:$N$545)</f>
        <v>0</v>
      </c>
      <c r="L7" s="13">
        <f>SUMIF(Mercado_Receita!$T$2:$T$545,"44470B1Energia horáriaResidencialResidencialNão se aplicaNão se aplicaFora ponta",Mercado_Receita!$N$2:$N$545)</f>
        <v>0</v>
      </c>
      <c r="M7" s="13">
        <f>SUMIF(Mercado_Receita!$T$2:$T$545,"44501B1Energia horáriaResidencialResidencialNão se aplicaNão se aplicaFora ponta",Mercado_Receita!$N$2:$N$545)</f>
        <v>0</v>
      </c>
      <c r="N7" s="13">
        <f>SUMIF(Mercado_Receita!$T$2:$T$545,"44531B1Energia horáriaResidencialResidencialNão se aplicaNão se aplicaFora ponta",Mercado_Receita!$N$2:$N$545)</f>
        <v>0</v>
      </c>
      <c r="O7" s="13">
        <f>SUMIF(Mercado_Receita!$T$2:$T$545,"44562B1Energia horáriaResidencialResidencialNão se aplicaNão se aplicaFora ponta",Mercado_Receita!$N$2:$N$545)</f>
        <v>0</v>
      </c>
      <c r="P7" s="13">
        <f>SUMIF(Mercado_Receita!$T$2:$T$545,"44593B1Energia horáriaResidencialResidencialNão se aplicaNão se aplicaFora ponta",Mercado_Receita!$N$2:$N$545)</f>
        <v>0</v>
      </c>
      <c r="Q7" s="13">
        <f>SUMIF(Mercado_Receita!$T$2:$T$545,"44621B1Energia horáriaResidencialResidencialNão se aplicaNão se aplicaFora ponta",Mercado_Receita!$N$2:$N$545)</f>
        <v>0</v>
      </c>
      <c r="R7" s="13">
        <f>SUMIF(Mercado_Receita!$T$2:$T$545,"44652B1Energia horáriaResidencialResidencialNão se aplicaNão se aplicaFora ponta",Mercado_Receita!$N$2:$N$545)</f>
        <v>0</v>
      </c>
      <c r="S7" s="13">
        <f>SUMIF(Mercado_Receita!$T$2:$T$545,"44682B1Energia horáriaResidencialResidencialNão se aplicaNão se aplicaFora ponta",Mercado_Receita!$N$2:$N$545)</f>
        <v>0</v>
      </c>
      <c r="T7" s="13">
        <f>SUMIF(Mercado_Receita!$T$2:$T$545,"44713B1Energia horáriaResidencialResidencialNão se aplicaNão se aplicaFora ponta",Mercado_Receita!$N$2:$N$545)</f>
        <v>0</v>
      </c>
      <c r="U7" s="13">
        <f t="shared" si="0"/>
        <v>0</v>
      </c>
      <c r="V7" s="13"/>
      <c r="W7" s="13"/>
    </row>
    <row r="8" spans="1:30" ht="11.25" customHeight="1" x14ac:dyDescent="0.25">
      <c r="A8" s="95"/>
      <c r="B8" s="94" t="s">
        <v>76</v>
      </c>
      <c r="C8" s="94" t="s">
        <v>24</v>
      </c>
      <c r="D8" s="12" t="s">
        <v>24</v>
      </c>
      <c r="E8" s="12" t="s">
        <v>25</v>
      </c>
      <c r="F8" s="12" t="s">
        <v>25</v>
      </c>
      <c r="G8" s="13" t="s">
        <v>77</v>
      </c>
      <c r="H8" s="13" t="s">
        <v>73</v>
      </c>
      <c r="I8" s="13">
        <f>SUMIF(Mercado_Receita!$T$2:$T$545,"44378B1Energia convencionalResidencialResidencialNão se aplicaNão se aplicaNão se aplica",Mercado_Receita!$N$2:$N$545)</f>
        <v>373.21599999999995</v>
      </c>
      <c r="J8" s="13">
        <f>SUMIF(Mercado_Receita!$T$2:$T$545,"44409B1Energia convencionalResidencialResidencialNão se aplicaNão se aplicaNão se aplica",Mercado_Receita!$N$2:$N$545)</f>
        <v>386.29499999999996</v>
      </c>
      <c r="K8" s="13">
        <f>SUMIF(Mercado_Receita!$T$2:$T$545,"44440B1Energia convencionalResidencialResidencialNão se aplicaNão se aplicaNão se aplica",Mercado_Receita!$N$2:$N$545)</f>
        <v>364.25400000000002</v>
      </c>
      <c r="L8" s="13">
        <f>SUMIF(Mercado_Receita!$T$2:$T$545,"44470B1Energia convencionalResidencialResidencialNão se aplicaNão se aplicaNão se aplica",Mercado_Receita!$N$2:$N$545)</f>
        <v>382.38</v>
      </c>
      <c r="M8" s="13">
        <f>SUMIF(Mercado_Receita!$T$2:$T$545,"44501B1Energia convencionalResidencialResidencialNão se aplicaNão se aplicaNão se aplica",Mercado_Receita!$N$2:$N$545)</f>
        <v>349.58600000000001</v>
      </c>
      <c r="N8" s="13">
        <f>SUMIF(Mercado_Receita!$T$2:$T$545,"44531B1Energia convencionalResidencialResidencialNão se aplicaNão se aplicaNão se aplica",Mercado_Receita!$N$2:$N$545)</f>
        <v>418.34699999999998</v>
      </c>
      <c r="O8" s="13">
        <f>SUMIF(Mercado_Receita!$T$2:$T$545,"44562B1Energia convencionalResidencialResidencialNão se aplicaNão se aplicaNão se aplica",Mercado_Receita!$N$2:$N$545)</f>
        <v>479.02300000000002</v>
      </c>
      <c r="P8" s="13">
        <f>SUMIF(Mercado_Receita!$T$2:$T$545,"44593B1Energia convencionalResidencialResidencialNão se aplicaNão se aplicaNão se aplica",Mercado_Receita!$N$2:$N$545)</f>
        <v>440.71199999999999</v>
      </c>
      <c r="Q8" s="13">
        <f>SUMIF(Mercado_Receita!$T$2:$T$545,"44621B1Energia convencionalResidencialResidencialNão se aplicaNão se aplicaNão se aplica",Mercado_Receita!$N$2:$N$545)</f>
        <v>415.55699999999996</v>
      </c>
      <c r="R8" s="13">
        <f>SUMIF(Mercado_Receita!$T$2:$T$545,"44652B1Energia convencionalResidencialResidencialNão se aplicaNão se aplicaNão se aplica",Mercado_Receita!$N$2:$N$545)</f>
        <v>404.01799999999997</v>
      </c>
      <c r="S8" s="13">
        <f>SUMIF(Mercado_Receita!$T$2:$T$545,"44682B1Energia convencionalResidencialResidencialNão se aplicaNão se aplicaNão se aplica",Mercado_Receita!$N$2:$N$545)</f>
        <v>395.58000000000004</v>
      </c>
      <c r="T8" s="13">
        <f>SUMIF(Mercado_Receita!$T$2:$T$545,"44713B1Energia convencionalResidencialResidencialNão se aplicaNão se aplicaNão se aplica",Mercado_Receita!$N$2:$N$545)</f>
        <v>394.88</v>
      </c>
      <c r="U8" s="13">
        <f t="shared" si="0"/>
        <v>4803.848</v>
      </c>
      <c r="V8" s="13"/>
      <c r="W8" s="13"/>
    </row>
    <row r="9" spans="1:30" ht="11.25" customHeight="1" x14ac:dyDescent="0.25">
      <c r="A9" s="95"/>
      <c r="B9" s="95"/>
      <c r="C9" s="95"/>
      <c r="D9" s="12" t="s">
        <v>29</v>
      </c>
      <c r="E9" s="12" t="s">
        <v>25</v>
      </c>
      <c r="F9" s="12" t="s">
        <v>25</v>
      </c>
      <c r="G9" s="13" t="s">
        <v>77</v>
      </c>
      <c r="H9" s="13" t="s">
        <v>73</v>
      </c>
      <c r="I9" s="13">
        <f>SUMIF(Mercado_Receita!$T$2:$T$545,"44378B1Energia convencionalResidencialResidencial baixa renda – faixa 01Não se aplicaNão se aplicaNão se aplica",Mercado_Receita!$N$2:$N$545)</f>
        <v>0.69</v>
      </c>
      <c r="J9" s="13">
        <f>SUMIF(Mercado_Receita!$T$2:$T$545,"44409B1Energia convencionalResidencialResidencial baixa renda – faixa 01Não se aplicaNão se aplicaNão se aplica",Mercado_Receita!$N$2:$N$545)</f>
        <v>0.69</v>
      </c>
      <c r="K9" s="13">
        <f>SUMIF(Mercado_Receita!$T$2:$T$545,"44440B1Energia convencionalResidencialResidencial baixa renda – faixa 01Não se aplicaNão se aplicaNão se aplica",Mercado_Receita!$N$2:$N$545)</f>
        <v>0.69</v>
      </c>
      <c r="L9" s="13">
        <f>SUMIF(Mercado_Receita!$T$2:$T$545,"44470B1Energia convencionalResidencialResidencial baixa renda – faixa 01Não se aplicaNão se aplicaNão se aplica",Mercado_Receita!$N$2:$N$545)</f>
        <v>0.69</v>
      </c>
      <c r="M9" s="13">
        <f>SUMIF(Mercado_Receita!$T$2:$T$545,"44501B1Energia convencionalResidencialResidencial baixa renda – faixa 01Não se aplicaNão se aplicaNão se aplica",Mercado_Receita!$N$2:$N$545)</f>
        <v>0.69</v>
      </c>
      <c r="N9" s="13">
        <f>SUMIF(Mercado_Receita!$T$2:$T$545,"44531B1Energia convencionalResidencialResidencial baixa renda – faixa 01Não se aplicaNão se aplicaNão se aplica",Mercado_Receita!$N$2:$N$545)</f>
        <v>0.69</v>
      </c>
      <c r="O9" s="13">
        <f>SUMIF(Mercado_Receita!$T$2:$T$545,"44562B1Energia convencionalResidencialResidencial baixa renda – faixa 01Não se aplicaNão se aplicaNão se aplica",Mercado_Receita!$N$2:$N$545)</f>
        <v>1.29</v>
      </c>
      <c r="P9" s="13">
        <f>SUMIF(Mercado_Receita!$T$2:$T$545,"44593B1Energia convencionalResidencialResidencial baixa renda – faixa 01Não se aplicaNão se aplicaNão se aplica",Mercado_Receita!$N$2:$N$545)</f>
        <v>4.62</v>
      </c>
      <c r="Q9" s="13">
        <f>SUMIF(Mercado_Receita!$T$2:$T$545,"44621B1Energia convencionalResidencialResidencial baixa renda – faixa 01Não se aplicaNão se aplicaNão se aplica",Mercado_Receita!$N$2:$N$545)</f>
        <v>6.45</v>
      </c>
      <c r="R9" s="13">
        <f>SUMIF(Mercado_Receita!$T$2:$T$545,"44652B1Energia convencionalResidencialResidencial baixa renda – faixa 01Não se aplicaNão se aplicaNão se aplica",Mercado_Receita!$N$2:$N$545)</f>
        <v>6.57</v>
      </c>
      <c r="S9" s="13">
        <f>SUMIF(Mercado_Receita!$T$2:$T$545,"44682B1Energia convencionalResidencialResidencial baixa renda – faixa 01Não se aplicaNão se aplicaNão se aplica",Mercado_Receita!$N$2:$N$545)</f>
        <v>2.64</v>
      </c>
      <c r="T9" s="13">
        <f>SUMIF(Mercado_Receita!$T$2:$T$545,"44713B1Energia convencionalResidencialResidencial baixa renda – faixa 01Não se aplicaNão se aplicaNão se aplica",Mercado_Receita!$N$2:$N$545)</f>
        <v>2.58</v>
      </c>
      <c r="U9" s="13">
        <f t="shared" si="0"/>
        <v>28.29</v>
      </c>
      <c r="V9" s="13"/>
      <c r="W9" s="13"/>
    </row>
    <row r="10" spans="1:30" ht="11.25" customHeight="1" x14ac:dyDescent="0.25">
      <c r="A10" s="95"/>
      <c r="B10" s="95"/>
      <c r="C10" s="95"/>
      <c r="D10" s="12" t="s">
        <v>30</v>
      </c>
      <c r="E10" s="12" t="s">
        <v>25</v>
      </c>
      <c r="F10" s="12" t="s">
        <v>25</v>
      </c>
      <c r="G10" s="13" t="s">
        <v>77</v>
      </c>
      <c r="H10" s="13" t="s">
        <v>73</v>
      </c>
      <c r="I10" s="13">
        <f>SUMIF(Mercado_Receita!$T$2:$T$545,"44378B1Energia convencionalResidencialResidencial baixa renda – faixa 02Não se aplicaNão se aplicaNão se aplica",Mercado_Receita!$N$2:$N$545)</f>
        <v>1.113</v>
      </c>
      <c r="J10" s="13">
        <f>SUMIF(Mercado_Receita!$T$2:$T$545,"44409B1Energia convencionalResidencialResidencial baixa renda – faixa 02Não se aplicaNão se aplicaNão se aplica",Mercado_Receita!$N$2:$N$545)</f>
        <v>1.236</v>
      </c>
      <c r="K10" s="13">
        <f>SUMIF(Mercado_Receita!$T$2:$T$545,"44440B1Energia convencionalResidencialResidencial baixa renda – faixa 02Não se aplicaNão se aplicaNão se aplica",Mercado_Receita!$N$2:$N$545)</f>
        <v>1.165</v>
      </c>
      <c r="L10" s="13">
        <f>SUMIF(Mercado_Receita!$T$2:$T$545,"44470B1Energia convencionalResidencialResidencial baixa renda – faixa 02Não se aplicaNão se aplicaNão se aplica",Mercado_Receita!$N$2:$N$545)</f>
        <v>1.2390000000000001</v>
      </c>
      <c r="M10" s="13">
        <f>SUMIF(Mercado_Receita!$T$2:$T$545,"44501B1Energia convencionalResidencialResidencial baixa renda – faixa 02Não se aplicaNão se aplicaNão se aplica",Mercado_Receita!$N$2:$N$545)</f>
        <v>1.137</v>
      </c>
      <c r="N10" s="13">
        <f>SUMIF(Mercado_Receita!$T$2:$T$545,"44531B1Energia convencionalResidencialResidencial baixa renda – faixa 02Não se aplicaNão se aplicaNão se aplica",Mercado_Receita!$N$2:$N$545)</f>
        <v>1.1419999999999999</v>
      </c>
      <c r="O10" s="13">
        <f>SUMIF(Mercado_Receita!$T$2:$T$545,"44562B1Energia convencionalResidencialResidencial baixa renda – faixa 02Não se aplicaNão se aplicaNão se aplica",Mercado_Receita!$N$2:$N$545)</f>
        <v>2.14</v>
      </c>
      <c r="P10" s="13">
        <f>SUMIF(Mercado_Receita!$T$2:$T$545,"44593B1Energia convencionalResidencialResidencial baixa renda – faixa 02Não se aplicaNão se aplicaNão se aplica",Mercado_Receita!$N$2:$N$545)</f>
        <v>8.7059999999999995</v>
      </c>
      <c r="Q10" s="13">
        <f>SUMIF(Mercado_Receita!$T$2:$T$545,"44621B1Energia convencionalResidencialResidencial baixa renda – faixa 02Não se aplicaNão se aplicaNão se aplica",Mercado_Receita!$N$2:$N$545)</f>
        <v>11.788</v>
      </c>
      <c r="R10" s="13">
        <f>SUMIF(Mercado_Receita!$T$2:$T$545,"44652B1Energia convencionalResidencialResidencial baixa renda – faixa 02Não se aplicaNão se aplicaNão se aplica",Mercado_Receita!$N$2:$N$545)</f>
        <v>11.923999999999999</v>
      </c>
      <c r="S10" s="13">
        <f>SUMIF(Mercado_Receita!$T$2:$T$545,"44682B1Energia convencionalResidencialResidencial baixa renda – faixa 02Não se aplicaNão se aplicaNão se aplica",Mercado_Receita!$N$2:$N$545)</f>
        <v>4.3550000000000004</v>
      </c>
      <c r="T10" s="13">
        <f>SUMIF(Mercado_Receita!$T$2:$T$545,"44713B1Energia convencionalResidencialResidencial baixa renda – faixa 02Não se aplicaNão se aplicaNão se aplica",Mercado_Receita!$N$2:$N$545)</f>
        <v>4.5709999999999997</v>
      </c>
      <c r="U10" s="13">
        <f t="shared" si="0"/>
        <v>50.516000000000005</v>
      </c>
      <c r="V10" s="13"/>
      <c r="W10" s="13"/>
    </row>
    <row r="11" spans="1:30" ht="11.25" customHeight="1" x14ac:dyDescent="0.25">
      <c r="A11" s="95"/>
      <c r="B11" s="95"/>
      <c r="C11" s="95"/>
      <c r="D11" s="12" t="s">
        <v>31</v>
      </c>
      <c r="E11" s="12" t="s">
        <v>25</v>
      </c>
      <c r="F11" s="12" t="s">
        <v>25</v>
      </c>
      <c r="G11" s="13" t="s">
        <v>77</v>
      </c>
      <c r="H11" s="13" t="s">
        <v>73</v>
      </c>
      <c r="I11" s="13">
        <f>SUMIF(Mercado_Receita!$T$2:$T$545,"44378B1Energia convencionalResidencialResidencial baixa renda – faixa 03Não se aplicaNão se aplicaNão se aplica",Mercado_Receita!$N$2:$N$545)</f>
        <v>0.63</v>
      </c>
      <c r="J11" s="13">
        <f>SUMIF(Mercado_Receita!$T$2:$T$545,"44409B1Energia convencionalResidencialResidencial baixa renda – faixa 03Não se aplicaNão se aplicaNão se aplica",Mercado_Receita!$N$2:$N$545)</f>
        <v>0.96299999999999997</v>
      </c>
      <c r="K11" s="13">
        <f>SUMIF(Mercado_Receita!$T$2:$T$545,"44440B1Energia convencionalResidencialResidencial baixa renda – faixa 03Não se aplicaNão se aplicaNão se aplica",Mercado_Receita!$N$2:$N$545)</f>
        <v>0.84799999999999998</v>
      </c>
      <c r="L11" s="13">
        <f>SUMIF(Mercado_Receita!$T$2:$T$545,"44470B1Energia convencionalResidencialResidencial baixa renda – faixa 03Não se aplicaNão se aplicaNão se aplica",Mercado_Receita!$N$2:$N$545)</f>
        <v>1.123</v>
      </c>
      <c r="M11" s="13">
        <f>SUMIF(Mercado_Receita!$T$2:$T$545,"44501B1Energia convencionalResidencialResidencial baixa renda – faixa 03Não se aplicaNão se aplicaNão se aplica",Mercado_Receita!$N$2:$N$545)</f>
        <v>0.91800000000000004</v>
      </c>
      <c r="N11" s="13">
        <f>SUMIF(Mercado_Receita!$T$2:$T$545,"44531B1Energia convencionalResidencialResidencial baixa renda – faixa 03Não se aplicaNão se aplicaNão se aplica",Mercado_Receita!$N$2:$N$545)</f>
        <v>1.099</v>
      </c>
      <c r="O11" s="13">
        <f>SUMIF(Mercado_Receita!$T$2:$T$545,"44562B1Energia convencionalResidencialResidencial baixa renda – faixa 03Não se aplicaNão se aplicaNão se aplica",Mercado_Receita!$N$2:$N$545)</f>
        <v>1.78</v>
      </c>
      <c r="P11" s="13">
        <f>SUMIF(Mercado_Receita!$T$2:$T$545,"44593B1Energia convencionalResidencialResidencial baixa renda – faixa 03Não se aplicaNão se aplicaNão se aplica",Mercado_Receita!$N$2:$N$545)</f>
        <v>6.9859999999999998</v>
      </c>
      <c r="Q11" s="13">
        <f>SUMIF(Mercado_Receita!$T$2:$T$545,"44621B1Energia convencionalResidencialResidencial baixa renda – faixa 03Não se aplicaNão se aplicaNão se aplica",Mercado_Receita!$N$2:$N$545)</f>
        <v>9.4109999999999996</v>
      </c>
      <c r="R11" s="13">
        <f>SUMIF(Mercado_Receita!$T$2:$T$545,"44652B1Energia convencionalResidencialResidencial baixa renda – faixa 03Não se aplicaNão se aplicaNão se aplica",Mercado_Receita!$N$2:$N$545)</f>
        <v>9.6950000000000003</v>
      </c>
      <c r="S11" s="13">
        <f>SUMIF(Mercado_Receita!$T$2:$T$545,"44682B1Energia convencionalResidencialResidencial baixa renda – faixa 03Não se aplicaNão se aplicaNão se aplica",Mercado_Receita!$N$2:$N$545)</f>
        <v>2.5819999999999999</v>
      </c>
      <c r="T11" s="13">
        <f>SUMIF(Mercado_Receita!$T$2:$T$545,"44713B1Energia convencionalResidencialResidencial baixa renda – faixa 03Não se aplicaNão se aplicaNão se aplica",Mercado_Receita!$N$2:$N$545)</f>
        <v>3.0760000000000001</v>
      </c>
      <c r="U11" s="13">
        <f t="shared" si="0"/>
        <v>39.111000000000004</v>
      </c>
      <c r="V11" s="13"/>
      <c r="W11" s="13"/>
    </row>
    <row r="12" spans="1:30" ht="11.25" customHeight="1" x14ac:dyDescent="0.25">
      <c r="A12" s="95"/>
      <c r="B12" s="95"/>
      <c r="C12" s="95"/>
      <c r="D12" s="12" t="s">
        <v>32</v>
      </c>
      <c r="E12" s="12" t="s">
        <v>25</v>
      </c>
      <c r="F12" s="12" t="s">
        <v>25</v>
      </c>
      <c r="G12" s="13" t="s">
        <v>77</v>
      </c>
      <c r="H12" s="13" t="s">
        <v>73</v>
      </c>
      <c r="I12" s="13">
        <f>SUMIF(Mercado_Receita!$T$2:$T$545,"44378B1Energia convencionalResidencialResidencial baixa renda – faixa 04Não se aplicaNão se aplicaNão se aplica",Mercado_Receita!$N$2:$N$545)</f>
        <v>0.153</v>
      </c>
      <c r="J12" s="13">
        <f>SUMIF(Mercado_Receita!$T$2:$T$545,"44409B1Energia convencionalResidencialResidencial baixa renda – faixa 04Não se aplicaNão se aplicaNão se aplica",Mercado_Receita!$N$2:$N$545)</f>
        <v>0.64600000000000002</v>
      </c>
      <c r="K12" s="13">
        <f>SUMIF(Mercado_Receita!$T$2:$T$545,"44440B1Energia convencionalResidencialResidencial baixa renda – faixa 04Não se aplicaNão se aplicaNão se aplica",Mercado_Receita!$N$2:$N$545)</f>
        <v>0.221</v>
      </c>
      <c r="L12" s="13">
        <f>SUMIF(Mercado_Receita!$T$2:$T$545,"44470B1Energia convencionalResidencialResidencial baixa renda – faixa 04Não se aplicaNão se aplicaNão se aplica",Mercado_Receita!$N$2:$N$545)</f>
        <v>0.38200000000000001</v>
      </c>
      <c r="M12" s="13">
        <f>SUMIF(Mercado_Receita!$T$2:$T$545,"44501B1Energia convencionalResidencialResidencial baixa renda – faixa 04Não se aplicaNão se aplicaNão se aplica",Mercado_Receita!$N$2:$N$545)</f>
        <v>0.182</v>
      </c>
      <c r="N12" s="13">
        <f>SUMIF(Mercado_Receita!$T$2:$T$545,"44531B1Energia convencionalResidencialResidencial baixa renda – faixa 04Não se aplicaNão se aplicaNão se aplica",Mercado_Receita!$N$2:$N$545)</f>
        <v>0.24399999999999999</v>
      </c>
      <c r="O12" s="13">
        <f>SUMIF(Mercado_Receita!$T$2:$T$545,"44562B1Energia convencionalResidencialResidencial baixa renda – faixa 04Não se aplicaNão se aplicaNão se aplica",Mercado_Receita!$N$2:$N$545)</f>
        <v>0.30199999999999999</v>
      </c>
      <c r="P12" s="13">
        <f>SUMIF(Mercado_Receita!$T$2:$T$545,"44593B1Energia convencionalResidencialResidencial baixa renda – faixa 04Não se aplicaNão se aplicaNão se aplica",Mercado_Receita!$N$2:$N$545)</f>
        <v>1.462</v>
      </c>
      <c r="Q12" s="13">
        <f>SUMIF(Mercado_Receita!$T$2:$T$545,"44621B1Energia convencionalResidencialResidencial baixa renda – faixa 04Não se aplicaNão se aplicaNão se aplica",Mercado_Receita!$N$2:$N$545)</f>
        <v>1.6459999999999999</v>
      </c>
      <c r="R12" s="13">
        <f>SUMIF(Mercado_Receita!$T$2:$T$545,"44652B1Energia convencionalResidencialResidencial baixa renda – faixa 04Não se aplicaNão se aplicaNão se aplica",Mercado_Receita!$N$2:$N$545)</f>
        <v>2.661</v>
      </c>
      <c r="S12" s="13">
        <f>SUMIF(Mercado_Receita!$T$2:$T$545,"44682B1Energia convencionalResidencialResidencial baixa renda – faixa 04Não se aplicaNão se aplicaNão se aplica",Mercado_Receita!$N$2:$N$545)</f>
        <v>0.85499999999999998</v>
      </c>
      <c r="T12" s="13">
        <f>SUMIF(Mercado_Receita!$T$2:$T$545,"44713B1Energia convencionalResidencialResidencial baixa renda – faixa 04Não se aplicaNão se aplicaNão se aplica",Mercado_Receita!$N$2:$N$545)</f>
        <v>1.321</v>
      </c>
      <c r="U12" s="13">
        <f t="shared" si="0"/>
        <v>10.074999999999999</v>
      </c>
      <c r="V12" s="13"/>
      <c r="W12" s="13"/>
    </row>
    <row r="13" spans="1:30" ht="11.25" customHeight="1" x14ac:dyDescent="0.25">
      <c r="A13" s="95"/>
      <c r="B13" s="94" t="s">
        <v>87</v>
      </c>
      <c r="C13" s="94" t="s">
        <v>24</v>
      </c>
      <c r="D13" s="12" t="s">
        <v>24</v>
      </c>
      <c r="E13" s="12" t="s">
        <v>25</v>
      </c>
      <c r="F13" s="12" t="s">
        <v>25</v>
      </c>
      <c r="G13" s="13" t="s">
        <v>77</v>
      </c>
      <c r="H13" s="13" t="s">
        <v>73</v>
      </c>
      <c r="I13" s="13">
        <f>SUMIF(Mercado_Receita!$T$2:$T$545,"44378B1Energia convencional pré-pagamentoResidencialResidencialNão se aplicaNão se aplicaNão se aplica",Mercado_Receita!$N$2:$N$545)</f>
        <v>0</v>
      </c>
      <c r="J13" s="13">
        <f>SUMIF(Mercado_Receita!$T$2:$T$545,"44409B1Energia convencional pré-pagamentoResidencialResidencialNão se aplicaNão se aplicaNão se aplica",Mercado_Receita!$N$2:$N$545)</f>
        <v>0</v>
      </c>
      <c r="K13" s="13">
        <f>SUMIF(Mercado_Receita!$T$2:$T$545,"44440B1Energia convencional pré-pagamentoResidencialResidencialNão se aplicaNão se aplicaNão se aplica",Mercado_Receita!$N$2:$N$545)</f>
        <v>0</v>
      </c>
      <c r="L13" s="13">
        <f>SUMIF(Mercado_Receita!$T$2:$T$545,"44470B1Energia convencional pré-pagamentoResidencialResidencialNão se aplicaNão se aplicaNão se aplica",Mercado_Receita!$N$2:$N$545)</f>
        <v>0</v>
      </c>
      <c r="M13" s="13">
        <f>SUMIF(Mercado_Receita!$T$2:$T$545,"44501B1Energia convencional pré-pagamentoResidencialResidencialNão se aplicaNão se aplicaNão se aplica",Mercado_Receita!$N$2:$N$545)</f>
        <v>0</v>
      </c>
      <c r="N13" s="13">
        <f>SUMIF(Mercado_Receita!$T$2:$T$545,"44531B1Energia convencional pré-pagamentoResidencialResidencialNão se aplicaNão se aplicaNão se aplica",Mercado_Receita!$N$2:$N$545)</f>
        <v>0</v>
      </c>
      <c r="O13" s="13">
        <f>SUMIF(Mercado_Receita!$T$2:$T$545,"44562B1Energia convencional pré-pagamentoResidencialResidencialNão se aplicaNão se aplicaNão se aplica",Mercado_Receita!$N$2:$N$545)</f>
        <v>0</v>
      </c>
      <c r="P13" s="13">
        <f>SUMIF(Mercado_Receita!$T$2:$T$545,"44593B1Energia convencional pré-pagamentoResidencialResidencialNão se aplicaNão se aplicaNão se aplica",Mercado_Receita!$N$2:$N$545)</f>
        <v>0</v>
      </c>
      <c r="Q13" s="13">
        <f>SUMIF(Mercado_Receita!$T$2:$T$545,"44621B1Energia convencional pré-pagamentoResidencialResidencialNão se aplicaNão se aplicaNão se aplica",Mercado_Receita!$N$2:$N$545)</f>
        <v>0</v>
      </c>
      <c r="R13" s="13">
        <f>SUMIF(Mercado_Receita!$T$2:$T$545,"44652B1Energia convencional pré-pagamentoResidencialResidencialNão se aplicaNão se aplicaNão se aplica",Mercado_Receita!$N$2:$N$545)</f>
        <v>0</v>
      </c>
      <c r="S13" s="13">
        <f>SUMIF(Mercado_Receita!$T$2:$T$545,"44682B1Energia convencional pré-pagamentoResidencialResidencialNão se aplicaNão se aplicaNão se aplica",Mercado_Receita!$N$2:$N$545)</f>
        <v>0</v>
      </c>
      <c r="T13" s="13">
        <f>SUMIF(Mercado_Receita!$T$2:$T$545,"44713B1Energia convencional pré-pagamentoResidencialResidencialNão se aplicaNão se aplicaNão se aplica",Mercado_Receita!$N$2:$N$545)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95"/>
      <c r="B14" s="95"/>
      <c r="C14" s="95"/>
      <c r="D14" s="12" t="s">
        <v>29</v>
      </c>
      <c r="E14" s="12" t="s">
        <v>25</v>
      </c>
      <c r="F14" s="12" t="s">
        <v>25</v>
      </c>
      <c r="G14" s="13" t="s">
        <v>77</v>
      </c>
      <c r="H14" s="13" t="s">
        <v>73</v>
      </c>
      <c r="I14" s="13">
        <f>SUMIF(Mercado_Receita!$T$2:$T$545,"44378B1Energia convencional pré-pagamentoResidencialResidencial baixa renda – faixa 01Não se aplicaNão se aplicaNão se aplica",Mercado_Receita!$N$2:$N$545)</f>
        <v>0</v>
      </c>
      <c r="J14" s="13">
        <f>SUMIF(Mercado_Receita!$T$2:$T$545,"44409B1Energia convencional pré-pagamentoResidencialResidencial baixa renda – faixa 01Não se aplicaNão se aplicaNão se aplica",Mercado_Receita!$N$2:$N$545)</f>
        <v>0</v>
      </c>
      <c r="K14" s="13">
        <f>SUMIF(Mercado_Receita!$T$2:$T$545,"44440B1Energia convencional pré-pagamentoResidencialResidencial baixa renda – faixa 01Não se aplicaNão se aplicaNão se aplica",Mercado_Receita!$N$2:$N$545)</f>
        <v>0</v>
      </c>
      <c r="L14" s="13">
        <f>SUMIF(Mercado_Receita!$T$2:$T$545,"44470B1Energia convencional pré-pagamentoResidencialResidencial baixa renda – faixa 01Não se aplicaNão se aplicaNão se aplica",Mercado_Receita!$N$2:$N$545)</f>
        <v>0</v>
      </c>
      <c r="M14" s="13">
        <f>SUMIF(Mercado_Receita!$T$2:$T$545,"44501B1Energia convencional pré-pagamentoResidencialResidencial baixa renda – faixa 01Não se aplicaNão se aplicaNão se aplica",Mercado_Receita!$N$2:$N$545)</f>
        <v>0</v>
      </c>
      <c r="N14" s="13">
        <f>SUMIF(Mercado_Receita!$T$2:$T$545,"44531B1Energia convencional pré-pagamentoResidencialResidencial baixa renda – faixa 01Não se aplicaNão se aplicaNão se aplica",Mercado_Receita!$N$2:$N$545)</f>
        <v>0</v>
      </c>
      <c r="O14" s="13">
        <f>SUMIF(Mercado_Receita!$T$2:$T$545,"44562B1Energia convencional pré-pagamentoResidencialResidencial baixa renda – faixa 01Não se aplicaNão se aplicaNão se aplica",Mercado_Receita!$N$2:$N$545)</f>
        <v>0</v>
      </c>
      <c r="P14" s="13">
        <f>SUMIF(Mercado_Receita!$T$2:$T$545,"44593B1Energia convencional pré-pagamentoResidencialResidencial baixa renda – faixa 01Não se aplicaNão se aplicaNão se aplica",Mercado_Receita!$N$2:$N$545)</f>
        <v>0</v>
      </c>
      <c r="Q14" s="13">
        <f>SUMIF(Mercado_Receita!$T$2:$T$545,"44621B1Energia convencional pré-pagamentoResidencialResidencial baixa renda – faixa 01Não se aplicaNão se aplicaNão se aplica",Mercado_Receita!$N$2:$N$545)</f>
        <v>0</v>
      </c>
      <c r="R14" s="13">
        <f>SUMIF(Mercado_Receita!$T$2:$T$545,"44652B1Energia convencional pré-pagamentoResidencialResidencial baixa renda – faixa 01Não se aplicaNão se aplicaNão se aplica",Mercado_Receita!$N$2:$N$545)</f>
        <v>0</v>
      </c>
      <c r="S14" s="13">
        <f>SUMIF(Mercado_Receita!$T$2:$T$545,"44682B1Energia convencional pré-pagamentoResidencialResidencial baixa renda – faixa 01Não se aplicaNão se aplicaNão se aplica",Mercado_Receita!$N$2:$N$545)</f>
        <v>0</v>
      </c>
      <c r="T14" s="13">
        <f>SUMIF(Mercado_Receita!$T$2:$T$545,"44713B1Energia convencional pré-pagamentoResidencialResidencial baixa renda – faixa 01Não se aplicaNão se aplicaNão se aplica",Mercado_Receita!$N$2:$N$545)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95"/>
      <c r="B15" s="95"/>
      <c r="C15" s="95"/>
      <c r="D15" s="12" t="s">
        <v>30</v>
      </c>
      <c r="E15" s="12" t="s">
        <v>25</v>
      </c>
      <c r="F15" s="12" t="s">
        <v>25</v>
      </c>
      <c r="G15" s="13" t="s">
        <v>77</v>
      </c>
      <c r="H15" s="13" t="s">
        <v>73</v>
      </c>
      <c r="I15" s="13">
        <f>SUMIF(Mercado_Receita!$T$2:$T$545,"44378B1Energia convencional pré-pagamentoResidencialResidencial baixa renda – faixa 02Não se aplicaNão se aplicaNão se aplica",Mercado_Receita!$N$2:$N$545)</f>
        <v>0</v>
      </c>
      <c r="J15" s="13">
        <f>SUMIF(Mercado_Receita!$T$2:$T$545,"44409B1Energia convencional pré-pagamentoResidencialResidencial baixa renda – faixa 02Não se aplicaNão se aplicaNão se aplica",Mercado_Receita!$N$2:$N$545)</f>
        <v>0</v>
      </c>
      <c r="K15" s="13">
        <f>SUMIF(Mercado_Receita!$T$2:$T$545,"44440B1Energia convencional pré-pagamentoResidencialResidencial baixa renda – faixa 02Não se aplicaNão se aplicaNão se aplica",Mercado_Receita!$N$2:$N$545)</f>
        <v>0</v>
      </c>
      <c r="L15" s="13">
        <f>SUMIF(Mercado_Receita!$T$2:$T$545,"44470B1Energia convencional pré-pagamentoResidencialResidencial baixa renda – faixa 02Não se aplicaNão se aplicaNão se aplica",Mercado_Receita!$N$2:$N$545)</f>
        <v>0</v>
      </c>
      <c r="M15" s="13">
        <f>SUMIF(Mercado_Receita!$T$2:$T$545,"44501B1Energia convencional pré-pagamentoResidencialResidencial baixa renda – faixa 02Não se aplicaNão se aplicaNão se aplica",Mercado_Receita!$N$2:$N$545)</f>
        <v>0</v>
      </c>
      <c r="N15" s="13">
        <f>SUMIF(Mercado_Receita!$T$2:$T$545,"44531B1Energia convencional pré-pagamentoResidencialResidencial baixa renda – faixa 02Não se aplicaNão se aplicaNão se aplica",Mercado_Receita!$N$2:$N$545)</f>
        <v>0</v>
      </c>
      <c r="O15" s="13">
        <f>SUMIF(Mercado_Receita!$T$2:$T$545,"44562B1Energia convencional pré-pagamentoResidencialResidencial baixa renda – faixa 02Não se aplicaNão se aplicaNão se aplica",Mercado_Receita!$N$2:$N$545)</f>
        <v>0</v>
      </c>
      <c r="P15" s="13">
        <f>SUMIF(Mercado_Receita!$T$2:$T$545,"44593B1Energia convencional pré-pagamentoResidencialResidencial baixa renda – faixa 02Não se aplicaNão se aplicaNão se aplica",Mercado_Receita!$N$2:$N$545)</f>
        <v>0</v>
      </c>
      <c r="Q15" s="13">
        <f>SUMIF(Mercado_Receita!$T$2:$T$545,"44621B1Energia convencional pré-pagamentoResidencialResidencial baixa renda – faixa 02Não se aplicaNão se aplicaNão se aplica",Mercado_Receita!$N$2:$N$545)</f>
        <v>0</v>
      </c>
      <c r="R15" s="13">
        <f>SUMIF(Mercado_Receita!$T$2:$T$545,"44652B1Energia convencional pré-pagamentoResidencialResidencial baixa renda – faixa 02Não se aplicaNão se aplicaNão se aplica",Mercado_Receita!$N$2:$N$545)</f>
        <v>0</v>
      </c>
      <c r="S15" s="13">
        <f>SUMIF(Mercado_Receita!$T$2:$T$545,"44682B1Energia convencional pré-pagamentoResidencialResidencial baixa renda – faixa 02Não se aplicaNão se aplicaNão se aplica",Mercado_Receita!$N$2:$N$545)</f>
        <v>0</v>
      </c>
      <c r="T15" s="13">
        <f>SUMIF(Mercado_Receita!$T$2:$T$545,"44713B1Energia convencional pré-pagamentoResidencialResidencial baixa renda – faixa 02Não se aplicaNão se aplicaNão se aplica",Mercado_Receita!$N$2:$N$545)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95"/>
      <c r="B16" s="95"/>
      <c r="C16" s="95"/>
      <c r="D16" s="12" t="s">
        <v>31</v>
      </c>
      <c r="E16" s="12" t="s">
        <v>25</v>
      </c>
      <c r="F16" s="12" t="s">
        <v>25</v>
      </c>
      <c r="G16" s="13" t="s">
        <v>77</v>
      </c>
      <c r="H16" s="13" t="s">
        <v>73</v>
      </c>
      <c r="I16" s="13">
        <f>SUMIF(Mercado_Receita!$T$2:$T$545,"44378B1Energia convencional pré-pagamentoResidencialResidencial baixa renda – faixa 03Não se aplicaNão se aplicaNão se aplica",Mercado_Receita!$N$2:$N$545)</f>
        <v>0</v>
      </c>
      <c r="J16" s="13">
        <f>SUMIF(Mercado_Receita!$T$2:$T$545,"44409B1Energia convencional pré-pagamentoResidencialResidencial baixa renda – faixa 03Não se aplicaNão se aplicaNão se aplica",Mercado_Receita!$N$2:$N$545)</f>
        <v>0</v>
      </c>
      <c r="K16" s="13">
        <f>SUMIF(Mercado_Receita!$T$2:$T$545,"44440B1Energia convencional pré-pagamentoResidencialResidencial baixa renda – faixa 03Não se aplicaNão se aplicaNão se aplica",Mercado_Receita!$N$2:$N$545)</f>
        <v>0</v>
      </c>
      <c r="L16" s="13">
        <f>SUMIF(Mercado_Receita!$T$2:$T$545,"44470B1Energia convencional pré-pagamentoResidencialResidencial baixa renda – faixa 03Não se aplicaNão se aplicaNão se aplica",Mercado_Receita!$N$2:$N$545)</f>
        <v>0</v>
      </c>
      <c r="M16" s="13">
        <f>SUMIF(Mercado_Receita!$T$2:$T$545,"44501B1Energia convencional pré-pagamentoResidencialResidencial baixa renda – faixa 03Não se aplicaNão se aplicaNão se aplica",Mercado_Receita!$N$2:$N$545)</f>
        <v>0</v>
      </c>
      <c r="N16" s="13">
        <f>SUMIF(Mercado_Receita!$T$2:$T$545,"44531B1Energia convencional pré-pagamentoResidencialResidencial baixa renda – faixa 03Não se aplicaNão se aplicaNão se aplica",Mercado_Receita!$N$2:$N$545)</f>
        <v>0</v>
      </c>
      <c r="O16" s="13">
        <f>SUMIF(Mercado_Receita!$T$2:$T$545,"44562B1Energia convencional pré-pagamentoResidencialResidencial baixa renda – faixa 03Não se aplicaNão se aplicaNão se aplica",Mercado_Receita!$N$2:$N$545)</f>
        <v>0</v>
      </c>
      <c r="P16" s="13">
        <f>SUMIF(Mercado_Receita!$T$2:$T$545,"44593B1Energia convencional pré-pagamentoResidencialResidencial baixa renda – faixa 03Não se aplicaNão se aplicaNão se aplica",Mercado_Receita!$N$2:$N$545)</f>
        <v>0</v>
      </c>
      <c r="Q16" s="13">
        <f>SUMIF(Mercado_Receita!$T$2:$T$545,"44621B1Energia convencional pré-pagamentoResidencialResidencial baixa renda – faixa 03Não se aplicaNão se aplicaNão se aplica",Mercado_Receita!$N$2:$N$545)</f>
        <v>0</v>
      </c>
      <c r="R16" s="13">
        <f>SUMIF(Mercado_Receita!$T$2:$T$545,"44652B1Energia convencional pré-pagamentoResidencialResidencial baixa renda – faixa 03Não se aplicaNão se aplicaNão se aplica",Mercado_Receita!$N$2:$N$545)</f>
        <v>0</v>
      </c>
      <c r="S16" s="13">
        <f>SUMIF(Mercado_Receita!$T$2:$T$545,"44682B1Energia convencional pré-pagamentoResidencialResidencial baixa renda – faixa 03Não se aplicaNão se aplicaNão se aplica",Mercado_Receita!$N$2:$N$545)</f>
        <v>0</v>
      </c>
      <c r="T16" s="13">
        <f>SUMIF(Mercado_Receita!$T$2:$T$545,"44713B1Energia convencional pré-pagamentoResidencialResidencial baixa renda – faixa 03Não se aplicaNão se aplicaNão se aplica",Mercado_Receita!$N$2:$N$545)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95"/>
      <c r="B17" s="95"/>
      <c r="C17" s="95"/>
      <c r="D17" s="12" t="s">
        <v>32</v>
      </c>
      <c r="E17" s="12" t="s">
        <v>25</v>
      </c>
      <c r="F17" s="12" t="s">
        <v>25</v>
      </c>
      <c r="G17" s="13" t="s">
        <v>77</v>
      </c>
      <c r="H17" s="13" t="s">
        <v>73</v>
      </c>
      <c r="I17" s="13">
        <f>SUMIF(Mercado_Receita!$T$2:$T$545,"44378B1Energia convencional pré-pagamentoResidencialResidencial baixa renda – faixa 04Não se aplicaNão se aplicaNão se aplica",Mercado_Receita!$N$2:$N$545)</f>
        <v>0</v>
      </c>
      <c r="J17" s="13">
        <f>SUMIF(Mercado_Receita!$T$2:$T$545,"44409B1Energia convencional pré-pagamentoResidencialResidencial baixa renda – faixa 04Não se aplicaNão se aplicaNão se aplica",Mercado_Receita!$N$2:$N$545)</f>
        <v>0</v>
      </c>
      <c r="K17" s="13">
        <f>SUMIF(Mercado_Receita!$T$2:$T$545,"44440B1Energia convencional pré-pagamentoResidencialResidencial baixa renda – faixa 04Não se aplicaNão se aplicaNão se aplica",Mercado_Receita!$N$2:$N$545)</f>
        <v>0</v>
      </c>
      <c r="L17" s="13">
        <f>SUMIF(Mercado_Receita!$T$2:$T$545,"44470B1Energia convencional pré-pagamentoResidencialResidencial baixa renda – faixa 04Não se aplicaNão se aplicaNão se aplica",Mercado_Receita!$N$2:$N$545)</f>
        <v>0</v>
      </c>
      <c r="M17" s="13">
        <f>SUMIF(Mercado_Receita!$T$2:$T$545,"44501B1Energia convencional pré-pagamentoResidencialResidencial baixa renda – faixa 04Não se aplicaNão se aplicaNão se aplica",Mercado_Receita!$N$2:$N$545)</f>
        <v>0</v>
      </c>
      <c r="N17" s="13">
        <f>SUMIF(Mercado_Receita!$T$2:$T$545,"44531B1Energia convencional pré-pagamentoResidencialResidencial baixa renda – faixa 04Não se aplicaNão se aplicaNão se aplica",Mercado_Receita!$N$2:$N$545)</f>
        <v>0</v>
      </c>
      <c r="O17" s="13">
        <f>SUMIF(Mercado_Receita!$T$2:$T$545,"44562B1Energia convencional pré-pagamentoResidencialResidencial baixa renda – faixa 04Não se aplicaNão se aplicaNão se aplica",Mercado_Receita!$N$2:$N$545)</f>
        <v>0</v>
      </c>
      <c r="P17" s="13">
        <f>SUMIF(Mercado_Receita!$T$2:$T$545,"44593B1Energia convencional pré-pagamentoResidencialResidencial baixa renda – faixa 04Não se aplicaNão se aplicaNão se aplica",Mercado_Receita!$N$2:$N$545)</f>
        <v>0</v>
      </c>
      <c r="Q17" s="13">
        <f>SUMIF(Mercado_Receita!$T$2:$T$545,"44621B1Energia convencional pré-pagamentoResidencialResidencial baixa renda – faixa 04Não se aplicaNão se aplicaNão se aplica",Mercado_Receita!$N$2:$N$545)</f>
        <v>0</v>
      </c>
      <c r="R17" s="13">
        <f>SUMIF(Mercado_Receita!$T$2:$T$545,"44652B1Energia convencional pré-pagamentoResidencialResidencial baixa renda – faixa 04Não se aplicaNão se aplicaNão se aplica",Mercado_Receita!$N$2:$N$545)</f>
        <v>0</v>
      </c>
      <c r="S17" s="13">
        <f>SUMIF(Mercado_Receita!$T$2:$T$545,"44682B1Energia convencional pré-pagamentoResidencialResidencial baixa renda – faixa 04Não se aplicaNão se aplicaNão se aplica",Mercado_Receita!$N$2:$N$545)</f>
        <v>0</v>
      </c>
      <c r="T17" s="13">
        <f>SUMIF(Mercado_Receita!$T$2:$T$545,"44713B1Energia convencional pré-pagamentoResidencialResidencial baixa renda – faixa 04Não se aplicaNão se aplicaNão se aplica",Mercado_Receita!$N$2:$N$545)</f>
        <v>0</v>
      </c>
      <c r="U17" s="13">
        <f t="shared" si="0"/>
        <v>0</v>
      </c>
      <c r="V17" s="13"/>
      <c r="W17" s="13"/>
    </row>
    <row r="18" spans="1:23" ht="11.25" customHeight="1" x14ac:dyDescent="0.25">
      <c r="A18" s="94" t="s">
        <v>41</v>
      </c>
      <c r="B18" s="94" t="s">
        <v>72</v>
      </c>
      <c r="C18" s="94" t="s">
        <v>42</v>
      </c>
      <c r="D18" s="94" t="s">
        <v>25</v>
      </c>
      <c r="E18" s="94" t="s">
        <v>25</v>
      </c>
      <c r="F18" s="94" t="s">
        <v>25</v>
      </c>
      <c r="G18" s="13" t="s">
        <v>74</v>
      </c>
      <c r="H18" s="13" t="s">
        <v>73</v>
      </c>
      <c r="I18" s="13">
        <f>SUMIF(Mercado_Receita!$T$2:$T$545,"44378B2Energia horáriaRuralNão se aplicaNão se aplicaNão se aplicaPonta",Mercado_Receita!$N$2:$N$545)</f>
        <v>0</v>
      </c>
      <c r="J18" s="13">
        <f>SUMIF(Mercado_Receita!$T$2:$T$545,"44409B2Energia horáriaRuralNão se aplicaNão se aplicaNão se aplicaPonta",Mercado_Receita!$N$2:$N$545)</f>
        <v>0</v>
      </c>
      <c r="K18" s="13">
        <f>SUMIF(Mercado_Receita!$T$2:$T$545,"44440B2Energia horáriaRuralNão se aplicaNão se aplicaNão se aplicaPonta",Mercado_Receita!$N$2:$N$545)</f>
        <v>0</v>
      </c>
      <c r="L18" s="13">
        <f>SUMIF(Mercado_Receita!$T$2:$T$545,"44470B2Energia horáriaRuralNão se aplicaNão se aplicaNão se aplicaPonta",Mercado_Receita!$N$2:$N$545)</f>
        <v>0</v>
      </c>
      <c r="M18" s="13">
        <f>SUMIF(Mercado_Receita!$T$2:$T$545,"44501B2Energia horáriaRuralNão se aplicaNão se aplicaNão se aplicaPonta",Mercado_Receita!$N$2:$N$545)</f>
        <v>0</v>
      </c>
      <c r="N18" s="13">
        <f>SUMIF(Mercado_Receita!$T$2:$T$545,"44531B2Energia horáriaRuralNão se aplicaNão se aplicaNão se aplicaPonta",Mercado_Receita!$N$2:$N$545)</f>
        <v>0</v>
      </c>
      <c r="O18" s="13">
        <f>SUMIF(Mercado_Receita!$T$2:$T$545,"44562B2Energia horáriaRuralNão se aplicaNão se aplicaNão se aplicaPonta",Mercado_Receita!$N$2:$N$545)</f>
        <v>0</v>
      </c>
      <c r="P18" s="13">
        <f>SUMIF(Mercado_Receita!$T$2:$T$545,"44593B2Energia horáriaRuralNão se aplicaNão se aplicaNão se aplicaPonta",Mercado_Receita!$N$2:$N$545)</f>
        <v>0</v>
      </c>
      <c r="Q18" s="13">
        <f>SUMIF(Mercado_Receita!$T$2:$T$545,"44621B2Energia horáriaRuralNão se aplicaNão se aplicaNão se aplicaPonta",Mercado_Receita!$N$2:$N$545)</f>
        <v>0</v>
      </c>
      <c r="R18" s="13">
        <f>SUMIF(Mercado_Receita!$T$2:$T$545,"44652B2Energia horáriaRuralNão se aplicaNão se aplicaNão se aplicaPonta",Mercado_Receita!$N$2:$N$545)</f>
        <v>0</v>
      </c>
      <c r="S18" s="13">
        <f>SUMIF(Mercado_Receita!$T$2:$T$545,"44682B2Energia horáriaRuralNão se aplicaNão se aplicaNão se aplicaPonta",Mercado_Receita!$N$2:$N$545)</f>
        <v>0</v>
      </c>
      <c r="T18" s="13">
        <f>SUMIF(Mercado_Receita!$T$2:$T$545,"44713B2Energia horáriaRuralNão se aplicaNão se aplicaNão se aplicaPonta",Mercado_Receita!$N$2:$N$545)</f>
        <v>0</v>
      </c>
      <c r="U18" s="13">
        <f t="shared" si="0"/>
        <v>0</v>
      </c>
      <c r="V18" s="13"/>
      <c r="W18" s="13"/>
    </row>
    <row r="19" spans="1:23" ht="11.25" customHeight="1" x14ac:dyDescent="0.25">
      <c r="A19" s="95"/>
      <c r="B19" s="95"/>
      <c r="C19" s="95"/>
      <c r="D19" s="95"/>
      <c r="E19" s="95"/>
      <c r="F19" s="95"/>
      <c r="G19" s="13" t="s">
        <v>85</v>
      </c>
      <c r="H19" s="13" t="s">
        <v>73</v>
      </c>
      <c r="I19" s="13">
        <f>SUMIF(Mercado_Receita!$T$2:$T$545,"44378B2Energia horáriaRuralNão se aplicaNão se aplicaNão se aplicaIntermediário",Mercado_Receita!$N$2:$N$545)</f>
        <v>0</v>
      </c>
      <c r="J19" s="13">
        <f>SUMIF(Mercado_Receita!$T$2:$T$545,"44409B2Energia horáriaRuralNão se aplicaNão se aplicaNão se aplicaIntermediário",Mercado_Receita!$N$2:$N$545)</f>
        <v>0</v>
      </c>
      <c r="K19" s="13">
        <f>SUMIF(Mercado_Receita!$T$2:$T$545,"44440B2Energia horáriaRuralNão se aplicaNão se aplicaNão se aplicaIntermediário",Mercado_Receita!$N$2:$N$545)</f>
        <v>0</v>
      </c>
      <c r="L19" s="13">
        <f>SUMIF(Mercado_Receita!$T$2:$T$545,"44470B2Energia horáriaRuralNão se aplicaNão se aplicaNão se aplicaIntermediário",Mercado_Receita!$N$2:$N$545)</f>
        <v>0</v>
      </c>
      <c r="M19" s="13">
        <f>SUMIF(Mercado_Receita!$T$2:$T$545,"44501B2Energia horáriaRuralNão se aplicaNão se aplicaNão se aplicaIntermediário",Mercado_Receita!$N$2:$N$545)</f>
        <v>0</v>
      </c>
      <c r="N19" s="13">
        <f>SUMIF(Mercado_Receita!$T$2:$T$545,"44531B2Energia horáriaRuralNão se aplicaNão se aplicaNão se aplicaIntermediário",Mercado_Receita!$N$2:$N$545)</f>
        <v>0</v>
      </c>
      <c r="O19" s="13">
        <f>SUMIF(Mercado_Receita!$T$2:$T$545,"44562B2Energia horáriaRuralNão se aplicaNão se aplicaNão se aplicaIntermediário",Mercado_Receita!$N$2:$N$545)</f>
        <v>0</v>
      </c>
      <c r="P19" s="13">
        <f>SUMIF(Mercado_Receita!$T$2:$T$545,"44593B2Energia horáriaRuralNão se aplicaNão se aplicaNão se aplicaIntermediário",Mercado_Receita!$N$2:$N$545)</f>
        <v>0</v>
      </c>
      <c r="Q19" s="13">
        <f>SUMIF(Mercado_Receita!$T$2:$T$545,"44621B2Energia horáriaRuralNão se aplicaNão se aplicaNão se aplicaIntermediário",Mercado_Receita!$N$2:$N$545)</f>
        <v>0</v>
      </c>
      <c r="R19" s="13">
        <f>SUMIF(Mercado_Receita!$T$2:$T$545,"44652B2Energia horáriaRuralNão se aplicaNão se aplicaNão se aplicaIntermediário",Mercado_Receita!$N$2:$N$545)</f>
        <v>0</v>
      </c>
      <c r="S19" s="13">
        <f>SUMIF(Mercado_Receita!$T$2:$T$545,"44682B2Energia horáriaRuralNão se aplicaNão se aplicaNão se aplicaIntermediário",Mercado_Receita!$N$2:$N$545)</f>
        <v>0</v>
      </c>
      <c r="T19" s="13">
        <f>SUMIF(Mercado_Receita!$T$2:$T$545,"44713B2Energia horáriaRuralNão se aplicaNão se aplicaNão se aplicaIntermediário",Mercado_Receita!$N$2:$N$545)</f>
        <v>0</v>
      </c>
      <c r="U19" s="13">
        <f t="shared" si="0"/>
        <v>0</v>
      </c>
      <c r="V19" s="13"/>
      <c r="W19" s="13"/>
    </row>
    <row r="20" spans="1:23" ht="11.25" customHeight="1" x14ac:dyDescent="0.25">
      <c r="A20" s="95"/>
      <c r="B20" s="95"/>
      <c r="C20" s="95"/>
      <c r="D20" s="95"/>
      <c r="E20" s="95"/>
      <c r="F20" s="95"/>
      <c r="G20" s="13" t="s">
        <v>75</v>
      </c>
      <c r="H20" s="13" t="s">
        <v>73</v>
      </c>
      <c r="I20" s="13">
        <f>SUMIF(Mercado_Receita!$T$2:$T$545,"44378B2Energia horáriaRuralNão se aplicaNão se aplicaNão se aplicaFora ponta",Mercado_Receita!$N$2:$N$545)</f>
        <v>0</v>
      </c>
      <c r="J20" s="13">
        <f>SUMIF(Mercado_Receita!$T$2:$T$545,"44409B2Energia horáriaRuralNão se aplicaNão se aplicaNão se aplicaFora ponta",Mercado_Receita!$N$2:$N$545)</f>
        <v>0</v>
      </c>
      <c r="K20" s="13">
        <f>SUMIF(Mercado_Receita!$T$2:$T$545,"44440B2Energia horáriaRuralNão se aplicaNão se aplicaNão se aplicaFora ponta",Mercado_Receita!$N$2:$N$545)</f>
        <v>0</v>
      </c>
      <c r="L20" s="13">
        <f>SUMIF(Mercado_Receita!$T$2:$T$545,"44470B2Energia horáriaRuralNão se aplicaNão se aplicaNão se aplicaFora ponta",Mercado_Receita!$N$2:$N$545)</f>
        <v>0</v>
      </c>
      <c r="M20" s="13">
        <f>SUMIF(Mercado_Receita!$T$2:$T$545,"44501B2Energia horáriaRuralNão se aplicaNão se aplicaNão se aplicaFora ponta",Mercado_Receita!$N$2:$N$545)</f>
        <v>0</v>
      </c>
      <c r="N20" s="13">
        <f>SUMIF(Mercado_Receita!$T$2:$T$545,"44531B2Energia horáriaRuralNão se aplicaNão se aplicaNão se aplicaFora ponta",Mercado_Receita!$N$2:$N$545)</f>
        <v>0</v>
      </c>
      <c r="O20" s="13">
        <f>SUMIF(Mercado_Receita!$T$2:$T$545,"44562B2Energia horáriaRuralNão se aplicaNão se aplicaNão se aplicaFora ponta",Mercado_Receita!$N$2:$N$545)</f>
        <v>0</v>
      </c>
      <c r="P20" s="13">
        <f>SUMIF(Mercado_Receita!$T$2:$T$545,"44593B2Energia horáriaRuralNão se aplicaNão se aplicaNão se aplicaFora ponta",Mercado_Receita!$N$2:$N$545)</f>
        <v>0</v>
      </c>
      <c r="Q20" s="13">
        <f>SUMIF(Mercado_Receita!$T$2:$T$545,"44621B2Energia horáriaRuralNão se aplicaNão se aplicaNão se aplicaFora ponta",Mercado_Receita!$N$2:$N$545)</f>
        <v>0</v>
      </c>
      <c r="R20" s="13">
        <f>SUMIF(Mercado_Receita!$T$2:$T$545,"44652B2Energia horáriaRuralNão se aplicaNão se aplicaNão se aplicaFora ponta",Mercado_Receita!$N$2:$N$545)</f>
        <v>0</v>
      </c>
      <c r="S20" s="13">
        <f>SUMIF(Mercado_Receita!$T$2:$T$545,"44682B2Energia horáriaRuralNão se aplicaNão se aplicaNão se aplicaFora ponta",Mercado_Receita!$N$2:$N$545)</f>
        <v>0</v>
      </c>
      <c r="T20" s="13">
        <f>SUMIF(Mercado_Receita!$T$2:$T$545,"44713B2Energia horáriaRuralNão se aplicaNão se aplicaNão se aplicaFora ponta",Mercado_Receita!$N$2:$N$545)</f>
        <v>0</v>
      </c>
      <c r="U20" s="13">
        <f t="shared" si="0"/>
        <v>0</v>
      </c>
      <c r="V20" s="13"/>
      <c r="W20" s="13"/>
    </row>
    <row r="21" spans="1:23" ht="11.25" customHeight="1" x14ac:dyDescent="0.25">
      <c r="A21" s="95"/>
      <c r="B21" s="12" t="s">
        <v>76</v>
      </c>
      <c r="C21" s="12" t="s">
        <v>42</v>
      </c>
      <c r="D21" s="12" t="s">
        <v>25</v>
      </c>
      <c r="E21" s="12" t="s">
        <v>25</v>
      </c>
      <c r="F21" s="12" t="s">
        <v>25</v>
      </c>
      <c r="G21" s="13" t="s">
        <v>77</v>
      </c>
      <c r="H21" s="13" t="s">
        <v>73</v>
      </c>
      <c r="I21" s="13">
        <f>SUMIF(Mercado_Receita!$T$2:$T$545,"44378B2Energia convencionalRuralNão se aplicaNão se aplicaNão se aplicaNão se aplica",Mercado_Receita!$N$2:$N$545)</f>
        <v>1607.569</v>
      </c>
      <c r="J21" s="13">
        <f>SUMIF(Mercado_Receita!$T$2:$T$545,"44409B2Energia convencionalRuralNão se aplicaNão se aplicaNão se aplicaNão se aplica",Mercado_Receita!$N$2:$N$545)</f>
        <v>1563.625</v>
      </c>
      <c r="K21" s="13">
        <f>SUMIF(Mercado_Receita!$T$2:$T$545,"44440B2Energia convencionalRuralNão se aplicaNão se aplicaNão se aplicaNão se aplica",Mercado_Receita!$N$2:$N$545)</f>
        <v>1668.0920000000001</v>
      </c>
      <c r="L21" s="13">
        <f>SUMIF(Mercado_Receita!$T$2:$T$545,"44470B2Energia convencionalRuralNão se aplicaNão se aplicaNão se aplicaNão se aplica",Mercado_Receita!$N$2:$N$545)</f>
        <v>1655.4389999999999</v>
      </c>
      <c r="M21" s="13">
        <f>SUMIF(Mercado_Receita!$T$2:$T$545,"44501B2Energia convencionalRuralNão se aplicaNão se aplicaNão se aplicaNão se aplica",Mercado_Receita!$N$2:$N$545)</f>
        <v>1787.0069999999998</v>
      </c>
      <c r="N21" s="13">
        <f>SUMIF(Mercado_Receita!$T$2:$T$545,"44531B2Energia convencionalRuralNão se aplicaNão se aplicaNão se aplicaNão se aplica",Mercado_Receita!$N$2:$N$545)</f>
        <v>1952.2809999999999</v>
      </c>
      <c r="O21" s="13">
        <f>SUMIF(Mercado_Receita!$T$2:$T$545,"44562B2Energia convencionalRuralNão se aplicaNão se aplicaNão se aplicaNão se aplica",Mercado_Receita!$N$2:$N$545)</f>
        <v>2062.491</v>
      </c>
      <c r="P21" s="13">
        <f>SUMIF(Mercado_Receita!$T$2:$T$545,"44593B2Energia convencionalRuralNão se aplicaNão se aplicaNão se aplicaNão se aplica",Mercado_Receita!$N$2:$N$545)</f>
        <v>2042.4170000000001</v>
      </c>
      <c r="Q21" s="13">
        <f>SUMIF(Mercado_Receita!$T$2:$T$545,"44621B2Energia convencionalRuralNão se aplicaNão se aplicaNão se aplicaNão se aplica",Mercado_Receita!$N$2:$N$545)</f>
        <v>1960.153</v>
      </c>
      <c r="R21" s="13">
        <f>SUMIF(Mercado_Receita!$T$2:$T$545,"44652B2Energia convencionalRuralNão se aplicaNão se aplicaNão se aplicaNão se aplica",Mercado_Receita!$N$2:$N$545)</f>
        <v>1671.732</v>
      </c>
      <c r="S21" s="13">
        <f>SUMIF(Mercado_Receita!$T$2:$T$545,"44682B2Energia convencionalRuralNão se aplicaNão se aplicaNão se aplicaNão se aplica",Mercado_Receita!$N$2:$N$545)</f>
        <v>1654.77</v>
      </c>
      <c r="T21" s="13">
        <f>SUMIF(Mercado_Receita!$T$2:$T$545,"44713B2Energia convencionalRuralNão se aplicaNão se aplicaNão se aplicaNão se aplica",Mercado_Receita!$N$2:$N$545)</f>
        <v>1707.6779999999999</v>
      </c>
      <c r="U21" s="13">
        <f t="shared" si="0"/>
        <v>21333.253999999997</v>
      </c>
      <c r="V21" s="13"/>
      <c r="W21" s="13"/>
    </row>
    <row r="22" spans="1:23" ht="11.25" customHeight="1" x14ac:dyDescent="0.25">
      <c r="A22" s="95"/>
      <c r="B22" s="94" t="s">
        <v>72</v>
      </c>
      <c r="C22" s="94" t="s">
        <v>42</v>
      </c>
      <c r="D22" s="94" t="s">
        <v>89</v>
      </c>
      <c r="E22" s="94" t="s">
        <v>25</v>
      </c>
      <c r="F22" s="94" t="s">
        <v>25</v>
      </c>
      <c r="G22" s="13" t="s">
        <v>74</v>
      </c>
      <c r="H22" s="13" t="s">
        <v>73</v>
      </c>
      <c r="I22" s="13">
        <f>SUMIF(Mercado_Receita!$T$2:$T$545,"44378B2Energia horáriaRuralCooperativa de eletrificação ruralNão se aplicaNão se aplicaPonta",Mercado_Receita!$N$2:$N$545)</f>
        <v>0</v>
      </c>
      <c r="J22" s="13">
        <f>SUMIF(Mercado_Receita!$T$2:$T$545,"44409B2Energia horáriaRuralCooperativa de eletrificação ruralNão se aplicaNão se aplicaPonta",Mercado_Receita!$N$2:$N$545)</f>
        <v>0</v>
      </c>
      <c r="K22" s="13">
        <f>SUMIF(Mercado_Receita!$T$2:$T$545,"44440B2Energia horáriaRuralCooperativa de eletrificação ruralNão se aplicaNão se aplicaPonta",Mercado_Receita!$N$2:$N$545)</f>
        <v>0</v>
      </c>
      <c r="L22" s="13">
        <f>SUMIF(Mercado_Receita!$T$2:$T$545,"44470B2Energia horáriaRuralCooperativa de eletrificação ruralNão se aplicaNão se aplicaPonta",Mercado_Receita!$N$2:$N$545)</f>
        <v>0</v>
      </c>
      <c r="M22" s="13">
        <f>SUMIF(Mercado_Receita!$T$2:$T$545,"44501B2Energia horáriaRuralCooperativa de eletrificação ruralNão se aplicaNão se aplicaPonta",Mercado_Receita!$N$2:$N$545)</f>
        <v>0</v>
      </c>
      <c r="N22" s="13">
        <f>SUMIF(Mercado_Receita!$T$2:$T$545,"44531B2Energia horáriaRuralCooperativa de eletrificação ruralNão se aplicaNão se aplicaPonta",Mercado_Receita!$N$2:$N$545)</f>
        <v>0</v>
      </c>
      <c r="O22" s="13">
        <f>SUMIF(Mercado_Receita!$T$2:$T$545,"44562B2Energia horáriaRuralCooperativa de eletrificação ruralNão se aplicaNão se aplicaPonta",Mercado_Receita!$N$2:$N$545)</f>
        <v>0</v>
      </c>
      <c r="P22" s="13">
        <f>SUMIF(Mercado_Receita!$T$2:$T$545,"44593B2Energia horáriaRuralCooperativa de eletrificação ruralNão se aplicaNão se aplicaPonta",Mercado_Receita!$N$2:$N$545)</f>
        <v>0</v>
      </c>
      <c r="Q22" s="13">
        <f>SUMIF(Mercado_Receita!$T$2:$T$545,"44621B2Energia horáriaRuralCooperativa de eletrificação ruralNão se aplicaNão se aplicaPonta",Mercado_Receita!$N$2:$N$545)</f>
        <v>0</v>
      </c>
      <c r="R22" s="13">
        <f>SUMIF(Mercado_Receita!$T$2:$T$545,"44652B2Energia horáriaRuralCooperativa de eletrificação ruralNão se aplicaNão se aplicaPonta",Mercado_Receita!$N$2:$N$545)</f>
        <v>0</v>
      </c>
      <c r="S22" s="13">
        <f>SUMIF(Mercado_Receita!$T$2:$T$545,"44682B2Energia horáriaRuralCooperativa de eletrificação ruralNão se aplicaNão se aplicaPonta",Mercado_Receita!$N$2:$N$545)</f>
        <v>0</v>
      </c>
      <c r="T22" s="13">
        <f>SUMIF(Mercado_Receita!$T$2:$T$545,"44713B2Energia horáriaRuralCooperativa de eletrificação ruralNão se aplicaNão se aplicaPonta",Mercado_Receita!$N$2:$N$545)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95"/>
      <c r="B23" s="95"/>
      <c r="C23" s="95"/>
      <c r="D23" s="95"/>
      <c r="E23" s="95"/>
      <c r="F23" s="95"/>
      <c r="G23" s="13" t="s">
        <v>85</v>
      </c>
      <c r="H23" s="13" t="s">
        <v>73</v>
      </c>
      <c r="I23" s="13">
        <f>SUMIF(Mercado_Receita!$T$2:$T$545,"44378B2Energia horáriaRuralCooperativa de eletrificação ruralNão se aplicaNão se aplicaIntermediário",Mercado_Receita!$N$2:$N$545)</f>
        <v>0</v>
      </c>
      <c r="J23" s="13">
        <f>SUMIF(Mercado_Receita!$T$2:$T$545,"44409B2Energia horáriaRuralCooperativa de eletrificação ruralNão se aplicaNão se aplicaIntermediário",Mercado_Receita!$N$2:$N$545)</f>
        <v>0</v>
      </c>
      <c r="K23" s="13">
        <f>SUMIF(Mercado_Receita!$T$2:$T$545,"44440B2Energia horáriaRuralCooperativa de eletrificação ruralNão se aplicaNão se aplicaIntermediário",Mercado_Receita!$N$2:$N$545)</f>
        <v>0</v>
      </c>
      <c r="L23" s="13">
        <f>SUMIF(Mercado_Receita!$T$2:$T$545,"44470B2Energia horáriaRuralCooperativa de eletrificação ruralNão se aplicaNão se aplicaIntermediário",Mercado_Receita!$N$2:$N$545)</f>
        <v>0</v>
      </c>
      <c r="M23" s="13">
        <f>SUMIF(Mercado_Receita!$T$2:$T$545,"44501B2Energia horáriaRuralCooperativa de eletrificação ruralNão se aplicaNão se aplicaIntermediário",Mercado_Receita!$N$2:$N$545)</f>
        <v>0</v>
      </c>
      <c r="N23" s="13">
        <f>SUMIF(Mercado_Receita!$T$2:$T$545,"44531B2Energia horáriaRuralCooperativa de eletrificação ruralNão se aplicaNão se aplicaIntermediário",Mercado_Receita!$N$2:$N$545)</f>
        <v>0</v>
      </c>
      <c r="O23" s="13">
        <f>SUMIF(Mercado_Receita!$T$2:$T$545,"44562B2Energia horáriaRuralCooperativa de eletrificação ruralNão se aplicaNão se aplicaIntermediário",Mercado_Receita!$N$2:$N$545)</f>
        <v>0</v>
      </c>
      <c r="P23" s="13">
        <f>SUMIF(Mercado_Receita!$T$2:$T$545,"44593B2Energia horáriaRuralCooperativa de eletrificação ruralNão se aplicaNão se aplicaIntermediário",Mercado_Receita!$N$2:$N$545)</f>
        <v>0</v>
      </c>
      <c r="Q23" s="13">
        <f>SUMIF(Mercado_Receita!$T$2:$T$545,"44621B2Energia horáriaRuralCooperativa de eletrificação ruralNão se aplicaNão se aplicaIntermediário",Mercado_Receita!$N$2:$N$545)</f>
        <v>0</v>
      </c>
      <c r="R23" s="13">
        <f>SUMIF(Mercado_Receita!$T$2:$T$545,"44652B2Energia horáriaRuralCooperativa de eletrificação ruralNão se aplicaNão se aplicaIntermediário",Mercado_Receita!$N$2:$N$545)</f>
        <v>0</v>
      </c>
      <c r="S23" s="13">
        <f>SUMIF(Mercado_Receita!$T$2:$T$545,"44682B2Energia horáriaRuralCooperativa de eletrificação ruralNão se aplicaNão se aplicaIntermediário",Mercado_Receita!$N$2:$N$545)</f>
        <v>0</v>
      </c>
      <c r="T23" s="13">
        <f>SUMIF(Mercado_Receita!$T$2:$T$545,"44713B2Energia horáriaRuralCooperativa de eletrificação ruralNão se aplicaNão se aplicaIntermediário",Mercado_Receita!$N$2:$N$545)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95"/>
      <c r="B24" s="95"/>
      <c r="C24" s="95"/>
      <c r="D24" s="95"/>
      <c r="E24" s="95"/>
      <c r="F24" s="95"/>
      <c r="G24" s="13" t="s">
        <v>75</v>
      </c>
      <c r="H24" s="13" t="s">
        <v>73</v>
      </c>
      <c r="I24" s="13">
        <f>SUMIF(Mercado_Receita!$T$2:$T$545,"44378B2Energia horáriaRuralCooperativa de eletrificação ruralNão se aplicaNão se aplicaFora ponta",Mercado_Receita!$N$2:$N$545)</f>
        <v>0</v>
      </c>
      <c r="J24" s="13">
        <f>SUMIF(Mercado_Receita!$T$2:$T$545,"44409B2Energia horáriaRuralCooperativa de eletrificação ruralNão se aplicaNão se aplicaFora ponta",Mercado_Receita!$N$2:$N$545)</f>
        <v>0</v>
      </c>
      <c r="K24" s="13">
        <f>SUMIF(Mercado_Receita!$T$2:$T$545,"44440B2Energia horáriaRuralCooperativa de eletrificação ruralNão se aplicaNão se aplicaFora ponta",Mercado_Receita!$N$2:$N$545)</f>
        <v>0</v>
      </c>
      <c r="L24" s="13">
        <f>SUMIF(Mercado_Receita!$T$2:$T$545,"44470B2Energia horáriaRuralCooperativa de eletrificação ruralNão se aplicaNão se aplicaFora ponta",Mercado_Receita!$N$2:$N$545)</f>
        <v>0</v>
      </c>
      <c r="M24" s="13">
        <f>SUMIF(Mercado_Receita!$T$2:$T$545,"44501B2Energia horáriaRuralCooperativa de eletrificação ruralNão se aplicaNão se aplicaFora ponta",Mercado_Receita!$N$2:$N$545)</f>
        <v>0</v>
      </c>
      <c r="N24" s="13">
        <f>SUMIF(Mercado_Receita!$T$2:$T$545,"44531B2Energia horáriaRuralCooperativa de eletrificação ruralNão se aplicaNão se aplicaFora ponta",Mercado_Receita!$N$2:$N$545)</f>
        <v>0</v>
      </c>
      <c r="O24" s="13">
        <f>SUMIF(Mercado_Receita!$T$2:$T$545,"44562B2Energia horáriaRuralCooperativa de eletrificação ruralNão se aplicaNão se aplicaFora ponta",Mercado_Receita!$N$2:$N$545)</f>
        <v>0</v>
      </c>
      <c r="P24" s="13">
        <f>SUMIF(Mercado_Receita!$T$2:$T$545,"44593B2Energia horáriaRuralCooperativa de eletrificação ruralNão se aplicaNão se aplicaFora ponta",Mercado_Receita!$N$2:$N$545)</f>
        <v>0</v>
      </c>
      <c r="Q24" s="13">
        <f>SUMIF(Mercado_Receita!$T$2:$T$545,"44621B2Energia horáriaRuralCooperativa de eletrificação ruralNão se aplicaNão se aplicaFora ponta",Mercado_Receita!$N$2:$N$545)</f>
        <v>0</v>
      </c>
      <c r="R24" s="13">
        <f>SUMIF(Mercado_Receita!$T$2:$T$545,"44652B2Energia horáriaRuralCooperativa de eletrificação ruralNão se aplicaNão se aplicaFora ponta",Mercado_Receita!$N$2:$N$545)</f>
        <v>0</v>
      </c>
      <c r="S24" s="13">
        <f>SUMIF(Mercado_Receita!$T$2:$T$545,"44682B2Energia horáriaRuralCooperativa de eletrificação ruralNão se aplicaNão se aplicaFora ponta",Mercado_Receita!$N$2:$N$545)</f>
        <v>0</v>
      </c>
      <c r="T24" s="13">
        <f>SUMIF(Mercado_Receita!$T$2:$T$545,"44713B2Energia horáriaRuralCooperativa de eletrificação ruralNão se aplicaNão se aplicaFora ponta",Mercado_Receita!$N$2:$N$545)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95"/>
      <c r="B25" s="12" t="s">
        <v>76</v>
      </c>
      <c r="C25" s="12" t="s">
        <v>42</v>
      </c>
      <c r="D25" s="12" t="s">
        <v>89</v>
      </c>
      <c r="E25" s="12" t="s">
        <v>25</v>
      </c>
      <c r="F25" s="12" t="s">
        <v>25</v>
      </c>
      <c r="G25" s="13" t="s">
        <v>77</v>
      </c>
      <c r="H25" s="13" t="s">
        <v>73</v>
      </c>
      <c r="I25" s="13">
        <f>SUMIF(Mercado_Receita!$T$2:$T$545,"44378B2Energia convencionalRuralCooperativa de eletrificação ruralNão se aplicaNão se aplicaNão se aplica",Mercado_Receita!$N$2:$N$545)</f>
        <v>0</v>
      </c>
      <c r="J25" s="13">
        <f>SUMIF(Mercado_Receita!$T$2:$T$545,"44409B2Energia convencionalRuralCooperativa de eletrificação ruralNão se aplicaNão se aplicaNão se aplica",Mercado_Receita!$N$2:$N$545)</f>
        <v>0</v>
      </c>
      <c r="K25" s="13">
        <f>SUMIF(Mercado_Receita!$T$2:$T$545,"44440B2Energia convencionalRuralCooperativa de eletrificação ruralNão se aplicaNão se aplicaNão se aplica",Mercado_Receita!$N$2:$N$545)</f>
        <v>0</v>
      </c>
      <c r="L25" s="13">
        <f>SUMIF(Mercado_Receita!$T$2:$T$545,"44470B2Energia convencionalRuralCooperativa de eletrificação ruralNão se aplicaNão se aplicaNão se aplica",Mercado_Receita!$N$2:$N$545)</f>
        <v>0</v>
      </c>
      <c r="M25" s="13">
        <f>SUMIF(Mercado_Receita!$T$2:$T$545,"44501B2Energia convencionalRuralCooperativa de eletrificação ruralNão se aplicaNão se aplicaNão se aplica",Mercado_Receita!$N$2:$N$545)</f>
        <v>0</v>
      </c>
      <c r="N25" s="13">
        <f>SUMIF(Mercado_Receita!$T$2:$T$545,"44531B2Energia convencionalRuralCooperativa de eletrificação ruralNão se aplicaNão se aplicaNão se aplica",Mercado_Receita!$N$2:$N$545)</f>
        <v>0</v>
      </c>
      <c r="O25" s="13">
        <f>SUMIF(Mercado_Receita!$T$2:$T$545,"44562B2Energia convencionalRuralCooperativa de eletrificação ruralNão se aplicaNão se aplicaNão se aplica",Mercado_Receita!$N$2:$N$545)</f>
        <v>0</v>
      </c>
      <c r="P25" s="13">
        <f>SUMIF(Mercado_Receita!$T$2:$T$545,"44593B2Energia convencionalRuralCooperativa de eletrificação ruralNão se aplicaNão se aplicaNão se aplica",Mercado_Receita!$N$2:$N$545)</f>
        <v>0</v>
      </c>
      <c r="Q25" s="13">
        <f>SUMIF(Mercado_Receita!$T$2:$T$545,"44621B2Energia convencionalRuralCooperativa de eletrificação ruralNão se aplicaNão se aplicaNão se aplica",Mercado_Receita!$N$2:$N$545)</f>
        <v>0</v>
      </c>
      <c r="R25" s="13">
        <f>SUMIF(Mercado_Receita!$T$2:$T$545,"44652B2Energia convencionalRuralCooperativa de eletrificação ruralNão se aplicaNão se aplicaNão se aplica",Mercado_Receita!$N$2:$N$545)</f>
        <v>0</v>
      </c>
      <c r="S25" s="13">
        <f>SUMIF(Mercado_Receita!$T$2:$T$545,"44682B2Energia convencionalRuralCooperativa de eletrificação ruralNão se aplicaNão se aplicaNão se aplica",Mercado_Receita!$N$2:$N$545)</f>
        <v>0</v>
      </c>
      <c r="T25" s="13">
        <f>SUMIF(Mercado_Receita!$T$2:$T$545,"44713B2Energia convencionalRuralCooperativa de eletrificação ruralNão se aplicaNão se aplicaNão se aplica",Mercado_Receita!$N$2:$N$545)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95"/>
      <c r="B26" s="94" t="s">
        <v>72</v>
      </c>
      <c r="C26" s="94" t="s">
        <v>42</v>
      </c>
      <c r="D26" s="94" t="s">
        <v>90</v>
      </c>
      <c r="E26" s="94" t="s">
        <v>25</v>
      </c>
      <c r="F26" s="94" t="s">
        <v>25</v>
      </c>
      <c r="G26" s="13" t="s">
        <v>74</v>
      </c>
      <c r="H26" s="13" t="s">
        <v>73</v>
      </c>
      <c r="I26" s="13">
        <f>SUMIF(Mercado_Receita!$T$2:$T$545,"44378B2Energia horáriaRuralServiço público de irrigação ruralNão se aplicaNão se aplicaPonta",Mercado_Receita!$N$2:$N$545)</f>
        <v>0</v>
      </c>
      <c r="J26" s="13">
        <f>SUMIF(Mercado_Receita!$T$2:$T$545,"44409B2Energia horáriaRuralServiço público de irrigação ruralNão se aplicaNão se aplicaPonta",Mercado_Receita!$N$2:$N$545)</f>
        <v>0</v>
      </c>
      <c r="K26" s="13">
        <f>SUMIF(Mercado_Receita!$T$2:$T$545,"44440B2Energia horáriaRuralServiço público de irrigação ruralNão se aplicaNão se aplicaPonta",Mercado_Receita!$N$2:$N$545)</f>
        <v>0</v>
      </c>
      <c r="L26" s="13">
        <f>SUMIF(Mercado_Receita!$T$2:$T$545,"44470B2Energia horáriaRuralServiço público de irrigação ruralNão se aplicaNão se aplicaPonta",Mercado_Receita!$N$2:$N$545)</f>
        <v>0</v>
      </c>
      <c r="M26" s="13">
        <f>SUMIF(Mercado_Receita!$T$2:$T$545,"44501B2Energia horáriaRuralServiço público de irrigação ruralNão se aplicaNão se aplicaPonta",Mercado_Receita!$N$2:$N$545)</f>
        <v>0</v>
      </c>
      <c r="N26" s="13">
        <f>SUMIF(Mercado_Receita!$T$2:$T$545,"44531B2Energia horáriaRuralServiço público de irrigação ruralNão se aplicaNão se aplicaPonta",Mercado_Receita!$N$2:$N$545)</f>
        <v>0</v>
      </c>
      <c r="O26" s="13">
        <f>SUMIF(Mercado_Receita!$T$2:$T$545,"44562B2Energia horáriaRuralServiço público de irrigação ruralNão se aplicaNão se aplicaPonta",Mercado_Receita!$N$2:$N$545)</f>
        <v>0</v>
      </c>
      <c r="P26" s="13">
        <f>SUMIF(Mercado_Receita!$T$2:$T$545,"44593B2Energia horáriaRuralServiço público de irrigação ruralNão se aplicaNão se aplicaPonta",Mercado_Receita!$N$2:$N$545)</f>
        <v>0</v>
      </c>
      <c r="Q26" s="13">
        <f>SUMIF(Mercado_Receita!$T$2:$T$545,"44621B2Energia horáriaRuralServiço público de irrigação ruralNão se aplicaNão se aplicaPonta",Mercado_Receita!$N$2:$N$545)</f>
        <v>0</v>
      </c>
      <c r="R26" s="13">
        <f>SUMIF(Mercado_Receita!$T$2:$T$545,"44652B2Energia horáriaRuralServiço público de irrigação ruralNão se aplicaNão se aplicaPonta",Mercado_Receita!$N$2:$N$545)</f>
        <v>0</v>
      </c>
      <c r="S26" s="13">
        <f>SUMIF(Mercado_Receita!$T$2:$T$545,"44682B2Energia horáriaRuralServiço público de irrigação ruralNão se aplicaNão se aplicaPonta",Mercado_Receita!$N$2:$N$545)</f>
        <v>0</v>
      </c>
      <c r="T26" s="13">
        <f>SUMIF(Mercado_Receita!$T$2:$T$545,"44713B2Energia horáriaRuralServiço público de irrigação ruralNão se aplicaNão se aplicaPonta",Mercado_Receita!$N$2:$N$545)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95"/>
      <c r="B27" s="95"/>
      <c r="C27" s="95"/>
      <c r="D27" s="95"/>
      <c r="E27" s="95"/>
      <c r="F27" s="95"/>
      <c r="G27" s="13" t="s">
        <v>85</v>
      </c>
      <c r="H27" s="13" t="s">
        <v>73</v>
      </c>
      <c r="I27" s="13">
        <f>SUMIF(Mercado_Receita!$T$2:$T$545,"44378B2Energia horáriaRuralServiço público de irrigação ruralNão se aplicaNão se aplicaIntermediário",Mercado_Receita!$N$2:$N$545)</f>
        <v>0</v>
      </c>
      <c r="J27" s="13">
        <f>SUMIF(Mercado_Receita!$T$2:$T$545,"44409B2Energia horáriaRuralServiço público de irrigação ruralNão se aplicaNão se aplicaIntermediário",Mercado_Receita!$N$2:$N$545)</f>
        <v>0</v>
      </c>
      <c r="K27" s="13">
        <f>SUMIF(Mercado_Receita!$T$2:$T$545,"44440B2Energia horáriaRuralServiço público de irrigação ruralNão se aplicaNão se aplicaIntermediário",Mercado_Receita!$N$2:$N$545)</f>
        <v>0</v>
      </c>
      <c r="L27" s="13">
        <f>SUMIF(Mercado_Receita!$T$2:$T$545,"44470B2Energia horáriaRuralServiço público de irrigação ruralNão se aplicaNão se aplicaIntermediário",Mercado_Receita!$N$2:$N$545)</f>
        <v>0</v>
      </c>
      <c r="M27" s="13">
        <f>SUMIF(Mercado_Receita!$T$2:$T$545,"44501B2Energia horáriaRuralServiço público de irrigação ruralNão se aplicaNão se aplicaIntermediário",Mercado_Receita!$N$2:$N$545)</f>
        <v>0</v>
      </c>
      <c r="N27" s="13">
        <f>SUMIF(Mercado_Receita!$T$2:$T$545,"44531B2Energia horáriaRuralServiço público de irrigação ruralNão se aplicaNão se aplicaIntermediário",Mercado_Receita!$N$2:$N$545)</f>
        <v>0</v>
      </c>
      <c r="O27" s="13">
        <f>SUMIF(Mercado_Receita!$T$2:$T$545,"44562B2Energia horáriaRuralServiço público de irrigação ruralNão se aplicaNão se aplicaIntermediário",Mercado_Receita!$N$2:$N$545)</f>
        <v>0</v>
      </c>
      <c r="P27" s="13">
        <f>SUMIF(Mercado_Receita!$T$2:$T$545,"44593B2Energia horáriaRuralServiço público de irrigação ruralNão se aplicaNão se aplicaIntermediário",Mercado_Receita!$N$2:$N$545)</f>
        <v>0</v>
      </c>
      <c r="Q27" s="13">
        <f>SUMIF(Mercado_Receita!$T$2:$T$545,"44621B2Energia horáriaRuralServiço público de irrigação ruralNão se aplicaNão se aplicaIntermediário",Mercado_Receita!$N$2:$N$545)</f>
        <v>0</v>
      </c>
      <c r="R27" s="13">
        <f>SUMIF(Mercado_Receita!$T$2:$T$545,"44652B2Energia horáriaRuralServiço público de irrigação ruralNão se aplicaNão se aplicaIntermediário",Mercado_Receita!$N$2:$N$545)</f>
        <v>0</v>
      </c>
      <c r="S27" s="13">
        <f>SUMIF(Mercado_Receita!$T$2:$T$545,"44682B2Energia horáriaRuralServiço público de irrigação ruralNão se aplicaNão se aplicaIntermediário",Mercado_Receita!$N$2:$N$545)</f>
        <v>0</v>
      </c>
      <c r="T27" s="13">
        <f>SUMIF(Mercado_Receita!$T$2:$T$545,"44713B2Energia horáriaRuralServiço público de irrigação ruralNão se aplicaNão se aplicaIntermediário",Mercado_Receita!$N$2:$N$545)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95"/>
      <c r="B28" s="95"/>
      <c r="C28" s="95"/>
      <c r="D28" s="95"/>
      <c r="E28" s="95"/>
      <c r="F28" s="95"/>
      <c r="G28" s="13" t="s">
        <v>75</v>
      </c>
      <c r="H28" s="13" t="s">
        <v>73</v>
      </c>
      <c r="I28" s="13">
        <f>SUMIF(Mercado_Receita!$T$2:$T$545,"44378B2Energia horáriaRuralServiço público de irrigação ruralNão se aplicaNão se aplicaFora ponta",Mercado_Receita!$N$2:$N$545)</f>
        <v>0</v>
      </c>
      <c r="J28" s="13">
        <f>SUMIF(Mercado_Receita!$T$2:$T$545,"44409B2Energia horáriaRuralServiço público de irrigação ruralNão se aplicaNão se aplicaFora ponta",Mercado_Receita!$N$2:$N$545)</f>
        <v>0</v>
      </c>
      <c r="K28" s="13">
        <f>SUMIF(Mercado_Receita!$T$2:$T$545,"44440B2Energia horáriaRuralServiço público de irrigação ruralNão se aplicaNão se aplicaFora ponta",Mercado_Receita!$N$2:$N$545)</f>
        <v>0</v>
      </c>
      <c r="L28" s="13">
        <f>SUMIF(Mercado_Receita!$T$2:$T$545,"44470B2Energia horáriaRuralServiço público de irrigação ruralNão se aplicaNão se aplicaFora ponta",Mercado_Receita!$N$2:$N$545)</f>
        <v>0</v>
      </c>
      <c r="M28" s="13">
        <f>SUMIF(Mercado_Receita!$T$2:$T$545,"44501B2Energia horáriaRuralServiço público de irrigação ruralNão se aplicaNão se aplicaFora ponta",Mercado_Receita!$N$2:$N$545)</f>
        <v>0</v>
      </c>
      <c r="N28" s="13">
        <f>SUMIF(Mercado_Receita!$T$2:$T$545,"44531B2Energia horáriaRuralServiço público de irrigação ruralNão se aplicaNão se aplicaFora ponta",Mercado_Receita!$N$2:$N$545)</f>
        <v>0</v>
      </c>
      <c r="O28" s="13">
        <f>SUMIF(Mercado_Receita!$T$2:$T$545,"44562B2Energia horáriaRuralServiço público de irrigação ruralNão se aplicaNão se aplicaFora ponta",Mercado_Receita!$N$2:$N$545)</f>
        <v>0</v>
      </c>
      <c r="P28" s="13">
        <f>SUMIF(Mercado_Receita!$T$2:$T$545,"44593B2Energia horáriaRuralServiço público de irrigação ruralNão se aplicaNão se aplicaFora ponta",Mercado_Receita!$N$2:$N$545)</f>
        <v>0</v>
      </c>
      <c r="Q28" s="13">
        <f>SUMIF(Mercado_Receita!$T$2:$T$545,"44621B2Energia horáriaRuralServiço público de irrigação ruralNão se aplicaNão se aplicaFora ponta",Mercado_Receita!$N$2:$N$545)</f>
        <v>0</v>
      </c>
      <c r="R28" s="13">
        <f>SUMIF(Mercado_Receita!$T$2:$T$545,"44652B2Energia horáriaRuralServiço público de irrigação ruralNão se aplicaNão se aplicaFora ponta",Mercado_Receita!$N$2:$N$545)</f>
        <v>0</v>
      </c>
      <c r="S28" s="13">
        <f>SUMIF(Mercado_Receita!$T$2:$T$545,"44682B2Energia horáriaRuralServiço público de irrigação ruralNão se aplicaNão se aplicaFora ponta",Mercado_Receita!$N$2:$N$545)</f>
        <v>0</v>
      </c>
      <c r="T28" s="13">
        <f>SUMIF(Mercado_Receita!$T$2:$T$545,"44713B2Energia horáriaRuralServiço público de irrigação ruralNão se aplicaNão se aplicaFora ponta",Mercado_Receita!$N$2:$N$545)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95"/>
      <c r="B29" s="12" t="s">
        <v>76</v>
      </c>
      <c r="C29" s="12" t="s">
        <v>42</v>
      </c>
      <c r="D29" s="12" t="s">
        <v>90</v>
      </c>
      <c r="E29" s="12" t="s">
        <v>25</v>
      </c>
      <c r="F29" s="12" t="s">
        <v>25</v>
      </c>
      <c r="G29" s="13" t="s">
        <v>77</v>
      </c>
      <c r="H29" s="13" t="s">
        <v>73</v>
      </c>
      <c r="I29" s="13">
        <f>SUMIF(Mercado_Receita!$T$2:$T$545,"44378B2Energia convencionalRuralServiço público de irrigação ruralNão se aplicaNão se aplicaNão se aplica",Mercado_Receita!$N$2:$N$545)</f>
        <v>0</v>
      </c>
      <c r="J29" s="13">
        <f>SUMIF(Mercado_Receita!$T$2:$T$545,"44409B2Energia convencionalRuralServiço público de irrigação ruralNão se aplicaNão se aplicaNão se aplica",Mercado_Receita!$N$2:$N$545)</f>
        <v>0</v>
      </c>
      <c r="K29" s="13">
        <f>SUMIF(Mercado_Receita!$T$2:$T$545,"44440B2Energia convencionalRuralServiço público de irrigação ruralNão se aplicaNão se aplicaNão se aplica",Mercado_Receita!$N$2:$N$545)</f>
        <v>0</v>
      </c>
      <c r="L29" s="13">
        <f>SUMIF(Mercado_Receita!$T$2:$T$545,"44470B2Energia convencionalRuralServiço público de irrigação ruralNão se aplicaNão se aplicaNão se aplica",Mercado_Receita!$N$2:$N$545)</f>
        <v>0</v>
      </c>
      <c r="M29" s="13">
        <f>SUMIF(Mercado_Receita!$T$2:$T$545,"44501B2Energia convencionalRuralServiço público de irrigação ruralNão se aplicaNão se aplicaNão se aplica",Mercado_Receita!$N$2:$N$545)</f>
        <v>0</v>
      </c>
      <c r="N29" s="13">
        <f>SUMIF(Mercado_Receita!$T$2:$T$545,"44531B2Energia convencionalRuralServiço público de irrigação ruralNão se aplicaNão se aplicaNão se aplica",Mercado_Receita!$N$2:$N$545)</f>
        <v>0</v>
      </c>
      <c r="O29" s="13">
        <f>SUMIF(Mercado_Receita!$T$2:$T$545,"44562B2Energia convencionalRuralServiço público de irrigação ruralNão se aplicaNão se aplicaNão se aplica",Mercado_Receita!$N$2:$N$545)</f>
        <v>0</v>
      </c>
      <c r="P29" s="13">
        <f>SUMIF(Mercado_Receita!$T$2:$T$545,"44593B2Energia convencionalRuralServiço público de irrigação ruralNão se aplicaNão se aplicaNão se aplica",Mercado_Receita!$N$2:$N$545)</f>
        <v>0</v>
      </c>
      <c r="Q29" s="13">
        <f>SUMIF(Mercado_Receita!$T$2:$T$545,"44621B2Energia convencionalRuralServiço público de irrigação ruralNão se aplicaNão se aplicaNão se aplica",Mercado_Receita!$N$2:$N$545)</f>
        <v>0</v>
      </c>
      <c r="R29" s="13">
        <f>SUMIF(Mercado_Receita!$T$2:$T$545,"44652B2Energia convencionalRuralServiço público de irrigação ruralNão se aplicaNão se aplicaNão se aplica",Mercado_Receita!$N$2:$N$545)</f>
        <v>0</v>
      </c>
      <c r="S29" s="13">
        <f>SUMIF(Mercado_Receita!$T$2:$T$545,"44682B2Energia convencionalRuralServiço público de irrigação ruralNão se aplicaNão se aplicaNão se aplica",Mercado_Receita!$N$2:$N$545)</f>
        <v>0</v>
      </c>
      <c r="T29" s="13">
        <f>SUMIF(Mercado_Receita!$T$2:$T$545,"44713B2Energia convencionalRuralServiço público de irrigação ruralNão se aplicaNão se aplicaNão se aplica",Mercado_Receita!$N$2:$N$545)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95"/>
      <c r="B30" s="94" t="s">
        <v>87</v>
      </c>
      <c r="C30" s="94" t="s">
        <v>42</v>
      </c>
      <c r="D30" s="12" t="s">
        <v>25</v>
      </c>
      <c r="E30" s="12" t="s">
        <v>25</v>
      </c>
      <c r="F30" s="12" t="s">
        <v>25</v>
      </c>
      <c r="G30" s="13" t="s">
        <v>77</v>
      </c>
      <c r="H30" s="13" t="s">
        <v>73</v>
      </c>
      <c r="I30" s="13">
        <f>SUMIF(Mercado_Receita!$T$2:$T$545,"44378B2Energia convencional pré-pagamentoRuralNão se aplicaNão se aplicaNão se aplicaNão se aplica",Mercado_Receita!$N$2:$N$545)</f>
        <v>0</v>
      </c>
      <c r="J30" s="13">
        <f>SUMIF(Mercado_Receita!$T$2:$T$545,"44409B2Energia convencional pré-pagamentoRuralNão se aplicaNão se aplicaNão se aplicaNão se aplica",Mercado_Receita!$N$2:$N$545)</f>
        <v>0</v>
      </c>
      <c r="K30" s="13">
        <f>SUMIF(Mercado_Receita!$T$2:$T$545,"44440B2Energia convencional pré-pagamentoRuralNão se aplicaNão se aplicaNão se aplicaNão se aplica",Mercado_Receita!$N$2:$N$545)</f>
        <v>0</v>
      </c>
      <c r="L30" s="13">
        <f>SUMIF(Mercado_Receita!$T$2:$T$545,"44470B2Energia convencional pré-pagamentoRuralNão se aplicaNão se aplicaNão se aplicaNão se aplica",Mercado_Receita!$N$2:$N$545)</f>
        <v>0</v>
      </c>
      <c r="M30" s="13">
        <f>SUMIF(Mercado_Receita!$T$2:$T$545,"44501B2Energia convencional pré-pagamentoRuralNão se aplicaNão se aplicaNão se aplicaNão se aplica",Mercado_Receita!$N$2:$N$545)</f>
        <v>0</v>
      </c>
      <c r="N30" s="13">
        <f>SUMIF(Mercado_Receita!$T$2:$T$545,"44531B2Energia convencional pré-pagamentoRuralNão se aplicaNão se aplicaNão se aplicaNão se aplica",Mercado_Receita!$N$2:$N$545)</f>
        <v>0</v>
      </c>
      <c r="O30" s="13">
        <f>SUMIF(Mercado_Receita!$T$2:$T$545,"44562B2Energia convencional pré-pagamentoRuralNão se aplicaNão se aplicaNão se aplicaNão se aplica",Mercado_Receita!$N$2:$N$545)</f>
        <v>0</v>
      </c>
      <c r="P30" s="13">
        <f>SUMIF(Mercado_Receita!$T$2:$T$545,"44593B2Energia convencional pré-pagamentoRuralNão se aplicaNão se aplicaNão se aplicaNão se aplica",Mercado_Receita!$N$2:$N$545)</f>
        <v>0</v>
      </c>
      <c r="Q30" s="13">
        <f>SUMIF(Mercado_Receita!$T$2:$T$545,"44621B2Energia convencional pré-pagamentoRuralNão se aplicaNão se aplicaNão se aplicaNão se aplica",Mercado_Receita!$N$2:$N$545)</f>
        <v>0</v>
      </c>
      <c r="R30" s="13">
        <f>SUMIF(Mercado_Receita!$T$2:$T$545,"44652B2Energia convencional pré-pagamentoRuralNão se aplicaNão se aplicaNão se aplicaNão se aplica",Mercado_Receita!$N$2:$N$545)</f>
        <v>0</v>
      </c>
      <c r="S30" s="13">
        <f>SUMIF(Mercado_Receita!$T$2:$T$545,"44682B2Energia convencional pré-pagamentoRuralNão se aplicaNão se aplicaNão se aplicaNão se aplica",Mercado_Receita!$N$2:$N$545)</f>
        <v>0</v>
      </c>
      <c r="T30" s="13">
        <f>SUMIF(Mercado_Receita!$T$2:$T$545,"44713B2Energia convencional pré-pagamentoRuralNão se aplicaNão se aplicaNão se aplicaNão se aplica",Mercado_Receita!$N$2:$N$545)</f>
        <v>0</v>
      </c>
      <c r="U30" s="13">
        <f t="shared" si="0"/>
        <v>0</v>
      </c>
      <c r="V30" s="13"/>
      <c r="W30" s="13"/>
    </row>
    <row r="31" spans="1:23" ht="11.25" customHeight="1" x14ac:dyDescent="0.25">
      <c r="A31" s="95"/>
      <c r="B31" s="95"/>
      <c r="C31" s="95"/>
      <c r="D31" s="12" t="s">
        <v>89</v>
      </c>
      <c r="E31" s="12" t="s">
        <v>25</v>
      </c>
      <c r="F31" s="12" t="s">
        <v>25</v>
      </c>
      <c r="G31" s="13" t="s">
        <v>77</v>
      </c>
      <c r="H31" s="13" t="s">
        <v>73</v>
      </c>
      <c r="I31" s="13">
        <f>SUMIF(Mercado_Receita!$T$2:$T$545,"44378B2Energia convencional pré-pagamentoRuralCooperativa de eletrificação ruralNão se aplicaNão se aplicaNão se aplica",Mercado_Receita!$N$2:$N$545)</f>
        <v>0</v>
      </c>
      <c r="J31" s="13">
        <f>SUMIF(Mercado_Receita!$T$2:$T$545,"44409B2Energia convencional pré-pagamentoRuralCooperativa de eletrificação ruralNão se aplicaNão se aplicaNão se aplica",Mercado_Receita!$N$2:$N$545)</f>
        <v>0</v>
      </c>
      <c r="K31" s="13">
        <f>SUMIF(Mercado_Receita!$T$2:$T$545,"44440B2Energia convencional pré-pagamentoRuralCooperativa de eletrificação ruralNão se aplicaNão se aplicaNão se aplica",Mercado_Receita!$N$2:$N$545)</f>
        <v>0</v>
      </c>
      <c r="L31" s="13">
        <f>SUMIF(Mercado_Receita!$T$2:$T$545,"44470B2Energia convencional pré-pagamentoRuralCooperativa de eletrificação ruralNão se aplicaNão se aplicaNão se aplica",Mercado_Receita!$N$2:$N$545)</f>
        <v>0</v>
      </c>
      <c r="M31" s="13">
        <f>SUMIF(Mercado_Receita!$T$2:$T$545,"44501B2Energia convencional pré-pagamentoRuralCooperativa de eletrificação ruralNão se aplicaNão se aplicaNão se aplica",Mercado_Receita!$N$2:$N$545)</f>
        <v>0</v>
      </c>
      <c r="N31" s="13">
        <f>SUMIF(Mercado_Receita!$T$2:$T$545,"44531B2Energia convencional pré-pagamentoRuralCooperativa de eletrificação ruralNão se aplicaNão se aplicaNão se aplica",Mercado_Receita!$N$2:$N$545)</f>
        <v>0</v>
      </c>
      <c r="O31" s="13">
        <f>SUMIF(Mercado_Receita!$T$2:$T$545,"44562B2Energia convencional pré-pagamentoRuralCooperativa de eletrificação ruralNão se aplicaNão se aplicaNão se aplica",Mercado_Receita!$N$2:$N$545)</f>
        <v>0</v>
      </c>
      <c r="P31" s="13">
        <f>SUMIF(Mercado_Receita!$T$2:$T$545,"44593B2Energia convencional pré-pagamentoRuralCooperativa de eletrificação ruralNão se aplicaNão se aplicaNão se aplica",Mercado_Receita!$N$2:$N$545)</f>
        <v>0</v>
      </c>
      <c r="Q31" s="13">
        <f>SUMIF(Mercado_Receita!$T$2:$T$545,"44621B2Energia convencional pré-pagamentoRuralCooperativa de eletrificação ruralNão se aplicaNão se aplicaNão se aplica",Mercado_Receita!$N$2:$N$545)</f>
        <v>0</v>
      </c>
      <c r="R31" s="13">
        <f>SUMIF(Mercado_Receita!$T$2:$T$545,"44652B2Energia convencional pré-pagamentoRuralCooperativa de eletrificação ruralNão se aplicaNão se aplicaNão se aplica",Mercado_Receita!$N$2:$N$545)</f>
        <v>0</v>
      </c>
      <c r="S31" s="13">
        <f>SUMIF(Mercado_Receita!$T$2:$T$545,"44682B2Energia convencional pré-pagamentoRuralCooperativa de eletrificação ruralNão se aplicaNão se aplicaNão se aplica",Mercado_Receita!$N$2:$N$545)</f>
        <v>0</v>
      </c>
      <c r="T31" s="13">
        <f>SUMIF(Mercado_Receita!$T$2:$T$545,"44713B2Energia convencional pré-pagamentoRuralCooperativa de eletrificação ruralNão se aplicaNão se aplicaNão se aplica",Mercado_Receita!$N$2:$N$545)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95"/>
      <c r="B32" s="95"/>
      <c r="C32" s="95"/>
      <c r="D32" s="12" t="s">
        <v>90</v>
      </c>
      <c r="E32" s="12" t="s">
        <v>25</v>
      </c>
      <c r="F32" s="12" t="s">
        <v>25</v>
      </c>
      <c r="G32" s="13" t="s">
        <v>77</v>
      </c>
      <c r="H32" s="13" t="s">
        <v>73</v>
      </c>
      <c r="I32" s="13">
        <f>SUMIF(Mercado_Receita!$T$2:$T$545,"44378B2Energia convencional pré-pagamentoRuralServiço público de irrigação ruralNão se aplicaNão se aplicaNão se aplica",Mercado_Receita!$N$2:$N$545)</f>
        <v>0</v>
      </c>
      <c r="J32" s="13">
        <f>SUMIF(Mercado_Receita!$T$2:$T$545,"44409B2Energia convencional pré-pagamentoRuralServiço público de irrigação ruralNão se aplicaNão se aplicaNão se aplica",Mercado_Receita!$N$2:$N$545)</f>
        <v>0</v>
      </c>
      <c r="K32" s="13">
        <f>SUMIF(Mercado_Receita!$T$2:$T$545,"44440B2Energia convencional pré-pagamentoRuralServiço público de irrigação ruralNão se aplicaNão se aplicaNão se aplica",Mercado_Receita!$N$2:$N$545)</f>
        <v>0</v>
      </c>
      <c r="L32" s="13">
        <f>SUMIF(Mercado_Receita!$T$2:$T$545,"44470B2Energia convencional pré-pagamentoRuralServiço público de irrigação ruralNão se aplicaNão se aplicaNão se aplica",Mercado_Receita!$N$2:$N$545)</f>
        <v>0</v>
      </c>
      <c r="M32" s="13">
        <f>SUMIF(Mercado_Receita!$T$2:$T$545,"44501B2Energia convencional pré-pagamentoRuralServiço público de irrigação ruralNão se aplicaNão se aplicaNão se aplica",Mercado_Receita!$N$2:$N$545)</f>
        <v>0</v>
      </c>
      <c r="N32" s="13">
        <f>SUMIF(Mercado_Receita!$T$2:$T$545,"44531B2Energia convencional pré-pagamentoRuralServiço público de irrigação ruralNão se aplicaNão se aplicaNão se aplica",Mercado_Receita!$N$2:$N$545)</f>
        <v>0</v>
      </c>
      <c r="O32" s="13">
        <f>SUMIF(Mercado_Receita!$T$2:$T$545,"44562B2Energia convencional pré-pagamentoRuralServiço público de irrigação ruralNão se aplicaNão se aplicaNão se aplica",Mercado_Receita!$N$2:$N$545)</f>
        <v>0</v>
      </c>
      <c r="P32" s="13">
        <f>SUMIF(Mercado_Receita!$T$2:$T$545,"44593B2Energia convencional pré-pagamentoRuralServiço público de irrigação ruralNão se aplicaNão se aplicaNão se aplica",Mercado_Receita!$N$2:$N$545)</f>
        <v>0</v>
      </c>
      <c r="Q32" s="13">
        <f>SUMIF(Mercado_Receita!$T$2:$T$545,"44621B2Energia convencional pré-pagamentoRuralServiço público de irrigação ruralNão se aplicaNão se aplicaNão se aplica",Mercado_Receita!$N$2:$N$545)</f>
        <v>0</v>
      </c>
      <c r="R32" s="13">
        <f>SUMIF(Mercado_Receita!$T$2:$T$545,"44652B2Energia convencional pré-pagamentoRuralServiço público de irrigação ruralNão se aplicaNão se aplicaNão se aplica",Mercado_Receita!$N$2:$N$545)</f>
        <v>0</v>
      </c>
      <c r="S32" s="13">
        <f>SUMIF(Mercado_Receita!$T$2:$T$545,"44682B2Energia convencional pré-pagamentoRuralServiço público de irrigação ruralNão se aplicaNão se aplicaNão se aplica",Mercado_Receita!$N$2:$N$545)</f>
        <v>0</v>
      </c>
      <c r="T32" s="13">
        <f>SUMIF(Mercado_Receita!$T$2:$T$545,"44713B2Energia convencional pré-pagamentoRuralServiço público de irrigação ruralNão se aplicaNão se aplicaNão se aplica",Mercado_Receita!$N$2:$N$545)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94" t="s">
        <v>33</v>
      </c>
      <c r="B33" s="94" t="s">
        <v>72</v>
      </c>
      <c r="C33" s="94" t="s">
        <v>25</v>
      </c>
      <c r="D33" s="94" t="s">
        <v>25</v>
      </c>
      <c r="E33" s="94" t="s">
        <v>25</v>
      </c>
      <c r="F33" s="94" t="s">
        <v>25</v>
      </c>
      <c r="G33" s="13" t="s">
        <v>74</v>
      </c>
      <c r="H33" s="13" t="s">
        <v>73</v>
      </c>
      <c r="I33" s="13">
        <f>SUMIF(Mercado_Receita!$T$2:$T$545,"44378B3Energia horáriaNão se aplicaNão se aplicaNão se aplicaNão se aplicaPonta",Mercado_Receita!$N$2:$N$545)</f>
        <v>0</v>
      </c>
      <c r="J33" s="13">
        <f>SUMIF(Mercado_Receita!$T$2:$T$545,"44409B3Energia horáriaNão se aplicaNão se aplicaNão se aplicaNão se aplicaPonta",Mercado_Receita!$N$2:$N$545)</f>
        <v>0</v>
      </c>
      <c r="K33" s="13">
        <f>SUMIF(Mercado_Receita!$T$2:$T$545,"44440B3Energia horáriaNão se aplicaNão se aplicaNão se aplicaNão se aplicaPonta",Mercado_Receita!$N$2:$N$545)</f>
        <v>0</v>
      </c>
      <c r="L33" s="13">
        <f>SUMIF(Mercado_Receita!$T$2:$T$545,"44470B3Energia horáriaNão se aplicaNão se aplicaNão se aplicaNão se aplicaPonta",Mercado_Receita!$N$2:$N$545)</f>
        <v>0</v>
      </c>
      <c r="M33" s="13">
        <f>SUMIF(Mercado_Receita!$T$2:$T$545,"44501B3Energia horáriaNão se aplicaNão se aplicaNão se aplicaNão se aplicaPonta",Mercado_Receita!$N$2:$N$545)</f>
        <v>0</v>
      </c>
      <c r="N33" s="13">
        <f>SUMIF(Mercado_Receita!$T$2:$T$545,"44531B3Energia horáriaNão se aplicaNão se aplicaNão se aplicaNão se aplicaPonta",Mercado_Receita!$N$2:$N$545)</f>
        <v>0</v>
      </c>
      <c r="O33" s="13">
        <f>SUMIF(Mercado_Receita!$T$2:$T$545,"44562B3Energia horáriaNão se aplicaNão se aplicaNão se aplicaNão se aplicaPonta",Mercado_Receita!$N$2:$N$545)</f>
        <v>0</v>
      </c>
      <c r="P33" s="13">
        <f>SUMIF(Mercado_Receita!$T$2:$T$545,"44593B3Energia horáriaNão se aplicaNão se aplicaNão se aplicaNão se aplicaPonta",Mercado_Receita!$N$2:$N$545)</f>
        <v>0</v>
      </c>
      <c r="Q33" s="13">
        <f>SUMIF(Mercado_Receita!$T$2:$T$545,"44621B3Energia horáriaNão se aplicaNão se aplicaNão se aplicaNão se aplicaPonta",Mercado_Receita!$N$2:$N$545)</f>
        <v>0</v>
      </c>
      <c r="R33" s="13">
        <f>SUMIF(Mercado_Receita!$T$2:$T$545,"44652B3Energia horáriaNão se aplicaNão se aplicaNão se aplicaNão se aplicaPonta",Mercado_Receita!$N$2:$N$545)</f>
        <v>0</v>
      </c>
      <c r="S33" s="13">
        <f>SUMIF(Mercado_Receita!$T$2:$T$545,"44682B3Energia horáriaNão se aplicaNão se aplicaNão se aplicaNão se aplicaPonta",Mercado_Receita!$N$2:$N$545)</f>
        <v>0</v>
      </c>
      <c r="T33" s="13">
        <f>SUMIF(Mercado_Receita!$T$2:$T$545,"44713B3Energia horáriaNão se aplicaNão se aplicaNão se aplicaNão se aplicaPonta",Mercado_Receita!$N$2:$N$545)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95"/>
      <c r="B34" s="95"/>
      <c r="C34" s="95"/>
      <c r="D34" s="95"/>
      <c r="E34" s="95"/>
      <c r="F34" s="95"/>
      <c r="G34" s="13" t="s">
        <v>85</v>
      </c>
      <c r="H34" s="13" t="s">
        <v>73</v>
      </c>
      <c r="I34" s="13">
        <f>SUMIF(Mercado_Receita!$T$2:$T$545,"44378B3Energia horáriaNão se aplicaNão se aplicaNão se aplicaNão se aplicaIntermediário",Mercado_Receita!$N$2:$N$545)</f>
        <v>0</v>
      </c>
      <c r="J34" s="13">
        <f>SUMIF(Mercado_Receita!$T$2:$T$545,"44409B3Energia horáriaNão se aplicaNão se aplicaNão se aplicaNão se aplicaIntermediário",Mercado_Receita!$N$2:$N$545)</f>
        <v>0</v>
      </c>
      <c r="K34" s="13">
        <f>SUMIF(Mercado_Receita!$T$2:$T$545,"44440B3Energia horáriaNão se aplicaNão se aplicaNão se aplicaNão se aplicaIntermediário",Mercado_Receita!$N$2:$N$545)</f>
        <v>0</v>
      </c>
      <c r="L34" s="13">
        <f>SUMIF(Mercado_Receita!$T$2:$T$545,"44470B3Energia horáriaNão se aplicaNão se aplicaNão se aplicaNão se aplicaIntermediário",Mercado_Receita!$N$2:$N$545)</f>
        <v>0</v>
      </c>
      <c r="M34" s="13">
        <f>SUMIF(Mercado_Receita!$T$2:$T$545,"44501B3Energia horáriaNão se aplicaNão se aplicaNão se aplicaNão se aplicaIntermediário",Mercado_Receita!$N$2:$N$545)</f>
        <v>0</v>
      </c>
      <c r="N34" s="13">
        <f>SUMIF(Mercado_Receita!$T$2:$T$545,"44531B3Energia horáriaNão se aplicaNão se aplicaNão se aplicaNão se aplicaIntermediário",Mercado_Receita!$N$2:$N$545)</f>
        <v>0</v>
      </c>
      <c r="O34" s="13">
        <f>SUMIF(Mercado_Receita!$T$2:$T$545,"44562B3Energia horáriaNão se aplicaNão se aplicaNão se aplicaNão se aplicaIntermediário",Mercado_Receita!$N$2:$N$545)</f>
        <v>0</v>
      </c>
      <c r="P34" s="13">
        <f>SUMIF(Mercado_Receita!$T$2:$T$545,"44593B3Energia horáriaNão se aplicaNão se aplicaNão se aplicaNão se aplicaIntermediário",Mercado_Receita!$N$2:$N$545)</f>
        <v>0</v>
      </c>
      <c r="Q34" s="13">
        <f>SUMIF(Mercado_Receita!$T$2:$T$545,"44621B3Energia horáriaNão se aplicaNão se aplicaNão se aplicaNão se aplicaIntermediário",Mercado_Receita!$N$2:$N$545)</f>
        <v>0</v>
      </c>
      <c r="R34" s="13">
        <f>SUMIF(Mercado_Receita!$T$2:$T$545,"44652B3Energia horáriaNão se aplicaNão se aplicaNão se aplicaNão se aplicaIntermediário",Mercado_Receita!$N$2:$N$545)</f>
        <v>0</v>
      </c>
      <c r="S34" s="13">
        <f>SUMIF(Mercado_Receita!$T$2:$T$545,"44682B3Energia horáriaNão se aplicaNão se aplicaNão se aplicaNão se aplicaIntermediário",Mercado_Receita!$N$2:$N$545)</f>
        <v>0</v>
      </c>
      <c r="T34" s="13">
        <f>SUMIF(Mercado_Receita!$T$2:$T$545,"44713B3Energia horáriaNão se aplicaNão se aplicaNão se aplicaNão se aplicaIntermediário",Mercado_Receita!$N$2:$N$545)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95"/>
      <c r="B35" s="95"/>
      <c r="C35" s="95"/>
      <c r="D35" s="95"/>
      <c r="E35" s="95"/>
      <c r="F35" s="95"/>
      <c r="G35" s="13" t="s">
        <v>75</v>
      </c>
      <c r="H35" s="13" t="s">
        <v>73</v>
      </c>
      <c r="I35" s="13">
        <f>SUMIF(Mercado_Receita!$T$2:$T$545,"44378B3Energia horáriaNão se aplicaNão se aplicaNão se aplicaNão se aplicaFora ponta",Mercado_Receita!$N$2:$N$545)</f>
        <v>0</v>
      </c>
      <c r="J35" s="13">
        <f>SUMIF(Mercado_Receita!$T$2:$T$545,"44409B3Energia horáriaNão se aplicaNão se aplicaNão se aplicaNão se aplicaFora ponta",Mercado_Receita!$N$2:$N$545)</f>
        <v>0</v>
      </c>
      <c r="K35" s="13">
        <f>SUMIF(Mercado_Receita!$T$2:$T$545,"44440B3Energia horáriaNão se aplicaNão se aplicaNão se aplicaNão se aplicaFora ponta",Mercado_Receita!$N$2:$N$545)</f>
        <v>0</v>
      </c>
      <c r="L35" s="13">
        <f>SUMIF(Mercado_Receita!$T$2:$T$545,"44470B3Energia horáriaNão se aplicaNão se aplicaNão se aplicaNão se aplicaFora ponta",Mercado_Receita!$N$2:$N$545)</f>
        <v>0</v>
      </c>
      <c r="M35" s="13">
        <f>SUMIF(Mercado_Receita!$T$2:$T$545,"44501B3Energia horáriaNão se aplicaNão se aplicaNão se aplicaNão se aplicaFora ponta",Mercado_Receita!$N$2:$N$545)</f>
        <v>0</v>
      </c>
      <c r="N35" s="13">
        <f>SUMIF(Mercado_Receita!$T$2:$T$545,"44531B3Energia horáriaNão se aplicaNão se aplicaNão se aplicaNão se aplicaFora ponta",Mercado_Receita!$N$2:$N$545)</f>
        <v>0</v>
      </c>
      <c r="O35" s="13">
        <f>SUMIF(Mercado_Receita!$T$2:$T$545,"44562B3Energia horáriaNão se aplicaNão se aplicaNão se aplicaNão se aplicaFora ponta",Mercado_Receita!$N$2:$N$545)</f>
        <v>0</v>
      </c>
      <c r="P35" s="13">
        <f>SUMIF(Mercado_Receita!$T$2:$T$545,"44593B3Energia horáriaNão se aplicaNão se aplicaNão se aplicaNão se aplicaFora ponta",Mercado_Receita!$N$2:$N$545)</f>
        <v>0</v>
      </c>
      <c r="Q35" s="13">
        <f>SUMIF(Mercado_Receita!$T$2:$T$545,"44621B3Energia horáriaNão se aplicaNão se aplicaNão se aplicaNão se aplicaFora ponta",Mercado_Receita!$N$2:$N$545)</f>
        <v>0</v>
      </c>
      <c r="R35" s="13">
        <f>SUMIF(Mercado_Receita!$T$2:$T$545,"44652B3Energia horáriaNão se aplicaNão se aplicaNão se aplicaNão se aplicaFora ponta",Mercado_Receita!$N$2:$N$545)</f>
        <v>0</v>
      </c>
      <c r="S35" s="13">
        <f>SUMIF(Mercado_Receita!$T$2:$T$545,"44682B3Energia horáriaNão se aplicaNão se aplicaNão se aplicaNão se aplicaFora ponta",Mercado_Receita!$N$2:$N$545)</f>
        <v>0</v>
      </c>
      <c r="T35" s="13">
        <f>SUMIF(Mercado_Receita!$T$2:$T$545,"44713B3Energia horáriaNão se aplicaNão se aplicaNão se aplicaNão se aplicaFora ponta",Mercado_Receita!$N$2:$N$545)</f>
        <v>0</v>
      </c>
      <c r="U35" s="13">
        <f t="shared" si="0"/>
        <v>0</v>
      </c>
      <c r="V35" s="13"/>
      <c r="W35" s="13"/>
    </row>
    <row r="36" spans="1:23" ht="11.25" customHeight="1" x14ac:dyDescent="0.25">
      <c r="A36" s="95"/>
      <c r="B36" s="12" t="s">
        <v>76</v>
      </c>
      <c r="C36" s="12" t="s">
        <v>25</v>
      </c>
      <c r="D36" s="12" t="s">
        <v>25</v>
      </c>
      <c r="E36" s="12" t="s">
        <v>25</v>
      </c>
      <c r="F36" s="12" t="s">
        <v>25</v>
      </c>
      <c r="G36" s="13" t="s">
        <v>77</v>
      </c>
      <c r="H36" s="13" t="s">
        <v>73</v>
      </c>
      <c r="I36" s="13">
        <f>SUMIF(Mercado_Receita!$T$2:$T$545,"44378B3Energia convencionalNão se aplicaNão se aplicaNão se aplicaNão se aplicaNão se aplica",Mercado_Receita!$N$2:$N$545)</f>
        <v>261.52299999999997</v>
      </c>
      <c r="J36" s="13">
        <f>SUMIF(Mercado_Receita!$T$2:$T$545,"44409B3Energia convencionalNão se aplicaNão se aplicaNão se aplicaNão se aplicaNão se aplica",Mercado_Receita!$N$2:$N$545)</f>
        <v>237.39699999999999</v>
      </c>
      <c r="K36" s="13">
        <f>SUMIF(Mercado_Receita!$T$2:$T$545,"44440B3Energia convencionalNão se aplicaNão se aplicaNão se aplicaNão se aplicaNão se aplica",Mercado_Receita!$N$2:$N$545)</f>
        <v>240.11100000000002</v>
      </c>
      <c r="L36" s="13">
        <f>SUMIF(Mercado_Receita!$T$2:$T$545,"44470B3Energia convencionalNão se aplicaNão se aplicaNão se aplicaNão se aplicaNão se aplica",Mercado_Receita!$N$2:$N$545)</f>
        <v>243.85</v>
      </c>
      <c r="M36" s="13">
        <f>SUMIF(Mercado_Receita!$T$2:$T$545,"44501B3Energia convencionalNão se aplicaNão se aplicaNão se aplicaNão se aplicaNão se aplica",Mercado_Receita!$N$2:$N$545)</f>
        <v>249.94100000000003</v>
      </c>
      <c r="N36" s="13">
        <f>SUMIF(Mercado_Receita!$T$2:$T$545,"44531B3Energia convencionalNão se aplicaNão se aplicaNão se aplicaNão se aplicaNão se aplica",Mercado_Receita!$N$2:$N$545)</f>
        <v>297.21899999999999</v>
      </c>
      <c r="O36" s="13">
        <f>SUMIF(Mercado_Receita!$T$2:$T$545,"44562B3Energia convencionalNão se aplicaNão se aplicaNão se aplicaNão se aplicaNão se aplica",Mercado_Receita!$N$2:$N$545)</f>
        <v>291.70099999999996</v>
      </c>
      <c r="P36" s="13">
        <f>SUMIF(Mercado_Receita!$T$2:$T$545,"44593B3Energia convencionalNão se aplicaNão se aplicaNão se aplicaNão se aplicaNão se aplica",Mercado_Receita!$N$2:$N$545)</f>
        <v>269.50400000000002</v>
      </c>
      <c r="Q36" s="13">
        <f>SUMIF(Mercado_Receita!$T$2:$T$545,"44621B3Energia convencionalNão se aplicaNão se aplicaNão se aplicaNão se aplicaNão se aplica",Mercado_Receita!$N$2:$N$545)</f>
        <v>250.77199999999996</v>
      </c>
      <c r="R36" s="13">
        <f>SUMIF(Mercado_Receita!$T$2:$T$545,"44652B3Energia convencionalNão se aplicaNão se aplicaNão se aplicaNão se aplicaNão se aplica",Mercado_Receita!$N$2:$N$545)</f>
        <v>267.40699999999998</v>
      </c>
      <c r="S36" s="13">
        <f>SUMIF(Mercado_Receita!$T$2:$T$545,"44682B3Energia convencionalNão se aplicaNão se aplicaNão se aplicaNão se aplicaNão se aplica",Mercado_Receita!$N$2:$N$545)</f>
        <v>256.49499999999995</v>
      </c>
      <c r="T36" s="13">
        <f>SUMIF(Mercado_Receita!$T$2:$T$545,"44713B3Energia convencionalNão se aplicaNão se aplicaNão se aplicaNão se aplicaNão se aplica",Mercado_Receita!$N$2:$N$545)</f>
        <v>296.49600000000004</v>
      </c>
      <c r="U36" s="13">
        <f t="shared" si="0"/>
        <v>3162.4160000000002</v>
      </c>
      <c r="V36" s="13"/>
      <c r="W36" s="13"/>
    </row>
    <row r="37" spans="1:23" ht="11.25" customHeight="1" x14ac:dyDescent="0.25">
      <c r="A37" s="95"/>
      <c r="B37" s="12" t="s">
        <v>87</v>
      </c>
      <c r="C37" s="12" t="s">
        <v>25</v>
      </c>
      <c r="D37" s="12" t="s">
        <v>25</v>
      </c>
      <c r="E37" s="12" t="s">
        <v>25</v>
      </c>
      <c r="F37" s="12" t="s">
        <v>25</v>
      </c>
      <c r="G37" s="13" t="s">
        <v>77</v>
      </c>
      <c r="H37" s="13" t="s">
        <v>73</v>
      </c>
      <c r="I37" s="13">
        <f>SUMIF(Mercado_Receita!$T$2:$T$545,"44378B3Energia convencional pré-pagamentoNão se aplicaNão se aplicaNão se aplicaNão se aplicaNão se aplica",Mercado_Receita!$N$2:$N$545)</f>
        <v>0</v>
      </c>
      <c r="J37" s="13">
        <f>SUMIF(Mercado_Receita!$T$2:$T$545,"44409B3Energia convencional pré-pagamentoNão se aplicaNão se aplicaNão se aplicaNão se aplicaNão se aplica",Mercado_Receita!$N$2:$N$545)</f>
        <v>0</v>
      </c>
      <c r="K37" s="13">
        <f>SUMIF(Mercado_Receita!$T$2:$T$545,"44440B3Energia convencional pré-pagamentoNão se aplicaNão se aplicaNão se aplicaNão se aplicaNão se aplica",Mercado_Receita!$N$2:$N$545)</f>
        <v>0</v>
      </c>
      <c r="L37" s="13">
        <f>SUMIF(Mercado_Receita!$T$2:$T$545,"44470B3Energia convencional pré-pagamentoNão se aplicaNão se aplicaNão se aplicaNão se aplicaNão se aplica",Mercado_Receita!$N$2:$N$545)</f>
        <v>0</v>
      </c>
      <c r="M37" s="13">
        <f>SUMIF(Mercado_Receita!$T$2:$T$545,"44501B3Energia convencional pré-pagamentoNão se aplicaNão se aplicaNão se aplicaNão se aplicaNão se aplica",Mercado_Receita!$N$2:$N$545)</f>
        <v>0</v>
      </c>
      <c r="N37" s="13">
        <f>SUMIF(Mercado_Receita!$T$2:$T$545,"44531B3Energia convencional pré-pagamentoNão se aplicaNão se aplicaNão se aplicaNão se aplicaNão se aplica",Mercado_Receita!$N$2:$N$545)</f>
        <v>0</v>
      </c>
      <c r="O37" s="13">
        <f>SUMIF(Mercado_Receita!$T$2:$T$545,"44562B3Energia convencional pré-pagamentoNão se aplicaNão se aplicaNão se aplicaNão se aplicaNão se aplica",Mercado_Receita!$N$2:$N$545)</f>
        <v>0</v>
      </c>
      <c r="P37" s="13">
        <f>SUMIF(Mercado_Receita!$T$2:$T$545,"44593B3Energia convencional pré-pagamentoNão se aplicaNão se aplicaNão se aplicaNão se aplicaNão se aplica",Mercado_Receita!$N$2:$N$545)</f>
        <v>0</v>
      </c>
      <c r="Q37" s="13">
        <f>SUMIF(Mercado_Receita!$T$2:$T$545,"44621B3Energia convencional pré-pagamentoNão se aplicaNão se aplicaNão se aplicaNão se aplicaNão se aplica",Mercado_Receita!$N$2:$N$545)</f>
        <v>0</v>
      </c>
      <c r="R37" s="13">
        <f>SUMIF(Mercado_Receita!$T$2:$T$545,"44652B3Energia convencional pré-pagamentoNão se aplicaNão se aplicaNão se aplicaNão se aplicaNão se aplica",Mercado_Receita!$N$2:$N$545)</f>
        <v>0</v>
      </c>
      <c r="S37" s="13">
        <f>SUMIF(Mercado_Receita!$T$2:$T$545,"44682B3Energia convencional pré-pagamentoNão se aplicaNão se aplicaNão se aplicaNão se aplicaNão se aplica",Mercado_Receita!$N$2:$N$545)</f>
        <v>0</v>
      </c>
      <c r="T37" s="13">
        <f>SUMIF(Mercado_Receita!$T$2:$T$545,"44713B3Energia convencional pré-pagamentoNão se aplicaNão se aplicaNão se aplicaNão se aplicaNão se aplica",Mercado_Receita!$N$2:$N$545)</f>
        <v>0</v>
      </c>
      <c r="U37" s="13">
        <f t="shared" si="0"/>
        <v>0</v>
      </c>
      <c r="V37" s="13"/>
      <c r="W37" s="13"/>
    </row>
    <row r="38" spans="1:23" ht="11.25" customHeight="1" x14ac:dyDescent="0.25">
      <c r="A38" s="94" t="s">
        <v>44</v>
      </c>
      <c r="B38" s="94" t="s">
        <v>76</v>
      </c>
      <c r="C38" s="94" t="s">
        <v>45</v>
      </c>
      <c r="D38" s="12" t="s">
        <v>46</v>
      </c>
      <c r="E38" s="12" t="s">
        <v>25</v>
      </c>
      <c r="F38" s="12" t="s">
        <v>25</v>
      </c>
      <c r="G38" s="13" t="s">
        <v>77</v>
      </c>
      <c r="H38" s="13" t="s">
        <v>73</v>
      </c>
      <c r="I38" s="13">
        <f>SUMIF(Mercado_Receita!$T$2:$T$545,"44378B4Energia convencionalIluminação públicaIluminação pública – B4aNão se aplicaNão se aplicaNão se aplica",Mercado_Receita!$N$2:$N$545)</f>
        <v>70.344999999999999</v>
      </c>
      <c r="J38" s="13">
        <f>SUMIF(Mercado_Receita!$T$2:$T$545,"44409B4Energia convencionalIluminação públicaIluminação pública – B4aNão se aplicaNão se aplicaNão se aplica",Mercado_Receita!$N$2:$N$545)</f>
        <v>74.613</v>
      </c>
      <c r="K38" s="13">
        <f>SUMIF(Mercado_Receita!$T$2:$T$545,"44440B4Energia convencionalIluminação públicaIluminação pública – B4aNão se aplicaNão se aplicaNão se aplica",Mercado_Receita!$N$2:$N$545)</f>
        <v>74.100999999999999</v>
      </c>
      <c r="L38" s="13">
        <f>SUMIF(Mercado_Receita!$T$2:$T$545,"44470B4Energia convencionalIluminação públicaIluminação pública – B4aNão se aplicaNão se aplicaNão se aplica",Mercado_Receita!$N$2:$N$545)</f>
        <v>75.506</v>
      </c>
      <c r="M38" s="13">
        <f>SUMIF(Mercado_Receita!$T$2:$T$545,"44501B4Energia convencionalIluminação públicaIluminação pública – B4aNão se aplicaNão se aplicaNão se aplica",Mercado_Receita!$N$2:$N$545)</f>
        <v>73.221999999999994</v>
      </c>
      <c r="N38" s="13">
        <f>SUMIF(Mercado_Receita!$T$2:$T$545,"44531B4Energia convencionalIluminação públicaIluminação pública – B4aNão se aplicaNão se aplicaNão se aplica",Mercado_Receita!$N$2:$N$545)</f>
        <v>85.138000000000005</v>
      </c>
      <c r="O38" s="13">
        <f>SUMIF(Mercado_Receita!$T$2:$T$545,"44562B4Energia convencionalIluminação públicaIluminação pública – B4aNão se aplicaNão se aplicaNão se aplica",Mercado_Receita!$N$2:$N$545)</f>
        <v>76.95</v>
      </c>
      <c r="P38" s="13">
        <f>SUMIF(Mercado_Receita!$T$2:$T$545,"44593B4Energia convencionalIluminação públicaIluminação pública – B4aNão se aplicaNão se aplicaNão se aplica",Mercado_Receita!$N$2:$N$545)</f>
        <v>75.739999999999995</v>
      </c>
      <c r="Q38" s="13">
        <f>SUMIF(Mercado_Receita!$T$2:$T$545,"44621B4Energia convencionalIluminação públicaIluminação pública – B4aNão se aplicaNão se aplicaNão se aplica",Mercado_Receita!$N$2:$N$545)</f>
        <v>75.369</v>
      </c>
      <c r="R38" s="13">
        <f>SUMIF(Mercado_Receita!$T$2:$T$545,"44652B4Energia convencionalIluminação públicaIluminação pública – B4aNão se aplicaNão se aplicaNão se aplica",Mercado_Receita!$N$2:$N$545)</f>
        <v>73.501999999999995</v>
      </c>
      <c r="S38" s="13">
        <f>SUMIF(Mercado_Receita!$T$2:$T$545,"44682B4Energia convencionalIluminação públicaIluminação pública – B4aNão se aplicaNão se aplicaNão se aplica",Mercado_Receita!$N$2:$N$545)</f>
        <v>75.978999999999999</v>
      </c>
      <c r="T38" s="13">
        <f>SUMIF(Mercado_Receita!$T$2:$T$545,"44713B4Energia convencionalIluminação públicaIluminação pública – B4aNão se aplicaNão se aplicaNão se aplica",Mercado_Receita!$N$2:$N$545)</f>
        <v>75.396000000000001</v>
      </c>
      <c r="U38" s="13">
        <f t="shared" si="0"/>
        <v>905.86099999999999</v>
      </c>
      <c r="V38" s="13"/>
      <c r="W38" s="13"/>
    </row>
    <row r="39" spans="1:23" ht="11.25" customHeight="1" x14ac:dyDescent="0.25">
      <c r="A39" s="95"/>
      <c r="B39" s="95"/>
      <c r="C39" s="95"/>
      <c r="D39" s="13" t="s">
        <v>91</v>
      </c>
      <c r="E39" s="13" t="s">
        <v>25</v>
      </c>
      <c r="F39" s="13" t="s">
        <v>25</v>
      </c>
      <c r="G39" s="13" t="s">
        <v>77</v>
      </c>
      <c r="H39" s="13" t="s">
        <v>73</v>
      </c>
      <c r="I39" s="13">
        <f>SUMIF(Mercado_Receita!$T$2:$T$545,"44378B4Energia convencionalIluminação públicaIluminação pública – B4bNão se aplicaNão se aplicaNão se aplica",Mercado_Receita!$N$2:$N$545)</f>
        <v>0</v>
      </c>
      <c r="J39" s="13">
        <f>SUMIF(Mercado_Receita!$T$2:$T$545,"44409B4Energia convencionalIluminação públicaIluminação pública – B4bNão se aplicaNão se aplicaNão se aplica",Mercado_Receita!$N$2:$N$545)</f>
        <v>0</v>
      </c>
      <c r="K39" s="13">
        <f>SUMIF(Mercado_Receita!$T$2:$T$545,"44440B4Energia convencionalIluminação públicaIluminação pública – B4bNão se aplicaNão se aplicaNão se aplica",Mercado_Receita!$N$2:$N$545)</f>
        <v>0</v>
      </c>
      <c r="L39" s="13">
        <f>SUMIF(Mercado_Receita!$T$2:$T$545,"44470B4Energia convencionalIluminação públicaIluminação pública – B4bNão se aplicaNão se aplicaNão se aplica",Mercado_Receita!$N$2:$N$545)</f>
        <v>0</v>
      </c>
      <c r="M39" s="13">
        <f>SUMIF(Mercado_Receita!$T$2:$T$545,"44501B4Energia convencionalIluminação públicaIluminação pública – B4bNão se aplicaNão se aplicaNão se aplica",Mercado_Receita!$N$2:$N$545)</f>
        <v>0</v>
      </c>
      <c r="N39" s="13">
        <f>SUMIF(Mercado_Receita!$T$2:$T$545,"44531B4Energia convencionalIluminação públicaIluminação pública – B4bNão se aplicaNão se aplicaNão se aplica",Mercado_Receita!$N$2:$N$545)</f>
        <v>0</v>
      </c>
      <c r="O39" s="13">
        <f>SUMIF(Mercado_Receita!$T$2:$T$545,"44562B4Energia convencionalIluminação públicaIluminação pública – B4bNão se aplicaNão se aplicaNão se aplica",Mercado_Receita!$N$2:$N$545)</f>
        <v>0</v>
      </c>
      <c r="P39" s="13">
        <f>SUMIF(Mercado_Receita!$T$2:$T$545,"44593B4Energia convencionalIluminação públicaIluminação pública – B4bNão se aplicaNão se aplicaNão se aplica",Mercado_Receita!$N$2:$N$545)</f>
        <v>0</v>
      </c>
      <c r="Q39" s="13">
        <f>SUMIF(Mercado_Receita!$T$2:$T$545,"44621B4Energia convencionalIluminação públicaIluminação pública – B4bNão se aplicaNão se aplicaNão se aplica",Mercado_Receita!$N$2:$N$545)</f>
        <v>0</v>
      </c>
      <c r="R39" s="13">
        <f>SUMIF(Mercado_Receita!$T$2:$T$545,"44652B4Energia convencionalIluminação públicaIluminação pública – B4bNão se aplicaNão se aplicaNão se aplica",Mercado_Receita!$N$2:$N$545)</f>
        <v>0</v>
      </c>
      <c r="S39" s="13">
        <f>SUMIF(Mercado_Receita!$T$2:$T$545,"44682B4Energia convencionalIluminação públicaIluminação pública – B4bNão se aplicaNão se aplicaNão se aplica",Mercado_Receita!$N$2:$N$545)</f>
        <v>0</v>
      </c>
      <c r="T39" s="13">
        <f>SUMIF(Mercado_Receita!$T$2:$T$545,"44713B4Energia convencionalIluminação públicaIluminação pública – B4bNão se aplicaNão se aplicaNão se aplica",Mercado_Receita!$N$2:$N$545)</f>
        <v>0</v>
      </c>
      <c r="U39" s="13">
        <f t="shared" si="0"/>
        <v>0</v>
      </c>
      <c r="V39" s="13"/>
      <c r="W39" s="13"/>
    </row>
    <row r="40" spans="1:23" ht="11.25" customHeight="1" x14ac:dyDescent="0.25">
      <c r="A40" s="96" t="s">
        <v>386</v>
      </c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13"/>
      <c r="W40" s="13"/>
    </row>
  </sheetData>
  <mergeCells count="44">
    <mergeCell ref="A38:A39"/>
    <mergeCell ref="B38:B39"/>
    <mergeCell ref="C38:C39"/>
    <mergeCell ref="A40:U40"/>
    <mergeCell ref="C30:C32"/>
    <mergeCell ref="B30:B32"/>
    <mergeCell ref="A18:A32"/>
    <mergeCell ref="F33:F35"/>
    <mergeCell ref="E33:E35"/>
    <mergeCell ref="D33:D35"/>
    <mergeCell ref="C33:C35"/>
    <mergeCell ref="B33:B35"/>
    <mergeCell ref="A33:A37"/>
    <mergeCell ref="F22:F24"/>
    <mergeCell ref="E22:E24"/>
    <mergeCell ref="D22:D24"/>
    <mergeCell ref="C22:C24"/>
    <mergeCell ref="B22:B24"/>
    <mergeCell ref="F26:F28"/>
    <mergeCell ref="E26:E28"/>
    <mergeCell ref="D26:D28"/>
    <mergeCell ref="C26:C28"/>
    <mergeCell ref="B26:B28"/>
    <mergeCell ref="C13:C17"/>
    <mergeCell ref="B13:B17"/>
    <mergeCell ref="A5:A17"/>
    <mergeCell ref="F18:F20"/>
    <mergeCell ref="E18:E20"/>
    <mergeCell ref="D18:D20"/>
    <mergeCell ref="C18:C20"/>
    <mergeCell ref="B18:B20"/>
    <mergeCell ref="F5:F7"/>
    <mergeCell ref="E5:E7"/>
    <mergeCell ref="D5:D7"/>
    <mergeCell ref="C5:C7"/>
    <mergeCell ref="B5:B7"/>
    <mergeCell ref="C8:C12"/>
    <mergeCell ref="B8:B12"/>
    <mergeCell ref="A2:A4"/>
    <mergeCell ref="F2:F3"/>
    <mergeCell ref="E2:E3"/>
    <mergeCell ref="D2:D3"/>
    <mergeCell ref="C2:C3"/>
    <mergeCell ref="B2:B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D364-8B68-4AB1-BD14-2901886E58E8}">
  <dimension ref="A1:AD200"/>
  <sheetViews>
    <sheetView showGridLines="0" workbookViewId="0">
      <selection activeCell="A2" sqref="A2:A29"/>
    </sheetView>
  </sheetViews>
  <sheetFormatPr defaultRowHeight="12" customHeight="1" x14ac:dyDescent="0.2"/>
  <cols>
    <col min="1" max="1" width="10.5703125" style="14" bestFit="1" customWidth="1"/>
    <col min="2" max="2" width="14.42578125" style="14" bestFit="1" customWidth="1"/>
    <col min="3" max="3" width="18.42578125" style="14" bestFit="1" customWidth="1"/>
    <col min="4" max="4" width="15" style="14" bestFit="1" customWidth="1"/>
    <col min="5" max="5" width="14.5703125" style="14" bestFit="1" customWidth="1"/>
    <col min="6" max="6" width="4.42578125" style="14" bestFit="1" customWidth="1"/>
    <col min="7" max="11" width="9.140625" style="14"/>
    <col min="12" max="12" width="34.140625" style="14" bestFit="1" customWidth="1"/>
    <col min="13" max="13" width="10.85546875" style="14" bestFit="1" customWidth="1"/>
    <col min="14" max="14" width="9.140625" style="14"/>
    <col min="15" max="15" width="30.7109375" style="14" customWidth="1"/>
    <col min="16" max="16" width="8.7109375" style="14" bestFit="1" customWidth="1"/>
    <col min="17" max="16384" width="9.140625" style="14"/>
  </cols>
  <sheetData>
    <row r="1" spans="1:30" ht="12" customHeight="1" x14ac:dyDescent="0.2">
      <c r="A1" s="10" t="s">
        <v>426</v>
      </c>
      <c r="B1" s="10" t="s">
        <v>427</v>
      </c>
      <c r="C1" s="10" t="s">
        <v>428</v>
      </c>
      <c r="D1" s="10" t="s">
        <v>429</v>
      </c>
      <c r="E1" s="10" t="s">
        <v>430</v>
      </c>
      <c r="F1" s="10" t="s">
        <v>431</v>
      </c>
      <c r="G1" s="7"/>
      <c r="H1" s="7"/>
      <c r="I1" s="7"/>
      <c r="J1" s="7"/>
      <c r="K1" s="7"/>
      <c r="L1" s="98" t="s">
        <v>432</v>
      </c>
      <c r="M1" s="105"/>
      <c r="N1" s="7"/>
      <c r="O1" s="98" t="s">
        <v>519</v>
      </c>
      <c r="P1" s="99"/>
      <c r="Q1" s="99"/>
      <c r="R1" s="99"/>
      <c r="S1" s="99"/>
      <c r="T1" s="99"/>
      <c r="U1" s="99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106" t="s">
        <v>387</v>
      </c>
      <c r="B2" s="106" t="s">
        <v>388</v>
      </c>
      <c r="C2" s="16" t="s">
        <v>473</v>
      </c>
      <c r="D2" s="13">
        <v>0</v>
      </c>
      <c r="E2" s="13">
        <v>0</v>
      </c>
      <c r="F2" s="13">
        <v>0</v>
      </c>
      <c r="G2" s="15"/>
      <c r="H2" s="15"/>
      <c r="I2" s="15"/>
      <c r="J2" s="15"/>
      <c r="K2" s="15"/>
      <c r="L2" s="13" t="s">
        <v>433</v>
      </c>
      <c r="M2" s="17">
        <v>9.6199999999999994E-2</v>
      </c>
      <c r="N2" s="15"/>
      <c r="O2" s="34" t="s">
        <v>520</v>
      </c>
      <c r="P2" s="34" t="s">
        <v>521</v>
      </c>
      <c r="Q2" s="34" t="s">
        <v>522</v>
      </c>
      <c r="R2" s="34" t="s">
        <v>35</v>
      </c>
      <c r="S2" s="34" t="s">
        <v>523</v>
      </c>
      <c r="T2" s="34" t="s">
        <v>82</v>
      </c>
      <c r="U2" s="34"/>
      <c r="V2" s="15"/>
      <c r="W2" s="15"/>
      <c r="X2" s="13" t="s">
        <v>486</v>
      </c>
      <c r="Y2" s="15"/>
      <c r="Z2" s="15"/>
      <c r="AA2" s="15" t="s">
        <v>531</v>
      </c>
      <c r="AB2" s="15"/>
      <c r="AC2" s="15"/>
      <c r="AD2" s="15"/>
    </row>
    <row r="3" spans="1:30" ht="12" customHeight="1" x14ac:dyDescent="0.2">
      <c r="A3" s="107"/>
      <c r="B3" s="107"/>
      <c r="C3" s="16" t="s">
        <v>389</v>
      </c>
      <c r="D3" s="13">
        <v>114961.70757555132</v>
      </c>
      <c r="E3" s="13">
        <v>1046.1611809446795</v>
      </c>
      <c r="F3" s="13">
        <v>0</v>
      </c>
      <c r="G3" s="15"/>
      <c r="H3" s="15"/>
      <c r="I3" s="15"/>
      <c r="J3" s="15"/>
      <c r="K3" s="15"/>
      <c r="L3" s="13" t="s">
        <v>434</v>
      </c>
      <c r="M3" s="17"/>
      <c r="N3" s="15"/>
      <c r="O3" s="35">
        <v>1</v>
      </c>
      <c r="P3" s="35">
        <v>1</v>
      </c>
      <c r="Q3" s="35">
        <v>1</v>
      </c>
      <c r="R3" s="35">
        <v>1</v>
      </c>
      <c r="S3" s="35">
        <v>1</v>
      </c>
      <c r="T3" s="35">
        <v>1</v>
      </c>
      <c r="U3" s="35" t="s">
        <v>524</v>
      </c>
      <c r="V3" s="15"/>
      <c r="W3" s="15"/>
      <c r="X3" s="13" t="s">
        <v>487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107"/>
      <c r="B4" s="107"/>
      <c r="C4" s="16" t="s">
        <v>390</v>
      </c>
      <c r="D4" s="13">
        <f>$M$22-D$30</f>
        <v>0</v>
      </c>
      <c r="E4" s="13">
        <f>IF((D4+D$30)&lt;&gt;0,$M$20*D4/(D4+D$30),0)</f>
        <v>0</v>
      </c>
      <c r="F4" s="13">
        <f>IF((D4+D$30)&lt;&gt;0,$M$21*D4/(D4+D$30),0)</f>
        <v>0</v>
      </c>
      <c r="G4" s="15"/>
      <c r="H4" s="15"/>
      <c r="I4" s="15"/>
      <c r="J4" s="15"/>
      <c r="K4" s="15"/>
      <c r="L4" s="13" t="s">
        <v>435</v>
      </c>
      <c r="M4" s="17">
        <v>0.10704236088323049</v>
      </c>
      <c r="N4" s="15"/>
      <c r="O4" s="35">
        <v>1</v>
      </c>
      <c r="P4" s="35">
        <v>1</v>
      </c>
      <c r="Q4" s="35">
        <v>1</v>
      </c>
      <c r="R4" s="71">
        <v>0.5</v>
      </c>
      <c r="S4" s="35">
        <v>1</v>
      </c>
      <c r="T4" s="35">
        <v>1</v>
      </c>
      <c r="U4" s="35" t="s">
        <v>53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107"/>
      <c r="B5" s="107"/>
      <c r="C5" s="16" t="s">
        <v>391</v>
      </c>
      <c r="D5" s="13">
        <v>0</v>
      </c>
      <c r="E5" s="13"/>
      <c r="F5" s="13"/>
      <c r="G5" s="15"/>
      <c r="H5" s="15"/>
      <c r="I5" s="15"/>
      <c r="J5" s="15"/>
      <c r="K5" s="15"/>
      <c r="L5" s="13" t="s">
        <v>436</v>
      </c>
      <c r="M5" s="17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107"/>
      <c r="B6" s="107"/>
      <c r="C6" s="16" t="s">
        <v>392</v>
      </c>
      <c r="D6" s="13">
        <v>0</v>
      </c>
      <c r="E6" s="13">
        <v>0</v>
      </c>
      <c r="F6" s="13">
        <v>0</v>
      </c>
      <c r="G6" s="15"/>
      <c r="H6" s="15"/>
      <c r="I6" s="15"/>
      <c r="J6" s="15"/>
      <c r="K6" s="15"/>
      <c r="L6" s="13" t="s">
        <v>437</v>
      </c>
      <c r="M6" s="17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107"/>
      <c r="B7" s="107"/>
      <c r="C7" s="16" t="s">
        <v>393</v>
      </c>
      <c r="D7" s="13">
        <v>5828451.8683099989</v>
      </c>
      <c r="E7" s="13">
        <v>-1148.2595915282764</v>
      </c>
      <c r="F7" s="13">
        <v>0</v>
      </c>
      <c r="G7" s="15"/>
      <c r="H7" s="15"/>
      <c r="I7" s="15"/>
      <c r="J7" s="15"/>
      <c r="K7" s="15"/>
      <c r="L7" s="13" t="s">
        <v>438</v>
      </c>
      <c r="M7" s="13">
        <f>M8+M9+M10+M11</f>
        <v>9216.6522471169355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107"/>
      <c r="B8" s="107"/>
      <c r="C8" s="16" t="s">
        <v>394</v>
      </c>
      <c r="D8" s="13">
        <v>1015947.5651999997</v>
      </c>
      <c r="E8" s="13">
        <v>-1845.0275000651886</v>
      </c>
      <c r="F8" s="13">
        <v>0</v>
      </c>
      <c r="G8" s="15"/>
      <c r="H8" s="15"/>
      <c r="I8" s="15"/>
      <c r="J8" s="15"/>
      <c r="K8" s="15"/>
      <c r="L8" s="18" t="s">
        <v>439</v>
      </c>
      <c r="M8" s="13">
        <v>6463.1312871169357</v>
      </c>
      <c r="N8" s="15"/>
      <c r="O8" s="13" t="s">
        <v>472</v>
      </c>
      <c r="P8" s="22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107"/>
      <c r="B9" s="107"/>
      <c r="C9" s="16" t="s">
        <v>395</v>
      </c>
      <c r="D9" s="13"/>
      <c r="E9" s="13"/>
      <c r="F9" s="13"/>
      <c r="G9" s="15"/>
      <c r="H9" s="15"/>
      <c r="I9" s="15"/>
      <c r="J9" s="15"/>
      <c r="K9" s="15"/>
      <c r="L9" s="19" t="s">
        <v>440</v>
      </c>
      <c r="M9" s="13">
        <v>0</v>
      </c>
      <c r="N9" s="15"/>
      <c r="O9" s="13" t="s">
        <v>477</v>
      </c>
      <c r="P9" s="22">
        <f>SUM(Mercado_Receita!$J$2:$J$545)</f>
        <v>218495</v>
      </c>
      <c r="Q9" s="22">
        <v>218495</v>
      </c>
      <c r="R9" s="22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107"/>
      <c r="B10" s="108"/>
      <c r="C10" s="16" t="s">
        <v>396</v>
      </c>
      <c r="D10" s="13">
        <f>SUM(D$2:D9)</f>
        <v>6959361.1410855502</v>
      </c>
      <c r="E10" s="13">
        <f>SUM(E$2:E9)</f>
        <v>-1947.1259106487855</v>
      </c>
      <c r="F10" s="13">
        <f>SUM(F$2:F9)</f>
        <v>0</v>
      </c>
      <c r="G10" s="15"/>
      <c r="H10" s="15"/>
      <c r="I10" s="15"/>
      <c r="J10" s="15"/>
      <c r="K10" s="15"/>
      <c r="L10" s="18" t="s">
        <v>441</v>
      </c>
      <c r="M10" s="13">
        <v>226.73084104015632</v>
      </c>
      <c r="N10" s="15"/>
      <c r="O10" s="13" t="s">
        <v>478</v>
      </c>
      <c r="P10" s="22">
        <f>SUM(Mercado_Receita!$L$2:$L$545)</f>
        <v>72028.032000000007</v>
      </c>
      <c r="Q10" s="22">
        <v>72028.032000000007</v>
      </c>
      <c r="R10" s="22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107"/>
      <c r="B11" s="106" t="s">
        <v>397</v>
      </c>
      <c r="C11" s="16" t="s">
        <v>398</v>
      </c>
      <c r="D11" s="13">
        <v>0</v>
      </c>
      <c r="E11" s="13">
        <v>0</v>
      </c>
      <c r="F11" s="13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18" t="s">
        <v>442</v>
      </c>
      <c r="M11" s="13">
        <v>2526.7901189598433</v>
      </c>
      <c r="N11" s="15"/>
      <c r="O11" s="13" t="s">
        <v>479</v>
      </c>
      <c r="P11" s="22">
        <f>SUM(Mercado_Receita!$N$2:$N$545)</f>
        <v>72028.032000000007</v>
      </c>
      <c r="Q11" s="22">
        <v>72028.032000000007</v>
      </c>
      <c r="R11" s="22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107"/>
      <c r="B12" s="107"/>
      <c r="C12" s="16" t="s">
        <v>399</v>
      </c>
      <c r="D12" s="13">
        <v>0</v>
      </c>
      <c r="E12" s="13">
        <v>0</v>
      </c>
      <c r="F12" s="13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13" t="s">
        <v>443</v>
      </c>
      <c r="M12" s="13">
        <v>81244.684247116907</v>
      </c>
      <c r="N12" s="15"/>
      <c r="O12" s="13" t="s">
        <v>480</v>
      </c>
      <c r="P12" s="22">
        <f>SUMIF('MERCADO TUSD'!$H$2:$H$48,"kW",'MERCADO TUSD'!$U$2:$U$48)</f>
        <v>218495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107"/>
      <c r="B13" s="107"/>
      <c r="C13" s="16" t="s">
        <v>400</v>
      </c>
      <c r="D13" s="13">
        <f>-$M$51+0</f>
        <v>0</v>
      </c>
      <c r="E13" s="13"/>
      <c r="F13" s="13"/>
      <c r="G13" s="15"/>
      <c r="H13" s="15"/>
      <c r="I13" s="15"/>
      <c r="J13" s="15"/>
      <c r="K13" s="15"/>
      <c r="L13" s="13" t="s">
        <v>444</v>
      </c>
      <c r="M13" s="13">
        <v>1315.9466470225534</v>
      </c>
      <c r="N13" s="15"/>
      <c r="O13" s="13" t="s">
        <v>481</v>
      </c>
      <c r="P13" s="22">
        <f>SUMIF('MERCADO TUSD'!$H$2:$H$48,"MWh",'MERCADO TUSD'!$U$2:$U$48)</f>
        <v>72028.031999999992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107"/>
      <c r="B14" s="107"/>
      <c r="C14" s="16" t="s">
        <v>401</v>
      </c>
      <c r="D14" s="13"/>
      <c r="E14" s="13"/>
      <c r="F14" s="13"/>
      <c r="G14" s="15"/>
      <c r="H14" s="15"/>
      <c r="I14" s="15"/>
      <c r="J14" s="15"/>
      <c r="K14" s="15"/>
      <c r="L14" s="13" t="s">
        <v>445</v>
      </c>
      <c r="M14" s="13">
        <v>164.68724164418478</v>
      </c>
      <c r="N14" s="15"/>
      <c r="O14" s="13" t="s">
        <v>482</v>
      </c>
      <c r="P14" s="22">
        <f>SUMIF('MERCADO TE'!$H$2:$H$39,"MWh",'MERCADO TE'!$U$2:$U$39)</f>
        <v>72028.031999999992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107"/>
      <c r="B15" s="107"/>
      <c r="C15" s="16" t="s">
        <v>402</v>
      </c>
      <c r="D15" s="13">
        <v>10103829.776398001</v>
      </c>
      <c r="E15" s="13">
        <v>323043.48155103542</v>
      </c>
      <c r="F15" s="13">
        <v>0</v>
      </c>
      <c r="G15" s="15"/>
      <c r="H15" s="15"/>
      <c r="I15" s="15"/>
      <c r="J15" s="15"/>
      <c r="K15" s="15"/>
      <c r="L15" s="13" t="s">
        <v>446</v>
      </c>
      <c r="M15" s="13">
        <f>M14*M12</f>
        <v>13379962.946910435</v>
      </c>
      <c r="N15" s="15"/>
      <c r="O15" s="13" t="s">
        <v>483</v>
      </c>
      <c r="P15" s="22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107"/>
      <c r="B16" s="107"/>
      <c r="C16" s="16" t="s">
        <v>403</v>
      </c>
      <c r="D16" s="13">
        <v>0</v>
      </c>
      <c r="E16" s="13"/>
      <c r="F16" s="13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13" t="s">
        <v>447</v>
      </c>
      <c r="M16" s="13">
        <v>1084567.6641435502</v>
      </c>
      <c r="N16" s="15"/>
      <c r="O16" s="13" t="s">
        <v>484</v>
      </c>
      <c r="P16" s="22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107"/>
      <c r="B17" s="107"/>
      <c r="C17" s="16" t="s">
        <v>404</v>
      </c>
      <c r="D17" s="13">
        <v>0</v>
      </c>
      <c r="E17" s="13"/>
      <c r="F17" s="13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13" t="s">
        <v>448</v>
      </c>
      <c r="M17" s="13">
        <v>0</v>
      </c>
      <c r="N17" s="15"/>
      <c r="O17" s="13" t="s">
        <v>485</v>
      </c>
      <c r="P17" s="22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107"/>
      <c r="B18" s="108"/>
      <c r="C18" s="16" t="s">
        <v>396</v>
      </c>
      <c r="D18" s="13">
        <f>SUM(D$11:D17)</f>
        <v>10103829.776398001</v>
      </c>
      <c r="E18" s="13">
        <f>SUM(E$11:E17)</f>
        <v>323043.48155103542</v>
      </c>
      <c r="F18" s="13">
        <f>SUM(F$11:F17)</f>
        <v>0</v>
      </c>
      <c r="G18" s="15"/>
      <c r="H18" s="15"/>
      <c r="I18" s="15"/>
      <c r="J18" s="15"/>
      <c r="K18" s="15"/>
      <c r="L18" s="13" t="s">
        <v>449</v>
      </c>
      <c r="M18" s="1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107"/>
      <c r="B19" s="106" t="s">
        <v>405</v>
      </c>
      <c r="C19" s="16" t="s">
        <v>406</v>
      </c>
      <c r="D19" s="13">
        <v>24944453.093539529</v>
      </c>
      <c r="E19" s="13">
        <v>-9818529.1917725932</v>
      </c>
      <c r="F19" s="13">
        <v>0</v>
      </c>
      <c r="G19" s="15"/>
      <c r="H19" s="15"/>
      <c r="I19" s="15"/>
      <c r="J19" s="15"/>
      <c r="K19" s="15"/>
      <c r="L19" s="13" t="s">
        <v>450</v>
      </c>
      <c r="M19" s="13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107"/>
      <c r="B20" s="108"/>
      <c r="C20" s="16" t="s">
        <v>396</v>
      </c>
      <c r="D20" s="13">
        <f>SUM(D$19:D19)</f>
        <v>24944453.093539529</v>
      </c>
      <c r="E20" s="13">
        <f>SUM(E$19:E19)</f>
        <v>-9818529.1917725932</v>
      </c>
      <c r="F20" s="13">
        <f>SUM(F$19:F19)</f>
        <v>0</v>
      </c>
      <c r="G20" s="15"/>
      <c r="H20" s="15"/>
      <c r="I20" s="15"/>
      <c r="J20" s="15"/>
      <c r="K20" s="15"/>
      <c r="L20" s="13" t="s">
        <v>451</v>
      </c>
      <c r="M20" s="13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107"/>
      <c r="B21" s="106" t="s">
        <v>407</v>
      </c>
      <c r="C21" s="16" t="s">
        <v>408</v>
      </c>
      <c r="D21" s="13"/>
      <c r="E21" s="13">
        <f>IF($D$47&lt;&gt;0,(1-$D$46/$D$47)*0,0)+0</f>
        <v>0</v>
      </c>
      <c r="F21" s="13"/>
      <c r="G21" s="15"/>
      <c r="H21" s="15"/>
      <c r="I21" s="15"/>
      <c r="J21" s="15"/>
      <c r="K21" s="15"/>
      <c r="L21" s="13" t="s">
        <v>452</v>
      </c>
      <c r="M21" s="13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107"/>
      <c r="B22" s="107"/>
      <c r="C22" s="16" t="s">
        <v>409</v>
      </c>
      <c r="D22" s="13"/>
      <c r="E22" s="13"/>
      <c r="F22" s="13"/>
      <c r="G22" s="15"/>
      <c r="H22" s="15"/>
      <c r="I22" s="15"/>
      <c r="J22" s="15"/>
      <c r="K22" s="15"/>
      <c r="L22" s="13" t="s">
        <v>474</v>
      </c>
      <c r="M22" s="13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107"/>
      <c r="B23" s="108"/>
      <c r="C23" s="16" t="s">
        <v>396</v>
      </c>
      <c r="D23" s="13">
        <f>SUM(D$21:D22)</f>
        <v>0</v>
      </c>
      <c r="E23" s="13">
        <f>SUM(E$21:E22)</f>
        <v>0</v>
      </c>
      <c r="F23" s="13">
        <f>SUM(F$21:F22)</f>
        <v>0</v>
      </c>
      <c r="G23" s="15"/>
      <c r="H23" s="15"/>
      <c r="I23" s="15"/>
      <c r="J23" s="15"/>
      <c r="K23" s="15"/>
      <c r="L23" s="13" t="s">
        <v>453</v>
      </c>
      <c r="M23" s="13">
        <v>40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107"/>
      <c r="B24" s="106" t="s">
        <v>410</v>
      </c>
      <c r="C24" s="16" t="s">
        <v>411</v>
      </c>
      <c r="D24" s="13">
        <f>$M$14*$M$8</f>
        <v>1064395.2640595178</v>
      </c>
      <c r="E24" s="13">
        <f>$M$16*$M$8/$M$12</f>
        <v>86278.914960153372</v>
      </c>
      <c r="F24" s="13">
        <f>$M$17*$M$8/$M$12</f>
        <v>0</v>
      </c>
      <c r="G24" s="15"/>
      <c r="H24" s="15"/>
      <c r="I24" s="15"/>
      <c r="J24" s="15"/>
      <c r="K24" s="15"/>
      <c r="L24" s="13" t="s">
        <v>454</v>
      </c>
      <c r="M24" s="13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107"/>
      <c r="B25" s="107"/>
      <c r="C25" s="16" t="s">
        <v>412</v>
      </c>
      <c r="D25" s="13">
        <f>$M$14*$M$10</f>
        <v>37339.676806569471</v>
      </c>
      <c r="E25" s="13">
        <f>$M$16*$M$10/$M$12</f>
        <v>3026.7203440445551</v>
      </c>
      <c r="F25" s="13">
        <f>$M$17*$M$10/$M$12</f>
        <v>0</v>
      </c>
      <c r="G25" s="15"/>
      <c r="H25" s="15"/>
      <c r="I25" s="15"/>
      <c r="J25" s="15"/>
      <c r="K25" s="15"/>
      <c r="L25" s="13" t="s">
        <v>455</v>
      </c>
      <c r="M25" s="13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107"/>
      <c r="B26" s="107"/>
      <c r="C26" s="16" t="s">
        <v>413</v>
      </c>
      <c r="D26" s="13">
        <f>$M$14*$M$9</f>
        <v>0</v>
      </c>
      <c r="E26" s="13">
        <f>$M$16*$M$9/$M$12</f>
        <v>0</v>
      </c>
      <c r="F26" s="13">
        <f>$M$17*$M$9/$M$12</f>
        <v>0</v>
      </c>
      <c r="G26" s="15"/>
      <c r="H26" s="15"/>
      <c r="I26" s="15"/>
      <c r="J26" s="15"/>
      <c r="K26" s="15"/>
      <c r="L26" s="13" t="s">
        <v>456</v>
      </c>
      <c r="M26" s="13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107"/>
      <c r="B27" s="107"/>
      <c r="C27" s="16" t="s">
        <v>414</v>
      </c>
      <c r="D27" s="13"/>
      <c r="E27" s="13"/>
      <c r="F27" s="13"/>
      <c r="G27" s="15"/>
      <c r="H27" s="15"/>
      <c r="I27" s="15"/>
      <c r="J27" s="15"/>
      <c r="K27" s="15"/>
      <c r="L27" s="13" t="s">
        <v>457</v>
      </c>
      <c r="M27" s="13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107"/>
      <c r="B28" s="108"/>
      <c r="C28" s="16" t="s">
        <v>396</v>
      </c>
      <c r="D28" s="13">
        <f>SUM(D$24:D27)</f>
        <v>1101734.9408660873</v>
      </c>
      <c r="E28" s="13">
        <f>SUM(E$24:E27)</f>
        <v>89305.635304197931</v>
      </c>
      <c r="F28" s="13">
        <f>SUM(F$24:F27)</f>
        <v>0</v>
      </c>
      <c r="G28" s="15"/>
      <c r="H28" s="15"/>
      <c r="I28" s="15"/>
      <c r="J28" s="15"/>
      <c r="K28" s="15"/>
      <c r="L28" s="13" t="s">
        <v>458</v>
      </c>
      <c r="M28" s="13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108"/>
      <c r="B29" s="102" t="s">
        <v>396</v>
      </c>
      <c r="C29" s="104"/>
      <c r="D29" s="13">
        <f>SUMIF(C$2:C28,"SUBTOTAL",D$2:D28)</f>
        <v>43109378.951889172</v>
      </c>
      <c r="E29" s="13">
        <f>SUMIF(C$2:C28,"SUBTOTAL",E$2:E28)</f>
        <v>-9408127.2008280084</v>
      </c>
      <c r="F29" s="13">
        <f>SUMIF(C$2:C28,"SUBTOTAL",F$2:F28)</f>
        <v>0</v>
      </c>
      <c r="G29" s="15"/>
      <c r="H29" s="15"/>
      <c r="I29" s="15"/>
      <c r="J29" s="15"/>
      <c r="K29" s="15"/>
      <c r="L29" s="13" t="s">
        <v>459</v>
      </c>
      <c r="M29" s="13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106" t="s">
        <v>415</v>
      </c>
      <c r="B30" s="106" t="s">
        <v>388</v>
      </c>
      <c r="C30" s="16" t="s">
        <v>390</v>
      </c>
      <c r="D30" s="13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3">
        <f>IF((D30+D$4)&lt;&gt;0,$M$20*D30/(D30+D$4),0)</f>
        <v>0</v>
      </c>
      <c r="F30" s="13">
        <f>IF((D30+D$4)&lt;&gt;0,$M$21*D30/(D30+D$4),0)</f>
        <v>0</v>
      </c>
      <c r="G30" s="15"/>
      <c r="H30" s="15"/>
      <c r="I30" s="15"/>
      <c r="J30" s="15"/>
      <c r="K30" s="15"/>
      <c r="L30" s="13" t="s">
        <v>460</v>
      </c>
      <c r="M30" s="13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107"/>
      <c r="B31" s="107"/>
      <c r="C31" s="16" t="s">
        <v>416</v>
      </c>
      <c r="D31" s="13">
        <v>1761723.1356897787</v>
      </c>
      <c r="E31" s="13">
        <v>103119.10171779385</v>
      </c>
      <c r="F31" s="13">
        <v>0</v>
      </c>
      <c r="G31" s="15"/>
      <c r="H31" s="15"/>
      <c r="I31" s="15"/>
      <c r="J31" s="15"/>
      <c r="K31" s="15"/>
      <c r="L31" s="13" t="s">
        <v>461</v>
      </c>
      <c r="M31" s="13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107"/>
      <c r="B32" s="107"/>
      <c r="C32" s="16" t="s">
        <v>417</v>
      </c>
      <c r="D32" s="13">
        <v>0</v>
      </c>
      <c r="E32" s="13">
        <v>0</v>
      </c>
      <c r="F32" s="13">
        <v>0</v>
      </c>
      <c r="G32" s="15"/>
      <c r="H32" s="15"/>
      <c r="I32" s="15"/>
      <c r="J32" s="15"/>
      <c r="K32" s="15"/>
      <c r="L32" s="13" t="s">
        <v>462</v>
      </c>
      <c r="M32" s="13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107"/>
      <c r="B33" s="107"/>
      <c r="C33" s="16" t="s">
        <v>476</v>
      </c>
      <c r="D33" s="13"/>
      <c r="E33" s="13">
        <v>0</v>
      </c>
      <c r="F33" s="13">
        <v>0</v>
      </c>
      <c r="G33" s="15"/>
      <c r="H33" s="15"/>
      <c r="I33" s="15"/>
      <c r="J33" s="15"/>
      <c r="K33" s="15"/>
      <c r="L33" s="13" t="s">
        <v>463</v>
      </c>
      <c r="M33" s="13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107"/>
      <c r="B34" s="107"/>
      <c r="C34" s="16" t="s">
        <v>418</v>
      </c>
      <c r="D34" s="13">
        <v>-1060000</v>
      </c>
      <c r="E34" s="13">
        <v>0</v>
      </c>
      <c r="F34" s="13">
        <v>0</v>
      </c>
      <c r="G34" s="15"/>
      <c r="H34" s="15"/>
      <c r="I34" s="15"/>
      <c r="J34" s="15"/>
      <c r="K34" s="15"/>
      <c r="L34" s="13" t="s">
        <v>464</v>
      </c>
      <c r="M34" s="13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107"/>
      <c r="B35" s="108"/>
      <c r="C35" s="16" t="s">
        <v>396</v>
      </c>
      <c r="D35" s="13">
        <f>SUM(D$30:D34)</f>
        <v>701723.13568977872</v>
      </c>
      <c r="E35" s="13">
        <f>SUM(E$30:E34)</f>
        <v>103119.10171779385</v>
      </c>
      <c r="F35" s="13">
        <f>SUM(F$30:F34)</f>
        <v>0</v>
      </c>
      <c r="G35" s="15"/>
      <c r="H35" s="15"/>
      <c r="I35" s="15"/>
      <c r="J35" s="15"/>
      <c r="K35" s="15"/>
      <c r="L35" s="13" t="s">
        <v>465</v>
      </c>
      <c r="M35" s="13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107"/>
      <c r="B36" s="106" t="s">
        <v>419</v>
      </c>
      <c r="C36" s="16" t="s">
        <v>420</v>
      </c>
      <c r="D36" s="13">
        <f>$M$14*($M$12-$M$7)</f>
        <v>11862097.911139071</v>
      </c>
      <c r="E36" s="13">
        <f>$M$16*($M$12-$M$7)/$M$12</f>
        <v>961530.9006738991</v>
      </c>
      <c r="F36" s="13">
        <f>$M$17*($M$12-$M$7)/$M$12</f>
        <v>0</v>
      </c>
      <c r="G36" s="15"/>
      <c r="H36" s="15"/>
      <c r="I36" s="15"/>
      <c r="J36" s="15"/>
      <c r="K36" s="15"/>
      <c r="L36" s="13" t="s">
        <v>466</v>
      </c>
      <c r="M36" s="13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107"/>
      <c r="B37" s="108"/>
      <c r="C37" s="16" t="s">
        <v>396</v>
      </c>
      <c r="D37" s="13">
        <f>SUM(D$36:D36)</f>
        <v>11862097.911139071</v>
      </c>
      <c r="E37" s="13">
        <f>SUM(E$36:E36)</f>
        <v>961530.9006738991</v>
      </c>
      <c r="F37" s="13">
        <f>SUM(F$36:F36)</f>
        <v>0</v>
      </c>
      <c r="G37" s="15"/>
      <c r="H37" s="15"/>
      <c r="I37" s="15"/>
      <c r="J37" s="15"/>
      <c r="K37" s="15"/>
      <c r="L37" s="13" t="s">
        <v>467</v>
      </c>
      <c r="M37" s="13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107"/>
      <c r="B38" s="106" t="s">
        <v>397</v>
      </c>
      <c r="C38" s="16" t="s">
        <v>421</v>
      </c>
      <c r="D38" s="13">
        <v>0</v>
      </c>
      <c r="E38" s="13">
        <v>0</v>
      </c>
      <c r="F38" s="13">
        <v>0</v>
      </c>
      <c r="G38" s="15"/>
      <c r="H38" s="15"/>
      <c r="I38" s="15"/>
      <c r="J38" s="15"/>
      <c r="K38" s="15"/>
      <c r="L38" s="13" t="s">
        <v>468</v>
      </c>
      <c r="M38" s="13">
        <f>IFERROR(VLOOKUP("Convencional1RuralNão se aplicaRURALB2",Descontos!B1:U88,VLOOKUP("Convencional1RuralNão se aplicaRURALB2",Descontos!B1:U88,20,FALSE)+12,FALSE),100)</f>
        <v>0.06</v>
      </c>
      <c r="N38" s="15" t="s">
        <v>525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107"/>
      <c r="B39" s="107"/>
      <c r="C39" s="16" t="s">
        <v>422</v>
      </c>
      <c r="D39" s="13">
        <v>0</v>
      </c>
      <c r="E39" s="13"/>
      <c r="F39" s="13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13" t="s">
        <v>469</v>
      </c>
      <c r="M39" s="13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>
        <v>0.3</v>
      </c>
      <c r="O39" s="15" t="s">
        <v>543</v>
      </c>
      <c r="P39" s="15" t="s">
        <v>544</v>
      </c>
      <c r="Q39" s="15" t="s">
        <v>545</v>
      </c>
      <c r="R39" s="15" t="s">
        <v>546</v>
      </c>
      <c r="S39" s="15" t="s">
        <v>1</v>
      </c>
      <c r="T39" s="15" t="s">
        <v>547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25">
      <c r="A40" s="107"/>
      <c r="B40" s="107"/>
      <c r="C40" s="16" t="s">
        <v>423</v>
      </c>
      <c r="D40" s="13"/>
      <c r="E40" s="13"/>
      <c r="F40" s="13"/>
      <c r="G40" s="15"/>
      <c r="H40" s="15"/>
      <c r="I40" s="15"/>
      <c r="J40" s="15"/>
      <c r="K40" s="15"/>
      <c r="L40" s="13" t="s">
        <v>470</v>
      </c>
      <c r="M40" s="13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>
        <v>0.4</v>
      </c>
      <c r="O40" s="39"/>
      <c r="P40" s="39"/>
      <c r="Q40" s="39"/>
      <c r="R40" s="39"/>
      <c r="S40" s="39"/>
      <c r="T40" s="39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25">
      <c r="A41" s="107"/>
      <c r="B41" s="108"/>
      <c r="C41" s="16" t="s">
        <v>396</v>
      </c>
      <c r="D41" s="13">
        <f>SUM(D$38:D40)</f>
        <v>0</v>
      </c>
      <c r="E41" s="13">
        <f>SUM(E$38:E40)</f>
        <v>0</v>
      </c>
      <c r="F41" s="13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39"/>
      <c r="P41" s="39"/>
      <c r="Q41" s="39"/>
      <c r="R41" s="39"/>
      <c r="S41" s="39"/>
      <c r="T41" s="39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25">
      <c r="A42" s="107"/>
      <c r="B42" s="106" t="s">
        <v>407</v>
      </c>
      <c r="C42" s="16" t="s">
        <v>408</v>
      </c>
      <c r="D42" s="13"/>
      <c r="E42" s="13">
        <f>IF($D$47&lt;&gt;0,($D$46/$D$47)* 0,0)+0</f>
        <v>0</v>
      </c>
      <c r="F42" s="13"/>
      <c r="G42" s="15"/>
      <c r="H42" s="15"/>
      <c r="I42" s="15"/>
      <c r="J42" s="15"/>
      <c r="K42" s="15"/>
      <c r="L42" s="15"/>
      <c r="M42" s="15"/>
      <c r="N42" s="15"/>
      <c r="O42" s="39"/>
      <c r="P42" s="39"/>
      <c r="Q42" s="39"/>
      <c r="R42" s="39"/>
      <c r="S42" s="39"/>
      <c r="T42" s="39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25">
      <c r="A43" s="107"/>
      <c r="B43" s="108"/>
      <c r="C43" s="16" t="s">
        <v>396</v>
      </c>
      <c r="D43" s="13">
        <f>SUM(D$42:D42)</f>
        <v>0</v>
      </c>
      <c r="E43" s="13">
        <f>SUM(E$42:E42)</f>
        <v>0</v>
      </c>
      <c r="F43" s="13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39"/>
      <c r="P43" s="39"/>
      <c r="Q43" s="39"/>
      <c r="R43" s="39"/>
      <c r="S43" s="39"/>
      <c r="T43" s="39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25">
      <c r="A44" s="107"/>
      <c r="B44" s="106" t="s">
        <v>410</v>
      </c>
      <c r="C44" s="16" t="s">
        <v>424</v>
      </c>
      <c r="D44" s="13">
        <f>$M$14*$M$11</f>
        <v>416130.09490527812</v>
      </c>
      <c r="E44" s="13">
        <f>$M$16*$M$11/$M$12</f>
        <v>33731.128165453243</v>
      </c>
      <c r="F44" s="13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39"/>
      <c r="P44" s="39"/>
      <c r="Q44" s="39"/>
      <c r="R44" s="39"/>
      <c r="S44" s="39"/>
      <c r="T44" s="39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25">
      <c r="A45" s="107"/>
      <c r="B45" s="108"/>
      <c r="C45" s="16" t="s">
        <v>396</v>
      </c>
      <c r="D45" s="13">
        <f>SUM(D$44:D44)</f>
        <v>416130.09490527812</v>
      </c>
      <c r="E45" s="13">
        <f>SUM(E$44:E44)</f>
        <v>33731.128165453243</v>
      </c>
      <c r="F45" s="13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39"/>
      <c r="P45" s="39"/>
      <c r="Q45" s="39"/>
      <c r="R45" s="39"/>
      <c r="S45" s="39"/>
      <c r="T45" s="39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25">
      <c r="A46" s="108"/>
      <c r="B46" s="102" t="s">
        <v>396</v>
      </c>
      <c r="C46" s="104"/>
      <c r="D46" s="13">
        <f>SUMIF(C$30:C45,"SUBTOTAL",D$30:D45)</f>
        <v>12979951.141734127</v>
      </c>
      <c r="E46" s="13">
        <f>SUMIF(C$30:C45,"SUBTOTAL",E$30:E45)</f>
        <v>1098381.1305571462</v>
      </c>
      <c r="F46" s="13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39"/>
      <c r="P46" s="39"/>
      <c r="Q46" s="39"/>
      <c r="R46" s="39"/>
      <c r="S46" s="39"/>
      <c r="T46" s="39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25">
      <c r="A47" s="102" t="s">
        <v>425</v>
      </c>
      <c r="B47" s="103"/>
      <c r="C47" s="104"/>
      <c r="D47" s="13">
        <f>SUMIF(C$2:C46,"SUBTOTAL",D$2:D46)</f>
        <v>56089330.093623303</v>
      </c>
      <c r="E47" s="13">
        <f>SUMIF(C$2:C46,"SUBTOTAL",E$2:E46)</f>
        <v>-8309746.0702708615</v>
      </c>
      <c r="F47" s="13">
        <f>SUMIF(C$2:C46,"SUBTOTAL",F$2:F46)</f>
        <v>0</v>
      </c>
      <c r="G47" s="15"/>
      <c r="H47" s="15"/>
      <c r="I47" s="15"/>
      <c r="J47" s="15"/>
      <c r="K47" s="15"/>
      <c r="L47" s="15"/>
      <c r="M47" s="15"/>
      <c r="N47" s="15"/>
      <c r="O47" s="39"/>
      <c r="P47" s="39"/>
      <c r="Q47" s="39"/>
      <c r="R47" s="39"/>
      <c r="S47" s="39"/>
      <c r="T47" s="39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25">
      <c r="A48" s="100" t="s">
        <v>517</v>
      </c>
      <c r="B48" s="101"/>
      <c r="C48" s="101"/>
      <c r="D48" s="32">
        <f ca="1">'TUSD BE'!$AM$53+'TUSD BE'!$AM$57+'TE BE'!$AB$44</f>
        <v>56089330.093623281</v>
      </c>
      <c r="E48" s="32">
        <f ca="1">'TUSD BF'!$AM$53+'TE BF'!$AB$44</f>
        <v>-8309746.0702708624</v>
      </c>
      <c r="F48" s="32">
        <f ca="1">'TUSD CVA'!$AM$53+'TE CVA'!$AB$44</f>
        <v>0</v>
      </c>
      <c r="L48" s="16"/>
      <c r="M48" s="13"/>
      <c r="O48" s="39"/>
      <c r="P48" s="39"/>
      <c r="Q48" s="39"/>
      <c r="R48" s="39"/>
      <c r="S48" s="39"/>
      <c r="T48" s="39"/>
    </row>
    <row r="49" spans="1:20" ht="12" customHeight="1" x14ac:dyDescent="0.25">
      <c r="A49" s="100" t="s">
        <v>518</v>
      </c>
      <c r="B49" s="101"/>
      <c r="C49" s="101"/>
      <c r="D49" s="33" t="str">
        <f ca="1">IF(ABS(D48-D47)&gt;1,"ERRO","OK")</f>
        <v>OK</v>
      </c>
      <c r="E49" s="33" t="str">
        <f ca="1">IF(ABS(E48-E47)&gt;1,"ERRO","OK")</f>
        <v>OK</v>
      </c>
      <c r="F49" s="33" t="str">
        <f ca="1">IF(ABS(F48-F47)&gt;1,"ERRO","OK")</f>
        <v>OK</v>
      </c>
      <c r="L49" s="16"/>
      <c r="M49" s="13"/>
      <c r="O49" s="39"/>
      <c r="P49" s="39"/>
      <c r="Q49" s="39"/>
      <c r="R49" s="39"/>
      <c r="S49" s="39"/>
      <c r="T49" s="39"/>
    </row>
    <row r="50" spans="1:20" ht="12" customHeight="1" x14ac:dyDescent="0.25">
      <c r="L50" s="16"/>
      <c r="M50" s="13"/>
      <c r="O50" s="39"/>
      <c r="P50" s="39"/>
      <c r="Q50" s="39"/>
      <c r="R50" s="39"/>
      <c r="S50" s="39"/>
      <c r="T50" s="39"/>
    </row>
    <row r="51" spans="1:20" ht="12" customHeight="1" x14ac:dyDescent="0.25">
      <c r="L51" s="20" t="s">
        <v>471</v>
      </c>
      <c r="M51" s="21">
        <v>0</v>
      </c>
      <c r="O51" s="39"/>
      <c r="P51" s="39"/>
      <c r="Q51" s="39"/>
      <c r="R51" s="39"/>
      <c r="S51" s="39"/>
      <c r="T51" s="39"/>
    </row>
    <row r="52" spans="1:20" ht="12" customHeight="1" x14ac:dyDescent="0.25">
      <c r="O52" s="39"/>
      <c r="P52" s="39"/>
      <c r="Q52" s="39"/>
      <c r="R52" s="39"/>
      <c r="S52" s="39"/>
      <c r="T52" s="39"/>
    </row>
    <row r="53" spans="1:20" ht="12" customHeight="1" x14ac:dyDescent="0.25">
      <c r="O53" s="39"/>
      <c r="P53" s="39"/>
      <c r="Q53" s="39"/>
      <c r="R53" s="39"/>
      <c r="S53" s="39"/>
      <c r="T53" s="39"/>
    </row>
    <row r="54" spans="1:20" ht="12" customHeight="1" x14ac:dyDescent="0.25">
      <c r="O54" s="39"/>
      <c r="P54" s="39"/>
      <c r="Q54" s="39"/>
      <c r="R54" s="39"/>
      <c r="S54" s="39"/>
      <c r="T54" s="39"/>
    </row>
    <row r="55" spans="1:20" ht="12" customHeight="1" x14ac:dyDescent="0.25">
      <c r="O55" s="39"/>
      <c r="P55" s="39"/>
      <c r="Q55" s="39"/>
      <c r="R55" s="39"/>
      <c r="S55" s="39"/>
      <c r="T55" s="39"/>
    </row>
    <row r="56" spans="1:20" ht="12" customHeight="1" x14ac:dyDescent="0.25">
      <c r="O56" s="39"/>
      <c r="P56" s="39"/>
      <c r="Q56" s="39"/>
      <c r="R56" s="39"/>
      <c r="S56" s="39"/>
      <c r="T56" s="39"/>
    </row>
    <row r="57" spans="1:20" ht="12" customHeight="1" x14ac:dyDescent="0.25">
      <c r="O57" s="39"/>
      <c r="P57" s="39"/>
      <c r="Q57" s="39"/>
      <c r="R57" s="39"/>
      <c r="S57" s="39"/>
      <c r="T57" s="39"/>
    </row>
    <row r="58" spans="1:20" ht="12" customHeight="1" x14ac:dyDescent="0.25">
      <c r="O58" s="39"/>
      <c r="P58" s="39"/>
      <c r="Q58" s="39"/>
      <c r="R58" s="39"/>
      <c r="S58" s="39"/>
      <c r="T58" s="39"/>
    </row>
    <row r="59" spans="1:20" ht="12" customHeight="1" x14ac:dyDescent="0.25">
      <c r="O59" s="39"/>
      <c r="P59" s="39"/>
      <c r="Q59" s="39"/>
      <c r="R59" s="39"/>
      <c r="S59" s="39"/>
      <c r="T59" s="39"/>
    </row>
    <row r="60" spans="1:20" ht="12" customHeight="1" x14ac:dyDescent="0.25">
      <c r="O60" s="39"/>
      <c r="P60" s="39"/>
      <c r="Q60" s="39"/>
      <c r="R60" s="39"/>
      <c r="S60" s="39"/>
      <c r="T60" s="39"/>
    </row>
    <row r="61" spans="1:20" ht="12" customHeight="1" x14ac:dyDescent="0.25">
      <c r="O61" s="39"/>
      <c r="P61" s="39"/>
      <c r="Q61" s="39"/>
      <c r="R61" s="39"/>
      <c r="S61" s="39"/>
      <c r="T61" s="39"/>
    </row>
    <row r="62" spans="1:20" ht="12" customHeight="1" x14ac:dyDescent="0.25">
      <c r="O62" s="39"/>
      <c r="P62" s="39"/>
      <c r="Q62" s="39"/>
      <c r="R62" s="39"/>
      <c r="S62" s="39"/>
      <c r="T62" s="39"/>
    </row>
    <row r="63" spans="1:20" ht="12" customHeight="1" x14ac:dyDescent="0.25">
      <c r="O63" s="39"/>
      <c r="P63" s="39"/>
      <c r="Q63" s="39"/>
      <c r="R63" s="39"/>
      <c r="S63" s="39"/>
      <c r="T63" s="39"/>
    </row>
    <row r="64" spans="1:20" ht="12" customHeight="1" x14ac:dyDescent="0.25">
      <c r="O64" s="39"/>
      <c r="P64" s="39"/>
      <c r="Q64" s="39"/>
      <c r="R64" s="39"/>
      <c r="S64" s="39"/>
      <c r="T64" s="39"/>
    </row>
    <row r="65" spans="15:20" ht="12" customHeight="1" x14ac:dyDescent="0.25">
      <c r="O65" s="39"/>
      <c r="P65" s="39"/>
      <c r="Q65" s="39"/>
      <c r="R65" s="39"/>
      <c r="S65" s="39"/>
      <c r="T65" s="39"/>
    </row>
    <row r="66" spans="15:20" ht="12" customHeight="1" x14ac:dyDescent="0.25">
      <c r="O66" s="39"/>
      <c r="P66" s="39"/>
      <c r="Q66" s="39"/>
      <c r="R66" s="39"/>
      <c r="S66" s="39"/>
      <c r="T66" s="39"/>
    </row>
    <row r="67" spans="15:20" ht="12" customHeight="1" x14ac:dyDescent="0.25">
      <c r="O67" s="39"/>
      <c r="P67" s="39"/>
      <c r="Q67" s="39"/>
      <c r="R67" s="39"/>
      <c r="S67" s="39"/>
      <c r="T67" s="39"/>
    </row>
    <row r="68" spans="15:20" ht="12" customHeight="1" x14ac:dyDescent="0.25">
      <c r="O68" s="39"/>
      <c r="P68" s="39"/>
      <c r="Q68" s="39"/>
      <c r="R68" s="39"/>
      <c r="S68" s="39"/>
      <c r="T68" s="39"/>
    </row>
    <row r="69" spans="15:20" ht="12" customHeight="1" x14ac:dyDescent="0.25">
      <c r="O69" s="39"/>
      <c r="P69" s="39"/>
      <c r="Q69" s="39"/>
      <c r="R69" s="39"/>
      <c r="S69" s="39"/>
      <c r="T69" s="39"/>
    </row>
    <row r="70" spans="15:20" ht="12" customHeight="1" x14ac:dyDescent="0.25">
      <c r="O70" s="39"/>
      <c r="P70" s="39"/>
      <c r="Q70" s="39"/>
      <c r="R70" s="39"/>
      <c r="S70" s="39"/>
      <c r="T70" s="39"/>
    </row>
    <row r="71" spans="15:20" ht="12" customHeight="1" x14ac:dyDescent="0.25">
      <c r="O71" s="39"/>
      <c r="P71" s="39"/>
      <c r="Q71" s="39"/>
      <c r="R71" s="39"/>
      <c r="S71" s="39"/>
      <c r="T71" s="39"/>
    </row>
    <row r="72" spans="15:20" ht="12" customHeight="1" x14ac:dyDescent="0.25">
      <c r="O72" s="39"/>
      <c r="P72" s="39"/>
      <c r="Q72" s="39"/>
      <c r="R72" s="39"/>
      <c r="S72" s="39"/>
      <c r="T72" s="39"/>
    </row>
    <row r="73" spans="15:20" ht="12" customHeight="1" x14ac:dyDescent="0.25">
      <c r="O73" s="39"/>
      <c r="P73" s="39"/>
      <c r="Q73" s="39"/>
      <c r="R73" s="39"/>
      <c r="S73" s="39"/>
      <c r="T73" s="39"/>
    </row>
    <row r="74" spans="15:20" ht="12" customHeight="1" x14ac:dyDescent="0.25">
      <c r="O74" s="39"/>
      <c r="P74" s="39"/>
      <c r="Q74" s="39"/>
      <c r="R74" s="39"/>
      <c r="S74" s="39"/>
      <c r="T74" s="39"/>
    </row>
    <row r="75" spans="15:20" ht="12" customHeight="1" x14ac:dyDescent="0.25">
      <c r="O75" s="39"/>
      <c r="P75" s="39"/>
      <c r="Q75" s="39"/>
      <c r="R75" s="39"/>
      <c r="S75" s="39"/>
      <c r="T75" s="39"/>
    </row>
    <row r="76" spans="15:20" ht="12" customHeight="1" x14ac:dyDescent="0.25">
      <c r="O76" s="39"/>
      <c r="P76" s="39"/>
      <c r="Q76" s="39"/>
      <c r="R76" s="39"/>
      <c r="S76" s="39"/>
      <c r="T76" s="39"/>
    </row>
    <row r="77" spans="15:20" ht="12" customHeight="1" x14ac:dyDescent="0.25">
      <c r="O77" s="39"/>
      <c r="P77" s="39"/>
      <c r="Q77" s="39"/>
      <c r="R77" s="39"/>
      <c r="S77" s="39"/>
      <c r="T77" s="39"/>
    </row>
    <row r="78" spans="15:20" ht="12" customHeight="1" x14ac:dyDescent="0.25">
      <c r="O78" s="39"/>
      <c r="P78" s="39"/>
      <c r="Q78" s="39"/>
      <c r="R78" s="39"/>
      <c r="S78" s="39"/>
      <c r="T78" s="39"/>
    </row>
    <row r="79" spans="15:20" ht="12" customHeight="1" x14ac:dyDescent="0.25">
      <c r="O79" s="39"/>
      <c r="P79" s="39"/>
      <c r="Q79" s="39"/>
      <c r="R79" s="39"/>
      <c r="S79" s="39"/>
      <c r="T79" s="39"/>
    </row>
    <row r="80" spans="15:20" ht="12" customHeight="1" x14ac:dyDescent="0.25">
      <c r="O80" s="39"/>
      <c r="P80" s="39"/>
      <c r="Q80" s="39"/>
      <c r="R80" s="39"/>
      <c r="S80" s="39"/>
      <c r="T80" s="39"/>
    </row>
    <row r="81" spans="15:20" ht="12" customHeight="1" x14ac:dyDescent="0.25">
      <c r="O81" s="39"/>
      <c r="P81" s="39"/>
      <c r="Q81" s="39"/>
      <c r="R81" s="39"/>
      <c r="S81" s="39"/>
      <c r="T81" s="39"/>
    </row>
    <row r="82" spans="15:20" ht="12" customHeight="1" x14ac:dyDescent="0.25">
      <c r="O82" s="39"/>
      <c r="P82" s="39"/>
      <c r="Q82" s="39"/>
      <c r="R82" s="39"/>
      <c r="S82" s="39"/>
      <c r="T82" s="39"/>
    </row>
    <row r="83" spans="15:20" ht="12" customHeight="1" x14ac:dyDescent="0.25">
      <c r="O83" s="39"/>
      <c r="P83" s="39"/>
      <c r="Q83" s="39"/>
      <c r="R83" s="39"/>
      <c r="S83" s="39"/>
      <c r="T83" s="39"/>
    </row>
    <row r="84" spans="15:20" ht="12" customHeight="1" x14ac:dyDescent="0.25">
      <c r="O84" s="39"/>
      <c r="P84" s="39"/>
      <c r="Q84" s="39"/>
      <c r="R84" s="39"/>
      <c r="S84" s="39"/>
      <c r="T84" s="39"/>
    </row>
    <row r="85" spans="15:20" ht="12" customHeight="1" x14ac:dyDescent="0.25">
      <c r="O85" s="39"/>
      <c r="P85" s="39"/>
      <c r="Q85" s="39"/>
      <c r="R85" s="39"/>
      <c r="S85" s="39"/>
      <c r="T85" s="39"/>
    </row>
    <row r="86" spans="15:20" ht="12" customHeight="1" x14ac:dyDescent="0.25">
      <c r="O86" s="39"/>
      <c r="P86" s="39"/>
      <c r="Q86" s="39"/>
      <c r="R86" s="39"/>
      <c r="S86" s="39"/>
      <c r="T86" s="39"/>
    </row>
    <row r="87" spans="15:20" ht="12" customHeight="1" x14ac:dyDescent="0.25">
      <c r="O87" s="39"/>
      <c r="P87" s="39"/>
      <c r="Q87" s="39"/>
      <c r="R87" s="39"/>
      <c r="S87" s="39"/>
      <c r="T87" s="39"/>
    </row>
    <row r="88" spans="15:20" ht="12" customHeight="1" x14ac:dyDescent="0.25">
      <c r="O88" s="39"/>
      <c r="P88" s="39"/>
      <c r="Q88" s="39"/>
      <c r="R88" s="39"/>
      <c r="S88" s="39"/>
      <c r="T88" s="39"/>
    </row>
    <row r="89" spans="15:20" ht="12" customHeight="1" x14ac:dyDescent="0.25">
      <c r="O89" s="39"/>
      <c r="P89" s="39"/>
      <c r="Q89" s="39"/>
      <c r="R89" s="39"/>
      <c r="S89" s="39"/>
      <c r="T89" s="39"/>
    </row>
    <row r="90" spans="15:20" ht="12" customHeight="1" x14ac:dyDescent="0.25">
      <c r="O90" s="39"/>
      <c r="P90" s="39"/>
      <c r="Q90" s="39"/>
      <c r="R90" s="39"/>
      <c r="S90" s="39"/>
      <c r="T90" s="39"/>
    </row>
    <row r="91" spans="15:20" ht="12" customHeight="1" x14ac:dyDescent="0.25">
      <c r="O91" s="39"/>
      <c r="P91" s="39"/>
      <c r="Q91" s="39"/>
      <c r="R91" s="39"/>
      <c r="S91" s="39"/>
      <c r="T91" s="39"/>
    </row>
    <row r="92" spans="15:20" ht="12" customHeight="1" x14ac:dyDescent="0.25">
      <c r="O92" s="39"/>
      <c r="P92" s="39"/>
      <c r="Q92" s="39"/>
      <c r="R92" s="39"/>
      <c r="S92" s="39"/>
      <c r="T92" s="39"/>
    </row>
    <row r="93" spans="15:20" ht="12" customHeight="1" x14ac:dyDescent="0.25">
      <c r="O93" s="39"/>
      <c r="P93" s="39"/>
      <c r="Q93" s="39"/>
      <c r="R93" s="39"/>
      <c r="S93" s="39"/>
      <c r="T93" s="39"/>
    </row>
    <row r="94" spans="15:20" ht="12" customHeight="1" x14ac:dyDescent="0.25">
      <c r="O94" s="39"/>
      <c r="P94" s="39"/>
      <c r="Q94" s="39"/>
      <c r="R94" s="39"/>
      <c r="S94" s="39"/>
      <c r="T94" s="39"/>
    </row>
    <row r="95" spans="15:20" ht="12" customHeight="1" x14ac:dyDescent="0.25">
      <c r="O95" s="39"/>
      <c r="P95" s="39"/>
      <c r="Q95" s="39"/>
      <c r="R95" s="39"/>
      <c r="S95" s="39"/>
      <c r="T95" s="39"/>
    </row>
    <row r="96" spans="15:20" ht="12" customHeight="1" x14ac:dyDescent="0.25">
      <c r="O96" s="39"/>
      <c r="P96" s="39"/>
      <c r="Q96" s="39"/>
      <c r="R96" s="39"/>
      <c r="S96" s="39"/>
      <c r="T96" s="39"/>
    </row>
    <row r="97" spans="15:30" ht="12" customHeight="1" x14ac:dyDescent="0.25">
      <c r="O97" s="39"/>
      <c r="P97" s="39"/>
      <c r="Q97" s="39"/>
      <c r="R97" s="39"/>
      <c r="S97" s="39"/>
      <c r="T97" s="39"/>
    </row>
    <row r="98" spans="15:30" ht="12" customHeight="1" x14ac:dyDescent="0.25">
      <c r="O98" s="39"/>
      <c r="P98" s="39"/>
      <c r="Q98" s="39"/>
      <c r="R98" s="39"/>
      <c r="S98" s="39"/>
      <c r="T98" s="39"/>
    </row>
    <row r="99" spans="15:30" ht="12" customHeight="1" x14ac:dyDescent="0.25">
      <c r="O99" s="38"/>
      <c r="P99" s="38"/>
      <c r="Q99" s="38"/>
      <c r="R99" s="38"/>
      <c r="S99" s="38"/>
      <c r="T99" s="38"/>
    </row>
    <row r="100" spans="15:30" ht="12" customHeight="1" x14ac:dyDescent="0.25"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</row>
    <row r="101" spans="15:30" ht="12" customHeight="1" x14ac:dyDescent="0.25">
      <c r="O101" s="39" t="s">
        <v>543</v>
      </c>
      <c r="P101" s="39" t="s">
        <v>548</v>
      </c>
      <c r="Q101" s="39" t="s">
        <v>549</v>
      </c>
      <c r="R101" s="39" t="s">
        <v>550</v>
      </c>
      <c r="S101" s="39" t="s">
        <v>551</v>
      </c>
      <c r="T101" s="39" t="s">
        <v>552</v>
      </c>
      <c r="U101" s="39" t="s">
        <v>553</v>
      </c>
      <c r="V101" s="39" t="s">
        <v>554</v>
      </c>
      <c r="W101" s="39"/>
      <c r="X101" s="39"/>
      <c r="Y101" s="39"/>
      <c r="Z101" s="39"/>
      <c r="AA101" s="39"/>
      <c r="AB101" s="39"/>
      <c r="AC101" s="39"/>
      <c r="AD101" s="39"/>
    </row>
    <row r="102" spans="15:30" ht="12" customHeight="1" x14ac:dyDescent="0.25">
      <c r="O102" s="39" t="s">
        <v>34</v>
      </c>
      <c r="P102" s="39" t="s">
        <v>36</v>
      </c>
      <c r="Q102" s="39" t="s">
        <v>35</v>
      </c>
      <c r="R102" s="39" t="s">
        <v>42</v>
      </c>
      <c r="S102" s="39" t="s">
        <v>25</v>
      </c>
      <c r="T102" s="39" t="s">
        <v>555</v>
      </c>
      <c r="U102" s="39">
        <v>4</v>
      </c>
      <c r="V102" s="39">
        <v>0.1</v>
      </c>
      <c r="W102" s="39">
        <v>0.08</v>
      </c>
      <c r="X102" s="39">
        <v>0.06</v>
      </c>
      <c r="Y102" s="39">
        <v>0.04</v>
      </c>
      <c r="Z102" s="39">
        <v>0.02</v>
      </c>
      <c r="AA102" s="39">
        <v>0</v>
      </c>
      <c r="AB102" s="39"/>
      <c r="AC102" s="39"/>
      <c r="AD102" s="39"/>
    </row>
    <row r="103" spans="15:30" ht="12" customHeight="1" x14ac:dyDescent="0.25">
      <c r="O103" s="39" t="s">
        <v>34</v>
      </c>
      <c r="P103" s="39" t="s">
        <v>36</v>
      </c>
      <c r="Q103" s="39" t="s">
        <v>35</v>
      </c>
      <c r="R103" s="39" t="s">
        <v>47</v>
      </c>
      <c r="S103" s="39" t="s">
        <v>48</v>
      </c>
      <c r="T103" s="39" t="s">
        <v>556</v>
      </c>
      <c r="U103" s="39">
        <v>4</v>
      </c>
      <c r="V103" s="39">
        <v>0.15</v>
      </c>
      <c r="W103" s="39">
        <v>0.12</v>
      </c>
      <c r="X103" s="39">
        <v>0.09</v>
      </c>
      <c r="Y103" s="39">
        <v>0.06</v>
      </c>
      <c r="Z103" s="39">
        <v>0.03</v>
      </c>
      <c r="AA103" s="39">
        <v>0</v>
      </c>
      <c r="AB103" s="39"/>
      <c r="AC103" s="39"/>
      <c r="AD103" s="39"/>
    </row>
    <row r="104" spans="15:30" ht="12" customHeight="1" x14ac:dyDescent="0.25">
      <c r="O104" s="39" t="s">
        <v>34</v>
      </c>
      <c r="P104" s="39" t="s">
        <v>557</v>
      </c>
      <c r="Q104" s="39" t="s">
        <v>41</v>
      </c>
      <c r="R104" s="39" t="s">
        <v>42</v>
      </c>
      <c r="S104" s="39" t="s">
        <v>89</v>
      </c>
      <c r="T104" s="39" t="s">
        <v>556</v>
      </c>
      <c r="U104" s="39">
        <v>4</v>
      </c>
      <c r="V104" s="39">
        <v>0.3</v>
      </c>
      <c r="W104" s="39">
        <v>0.24</v>
      </c>
      <c r="X104" s="39">
        <v>0.18</v>
      </c>
      <c r="Y104" s="39">
        <v>0.12</v>
      </c>
      <c r="Z104" s="39">
        <v>0.06</v>
      </c>
      <c r="AA104" s="39">
        <v>0</v>
      </c>
      <c r="AB104" s="39"/>
      <c r="AC104" s="39"/>
      <c r="AD104" s="39"/>
    </row>
    <row r="105" spans="15:30" ht="12" customHeight="1" x14ac:dyDescent="0.25">
      <c r="O105" s="39" t="s">
        <v>34</v>
      </c>
      <c r="P105" s="39" t="s">
        <v>86</v>
      </c>
      <c r="Q105" s="39" t="s">
        <v>41</v>
      </c>
      <c r="R105" s="39" t="s">
        <v>42</v>
      </c>
      <c r="S105" s="39" t="s">
        <v>25</v>
      </c>
      <c r="T105" s="39" t="s">
        <v>42</v>
      </c>
      <c r="U105" s="39">
        <v>4</v>
      </c>
      <c r="V105" s="39">
        <v>0.3</v>
      </c>
      <c r="W105" s="39">
        <v>0.24</v>
      </c>
      <c r="X105" s="39">
        <v>0.18</v>
      </c>
      <c r="Y105" s="39">
        <v>0.12</v>
      </c>
      <c r="Z105" s="39">
        <v>0.06</v>
      </c>
      <c r="AA105" s="39">
        <v>0</v>
      </c>
      <c r="AB105" s="39"/>
      <c r="AC105" s="39"/>
      <c r="AD105" s="39"/>
    </row>
    <row r="106" spans="15:30" ht="12" customHeight="1" x14ac:dyDescent="0.25">
      <c r="O106" s="39" t="s">
        <v>34</v>
      </c>
      <c r="P106" s="39" t="s">
        <v>557</v>
      </c>
      <c r="Q106" s="39" t="s">
        <v>41</v>
      </c>
      <c r="R106" s="39" t="s">
        <v>42</v>
      </c>
      <c r="S106" s="39" t="s">
        <v>90</v>
      </c>
      <c r="T106" s="39" t="s">
        <v>556</v>
      </c>
      <c r="U106" s="39">
        <v>4</v>
      </c>
      <c r="V106" s="39">
        <v>0.4</v>
      </c>
      <c r="W106" s="39">
        <v>0.32</v>
      </c>
      <c r="X106" s="39">
        <v>0.24</v>
      </c>
      <c r="Y106" s="39">
        <v>0.16</v>
      </c>
      <c r="Z106" s="39">
        <v>0.08</v>
      </c>
      <c r="AA106" s="39">
        <v>0</v>
      </c>
      <c r="AB106" s="39"/>
      <c r="AC106" s="39"/>
      <c r="AD106" s="39"/>
    </row>
    <row r="107" spans="15:30" ht="12" customHeight="1" x14ac:dyDescent="0.25">
      <c r="O107" s="39" t="s">
        <v>34</v>
      </c>
      <c r="P107" s="39" t="s">
        <v>86</v>
      </c>
      <c r="Q107" s="39" t="s">
        <v>33</v>
      </c>
      <c r="R107" s="39" t="s">
        <v>47</v>
      </c>
      <c r="S107" s="39" t="s">
        <v>48</v>
      </c>
      <c r="T107" s="39" t="s">
        <v>556</v>
      </c>
      <c r="U107" s="39">
        <v>4</v>
      </c>
      <c r="V107" s="39">
        <v>0.15</v>
      </c>
      <c r="W107" s="39">
        <v>0.12</v>
      </c>
      <c r="X107" s="39">
        <v>0.09</v>
      </c>
      <c r="Y107" s="39">
        <v>0.06</v>
      </c>
      <c r="Z107" s="39">
        <v>0.03</v>
      </c>
      <c r="AA107" s="39">
        <v>0</v>
      </c>
      <c r="AB107" s="39"/>
      <c r="AC107" s="39"/>
      <c r="AD107" s="39"/>
    </row>
    <row r="108" spans="15:30" ht="12" customHeight="1" x14ac:dyDescent="0.25">
      <c r="O108" s="39" t="s">
        <v>34</v>
      </c>
      <c r="P108" s="39" t="s">
        <v>23</v>
      </c>
      <c r="Q108" s="39" t="s">
        <v>41</v>
      </c>
      <c r="R108" s="39" t="s">
        <v>42</v>
      </c>
      <c r="S108" s="39" t="s">
        <v>89</v>
      </c>
      <c r="T108" s="39" t="s">
        <v>556</v>
      </c>
      <c r="U108" s="39">
        <v>4</v>
      </c>
      <c r="V108" s="39">
        <v>0.3</v>
      </c>
      <c r="W108" s="39">
        <v>0.24</v>
      </c>
      <c r="X108" s="39">
        <v>0.18</v>
      </c>
      <c r="Y108" s="39">
        <v>0.12</v>
      </c>
      <c r="Z108" s="39">
        <v>0.06</v>
      </c>
      <c r="AA108" s="39">
        <v>0</v>
      </c>
      <c r="AB108" s="39"/>
      <c r="AC108" s="39"/>
      <c r="AD108" s="39"/>
    </row>
    <row r="109" spans="15:30" ht="12" customHeight="1" x14ac:dyDescent="0.25">
      <c r="O109" s="39" t="s">
        <v>34</v>
      </c>
      <c r="P109" s="39" t="s">
        <v>23</v>
      </c>
      <c r="Q109" s="39" t="s">
        <v>41</v>
      </c>
      <c r="R109" s="39" t="s">
        <v>42</v>
      </c>
      <c r="S109" s="39" t="s">
        <v>25</v>
      </c>
      <c r="T109" s="39" t="s">
        <v>42</v>
      </c>
      <c r="U109" s="39">
        <v>4</v>
      </c>
      <c r="V109" s="39">
        <v>0.3</v>
      </c>
      <c r="W109" s="39">
        <v>0.24</v>
      </c>
      <c r="X109" s="39">
        <v>0.18</v>
      </c>
      <c r="Y109" s="39">
        <v>0.12</v>
      </c>
      <c r="Z109" s="39">
        <v>0.06</v>
      </c>
      <c r="AA109" s="39">
        <v>0</v>
      </c>
      <c r="AB109" s="39"/>
      <c r="AC109" s="39"/>
      <c r="AD109" s="39"/>
    </row>
    <row r="110" spans="15:30" ht="12" customHeight="1" x14ac:dyDescent="0.25">
      <c r="O110" s="39" t="s">
        <v>34</v>
      </c>
      <c r="P110" s="39" t="s">
        <v>23</v>
      </c>
      <c r="Q110" s="39" t="s">
        <v>41</v>
      </c>
      <c r="R110" s="39" t="s">
        <v>42</v>
      </c>
      <c r="S110" s="39" t="s">
        <v>90</v>
      </c>
      <c r="T110" s="39" t="s">
        <v>556</v>
      </c>
      <c r="U110" s="39">
        <v>4</v>
      </c>
      <c r="V110" s="39">
        <v>0.4</v>
      </c>
      <c r="W110" s="39">
        <v>0.32</v>
      </c>
      <c r="X110" s="39">
        <v>0.24</v>
      </c>
      <c r="Y110" s="39">
        <v>0.16</v>
      </c>
      <c r="Z110" s="39">
        <v>0.08</v>
      </c>
      <c r="AA110" s="39">
        <v>0</v>
      </c>
      <c r="AB110" s="39"/>
      <c r="AC110" s="39"/>
      <c r="AD110" s="39"/>
    </row>
    <row r="111" spans="15:30" ht="12" customHeight="1" x14ac:dyDescent="0.25">
      <c r="O111" s="39" t="s">
        <v>34</v>
      </c>
      <c r="P111" s="39" t="s">
        <v>23</v>
      </c>
      <c r="Q111" s="39" t="s">
        <v>33</v>
      </c>
      <c r="R111" s="39" t="s">
        <v>47</v>
      </c>
      <c r="S111" s="39" t="s">
        <v>48</v>
      </c>
      <c r="T111" s="39" t="s">
        <v>556</v>
      </c>
      <c r="U111" s="39">
        <v>4</v>
      </c>
      <c r="V111" s="39">
        <v>0.15</v>
      </c>
      <c r="W111" s="39">
        <v>0.12</v>
      </c>
      <c r="X111" s="39">
        <v>0.09</v>
      </c>
      <c r="Y111" s="39">
        <v>0.06</v>
      </c>
      <c r="Z111" s="39">
        <v>0.03</v>
      </c>
      <c r="AA111" s="39">
        <v>0</v>
      </c>
      <c r="AB111" s="39"/>
      <c r="AC111" s="39"/>
      <c r="AD111" s="39"/>
    </row>
    <row r="112" spans="15:30" ht="12" customHeight="1" x14ac:dyDescent="0.25">
      <c r="O112" s="39" t="s">
        <v>34</v>
      </c>
      <c r="P112" s="39" t="s">
        <v>39</v>
      </c>
      <c r="Q112" s="39" t="s">
        <v>35</v>
      </c>
      <c r="R112" s="39" t="s">
        <v>42</v>
      </c>
      <c r="S112" s="39" t="s">
        <v>25</v>
      </c>
      <c r="T112" s="39" t="s">
        <v>555</v>
      </c>
      <c r="U112" s="39">
        <v>4</v>
      </c>
      <c r="V112" s="39">
        <v>0.1</v>
      </c>
      <c r="W112" s="39">
        <v>0.08</v>
      </c>
      <c r="X112" s="39">
        <v>0.06</v>
      </c>
      <c r="Y112" s="39">
        <v>0.04</v>
      </c>
      <c r="Z112" s="39">
        <v>0.02</v>
      </c>
      <c r="AA112" s="39">
        <v>0</v>
      </c>
      <c r="AB112" s="39"/>
      <c r="AC112" s="39"/>
      <c r="AD112" s="39"/>
    </row>
    <row r="113" spans="15:30" ht="12" customHeight="1" x14ac:dyDescent="0.25">
      <c r="O113" s="39" t="s">
        <v>34</v>
      </c>
      <c r="P113" s="39" t="s">
        <v>39</v>
      </c>
      <c r="Q113" s="39" t="s">
        <v>35</v>
      </c>
      <c r="R113" s="39" t="s">
        <v>47</v>
      </c>
      <c r="S113" s="39" t="s">
        <v>48</v>
      </c>
      <c r="T113" s="39" t="s">
        <v>556</v>
      </c>
      <c r="U113" s="39">
        <v>4</v>
      </c>
      <c r="V113" s="39">
        <v>0.15</v>
      </c>
      <c r="W113" s="39">
        <v>0.12</v>
      </c>
      <c r="X113" s="39">
        <v>0.09</v>
      </c>
      <c r="Y113" s="39">
        <v>0.06</v>
      </c>
      <c r="Z113" s="39">
        <v>0.03</v>
      </c>
      <c r="AA113" s="39">
        <v>0</v>
      </c>
      <c r="AB113" s="39"/>
      <c r="AC113" s="39"/>
      <c r="AD113" s="39"/>
    </row>
    <row r="114" spans="15:30" ht="12" customHeight="1" x14ac:dyDescent="0.25"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</row>
    <row r="115" spans="15:30" ht="12" customHeight="1" x14ac:dyDescent="0.25"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</row>
    <row r="116" spans="15:30" ht="12" customHeight="1" x14ac:dyDescent="0.25"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</row>
    <row r="117" spans="15:30" ht="12" customHeight="1" x14ac:dyDescent="0.25"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</row>
    <row r="118" spans="15:30" ht="12" customHeight="1" x14ac:dyDescent="0.25"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</row>
    <row r="119" spans="15:30" ht="12" customHeight="1" x14ac:dyDescent="0.25"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</row>
    <row r="120" spans="15:30" ht="12" customHeight="1" x14ac:dyDescent="0.25"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</row>
    <row r="121" spans="15:30" ht="12" customHeight="1" x14ac:dyDescent="0.25"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</row>
    <row r="122" spans="15:30" ht="12" customHeight="1" x14ac:dyDescent="0.25"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</row>
    <row r="123" spans="15:30" ht="12" customHeight="1" x14ac:dyDescent="0.25"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</row>
    <row r="124" spans="15:30" ht="12" customHeight="1" x14ac:dyDescent="0.25"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</row>
    <row r="125" spans="15:30" ht="12" customHeight="1" x14ac:dyDescent="0.25"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</row>
    <row r="126" spans="15:30" ht="12" customHeight="1" x14ac:dyDescent="0.25"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</row>
    <row r="127" spans="15:30" ht="12" customHeight="1" x14ac:dyDescent="0.25"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</row>
    <row r="128" spans="15:30" ht="12" customHeight="1" x14ac:dyDescent="0.25"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</row>
    <row r="129" spans="15:30" ht="12" customHeight="1" x14ac:dyDescent="0.25"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</row>
    <row r="130" spans="15:30" ht="12" customHeight="1" x14ac:dyDescent="0.25"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</row>
    <row r="131" spans="15:30" ht="12" customHeight="1" x14ac:dyDescent="0.25"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</row>
    <row r="132" spans="15:30" ht="12" customHeight="1" x14ac:dyDescent="0.25"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</row>
    <row r="133" spans="15:30" ht="12" customHeight="1" x14ac:dyDescent="0.25"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</row>
    <row r="134" spans="15:30" ht="12" customHeight="1" x14ac:dyDescent="0.25"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</row>
    <row r="135" spans="15:30" ht="12" customHeight="1" x14ac:dyDescent="0.25"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</row>
    <row r="136" spans="15:30" ht="12" customHeight="1" x14ac:dyDescent="0.25"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</row>
    <row r="137" spans="15:30" ht="12" customHeight="1" x14ac:dyDescent="0.25"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</row>
    <row r="138" spans="15:30" ht="12" customHeight="1" x14ac:dyDescent="0.25"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</row>
    <row r="139" spans="15:30" ht="12" customHeight="1" x14ac:dyDescent="0.25"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</row>
    <row r="140" spans="15:30" ht="12" customHeight="1" x14ac:dyDescent="0.25"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</row>
    <row r="141" spans="15:30" ht="12" customHeight="1" x14ac:dyDescent="0.25"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</row>
    <row r="142" spans="15:30" ht="12" customHeight="1" x14ac:dyDescent="0.25"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</row>
    <row r="143" spans="15:30" ht="12" customHeight="1" x14ac:dyDescent="0.25"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</row>
    <row r="144" spans="15:30" ht="12" customHeight="1" x14ac:dyDescent="0.25"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</row>
    <row r="145" spans="15:30" ht="12" customHeight="1" x14ac:dyDescent="0.25"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</row>
    <row r="146" spans="15:30" ht="12" customHeight="1" x14ac:dyDescent="0.25"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</row>
    <row r="147" spans="15:30" ht="12" customHeight="1" x14ac:dyDescent="0.25"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</row>
    <row r="148" spans="15:30" ht="12" customHeight="1" x14ac:dyDescent="0.25"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</row>
    <row r="149" spans="15:30" ht="12" customHeight="1" x14ac:dyDescent="0.25"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</row>
    <row r="150" spans="15:30" ht="12" customHeight="1" x14ac:dyDescent="0.25"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</row>
    <row r="151" spans="15:30" ht="12" customHeight="1" x14ac:dyDescent="0.25"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</row>
    <row r="152" spans="15:30" ht="12" customHeight="1" x14ac:dyDescent="0.25"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</row>
    <row r="153" spans="15:30" ht="12" customHeight="1" x14ac:dyDescent="0.25"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</row>
    <row r="154" spans="15:30" ht="12" customHeight="1" x14ac:dyDescent="0.25"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</row>
    <row r="155" spans="15:30" ht="12" customHeight="1" x14ac:dyDescent="0.25"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</row>
    <row r="156" spans="15:30" ht="12" customHeight="1" x14ac:dyDescent="0.25"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</row>
    <row r="157" spans="15:30" ht="12" customHeight="1" x14ac:dyDescent="0.25"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</row>
    <row r="158" spans="15:30" ht="12" customHeight="1" x14ac:dyDescent="0.25"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</row>
    <row r="159" spans="15:30" ht="12" customHeight="1" x14ac:dyDescent="0.25"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</row>
    <row r="160" spans="15:30" ht="12" customHeight="1" x14ac:dyDescent="0.25"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</row>
    <row r="161" spans="15:30" ht="12" customHeight="1" x14ac:dyDescent="0.25"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</row>
    <row r="162" spans="15:30" ht="12" customHeight="1" x14ac:dyDescent="0.25"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</row>
    <row r="163" spans="15:30" ht="12" customHeight="1" x14ac:dyDescent="0.25"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</row>
    <row r="164" spans="15:30" ht="12" customHeight="1" x14ac:dyDescent="0.25"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</row>
    <row r="165" spans="15:30" ht="12" customHeight="1" x14ac:dyDescent="0.25"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</row>
    <row r="166" spans="15:30" ht="12" customHeight="1" x14ac:dyDescent="0.25"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</row>
    <row r="167" spans="15:30" ht="12" customHeight="1" x14ac:dyDescent="0.25"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</row>
    <row r="168" spans="15:30" ht="12" customHeight="1" x14ac:dyDescent="0.25"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</row>
    <row r="169" spans="15:30" ht="12" customHeight="1" x14ac:dyDescent="0.25"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</row>
    <row r="170" spans="15:30" ht="12" customHeight="1" x14ac:dyDescent="0.25"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</row>
    <row r="171" spans="15:30" ht="12" customHeight="1" x14ac:dyDescent="0.25"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</row>
    <row r="172" spans="15:30" ht="12" customHeight="1" x14ac:dyDescent="0.25"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</row>
    <row r="173" spans="15:30" ht="12" customHeight="1" x14ac:dyDescent="0.25"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</row>
    <row r="174" spans="15:30" ht="12" customHeight="1" x14ac:dyDescent="0.25"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</row>
    <row r="175" spans="15:30" ht="12" customHeight="1" x14ac:dyDescent="0.25"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</row>
    <row r="176" spans="15:30" ht="12" customHeight="1" x14ac:dyDescent="0.25"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</row>
    <row r="177" spans="15:30" ht="12" customHeight="1" x14ac:dyDescent="0.25"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</row>
    <row r="178" spans="15:30" ht="12" customHeight="1" x14ac:dyDescent="0.25"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</row>
    <row r="179" spans="15:30" ht="12" customHeight="1" x14ac:dyDescent="0.25"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</row>
    <row r="180" spans="15:30" ht="12" customHeight="1" x14ac:dyDescent="0.25"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</row>
    <row r="181" spans="15:30" ht="12" customHeight="1" x14ac:dyDescent="0.25"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</row>
    <row r="182" spans="15:30" ht="12" customHeight="1" x14ac:dyDescent="0.25"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</row>
    <row r="183" spans="15:30" ht="12" customHeight="1" x14ac:dyDescent="0.25"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</row>
    <row r="184" spans="15:30" ht="12" customHeight="1" x14ac:dyDescent="0.25"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</row>
    <row r="185" spans="15:30" ht="12" customHeight="1" x14ac:dyDescent="0.25"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</row>
    <row r="186" spans="15:30" ht="12" customHeight="1" x14ac:dyDescent="0.25"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</row>
    <row r="187" spans="15:30" ht="12" customHeight="1" x14ac:dyDescent="0.25"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</row>
    <row r="188" spans="15:30" ht="12" customHeight="1" x14ac:dyDescent="0.25"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</row>
    <row r="189" spans="15:30" ht="12" customHeight="1" x14ac:dyDescent="0.25"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</row>
    <row r="190" spans="15:30" ht="12" customHeight="1" x14ac:dyDescent="0.25"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</row>
    <row r="191" spans="15:30" ht="12" customHeight="1" x14ac:dyDescent="0.25"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</row>
    <row r="192" spans="15:30" ht="12" customHeight="1" x14ac:dyDescent="0.25"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</row>
    <row r="193" spans="15:30" ht="12" customHeight="1" x14ac:dyDescent="0.25"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</row>
    <row r="194" spans="15:30" ht="12" customHeight="1" x14ac:dyDescent="0.25"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</row>
    <row r="195" spans="15:30" ht="12" customHeight="1" x14ac:dyDescent="0.25"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</row>
    <row r="196" spans="15:30" ht="12" customHeight="1" x14ac:dyDescent="0.25"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</row>
    <row r="197" spans="15:30" ht="12" customHeight="1" x14ac:dyDescent="0.25"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</row>
    <row r="198" spans="15:30" ht="12" customHeight="1" x14ac:dyDescent="0.25"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</row>
    <row r="199" spans="15:30" ht="12" customHeight="1" x14ac:dyDescent="0.25"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</row>
    <row r="200" spans="15:30" ht="12" customHeight="1" x14ac:dyDescent="0.25"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</row>
  </sheetData>
  <mergeCells count="19">
    <mergeCell ref="B42:B43"/>
    <mergeCell ref="B44:B45"/>
    <mergeCell ref="B46:C46"/>
    <mergeCell ref="O1:U1"/>
    <mergeCell ref="A48:C48"/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  <mergeCell ref="B38:B41"/>
  </mergeCells>
  <pageMargins left="0.511811024" right="0.511811024" top="0.78740157499999996" bottom="0.78740157499999996" header="0.31496062000000002" footer="0.3149606200000000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F899-42C8-4087-895D-ABCD1F706DD7}">
  <dimension ref="A1:AP51"/>
  <sheetViews>
    <sheetView showGridLines="0" topLeftCell="D52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8" width="10" style="9" bestFit="1" customWidth="1"/>
    <col min="19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10" t="s">
        <v>63</v>
      </c>
      <c r="B1" s="110" t="s">
        <v>64</v>
      </c>
      <c r="C1" s="110" t="s">
        <v>65</v>
      </c>
      <c r="D1" s="110" t="s">
        <v>66</v>
      </c>
      <c r="E1" s="110" t="s">
        <v>67</v>
      </c>
      <c r="F1" s="110" t="s">
        <v>15</v>
      </c>
      <c r="G1" s="110" t="s">
        <v>69</v>
      </c>
      <c r="H1" s="110" t="s">
        <v>70</v>
      </c>
      <c r="I1" s="110" t="s">
        <v>488</v>
      </c>
      <c r="J1" s="98"/>
      <c r="L1" s="111" t="s">
        <v>489</v>
      </c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P1" s="111" t="s">
        <v>490</v>
      </c>
    </row>
    <row r="2" spans="1:42" ht="11.25" customHeight="1" x14ac:dyDescent="0.25">
      <c r="A2" s="110"/>
      <c r="B2" s="110"/>
      <c r="C2" s="110"/>
      <c r="D2" s="110"/>
      <c r="E2" s="110"/>
      <c r="F2" s="110"/>
      <c r="G2" s="110"/>
      <c r="H2" s="110"/>
      <c r="I2" s="110"/>
      <c r="J2" s="98"/>
      <c r="L2" s="111" t="s">
        <v>387</v>
      </c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P2" s="112"/>
    </row>
    <row r="3" spans="1:42" ht="11.25" customHeight="1" x14ac:dyDescent="0.25">
      <c r="A3" s="110"/>
      <c r="B3" s="110"/>
      <c r="C3" s="110"/>
      <c r="D3" s="110"/>
      <c r="E3" s="110"/>
      <c r="F3" s="110"/>
      <c r="G3" s="110"/>
      <c r="H3" s="110"/>
      <c r="I3" s="110"/>
      <c r="J3" s="98"/>
      <c r="L3" s="111" t="s">
        <v>388</v>
      </c>
      <c r="M3" s="111"/>
      <c r="N3" s="111"/>
      <c r="O3" s="111"/>
      <c r="P3" s="111"/>
      <c r="Q3" s="111"/>
      <c r="R3" s="111"/>
      <c r="S3" s="111"/>
      <c r="T3" s="111"/>
      <c r="U3" s="111" t="s">
        <v>397</v>
      </c>
      <c r="V3" s="111"/>
      <c r="W3" s="111"/>
      <c r="X3" s="111"/>
      <c r="Y3" s="111"/>
      <c r="Z3" s="111"/>
      <c r="AA3" s="111"/>
      <c r="AB3" s="111"/>
      <c r="AC3" s="111" t="s">
        <v>405</v>
      </c>
      <c r="AD3" s="111"/>
      <c r="AE3" s="111" t="s">
        <v>407</v>
      </c>
      <c r="AF3" s="111"/>
      <c r="AG3" s="111"/>
      <c r="AH3" s="111" t="s">
        <v>410</v>
      </c>
      <c r="AI3" s="111"/>
      <c r="AJ3" s="111"/>
      <c r="AK3" s="111"/>
      <c r="AL3" s="111"/>
      <c r="AM3" s="111" t="s">
        <v>396</v>
      </c>
      <c r="AP3" s="112"/>
    </row>
    <row r="4" spans="1:42" ht="11.25" customHeight="1" x14ac:dyDescent="0.25">
      <c r="A4" s="110"/>
      <c r="B4" s="110"/>
      <c r="C4" s="110"/>
      <c r="D4" s="110"/>
      <c r="E4" s="110"/>
      <c r="F4" s="110"/>
      <c r="G4" s="110"/>
      <c r="H4" s="110"/>
      <c r="I4" s="110"/>
      <c r="J4" s="98"/>
      <c r="L4" s="10" t="s">
        <v>473</v>
      </c>
      <c r="M4" s="10" t="s">
        <v>389</v>
      </c>
      <c r="N4" s="10" t="s">
        <v>390</v>
      </c>
      <c r="O4" s="10" t="s">
        <v>391</v>
      </c>
      <c r="P4" s="10" t="s">
        <v>392</v>
      </c>
      <c r="Q4" s="10" t="s">
        <v>393</v>
      </c>
      <c r="R4" s="10" t="s">
        <v>394</v>
      </c>
      <c r="S4" s="10" t="s">
        <v>395</v>
      </c>
      <c r="T4" s="10" t="s">
        <v>396</v>
      </c>
      <c r="U4" s="10" t="s">
        <v>398</v>
      </c>
      <c r="V4" s="10" t="s">
        <v>399</v>
      </c>
      <c r="W4" s="10" t="s">
        <v>400</v>
      </c>
      <c r="X4" s="10" t="s">
        <v>401</v>
      </c>
      <c r="Y4" s="10" t="s">
        <v>402</v>
      </c>
      <c r="Z4" s="10" t="s">
        <v>403</v>
      </c>
      <c r="AA4" s="10" t="s">
        <v>404</v>
      </c>
      <c r="AB4" s="10" t="s">
        <v>396</v>
      </c>
      <c r="AC4" s="10" t="s">
        <v>406</v>
      </c>
      <c r="AD4" s="10" t="s">
        <v>396</v>
      </c>
      <c r="AE4" s="10" t="s">
        <v>408</v>
      </c>
      <c r="AF4" s="10" t="s">
        <v>409</v>
      </c>
      <c r="AG4" s="10" t="s">
        <v>396</v>
      </c>
      <c r="AH4" s="10" t="s">
        <v>411</v>
      </c>
      <c r="AI4" s="10" t="s">
        <v>412</v>
      </c>
      <c r="AJ4" s="10" t="s">
        <v>413</v>
      </c>
      <c r="AK4" s="10" t="s">
        <v>414</v>
      </c>
      <c r="AL4" s="10" t="s">
        <v>396</v>
      </c>
      <c r="AM4" s="113"/>
      <c r="AP4" s="112"/>
    </row>
    <row r="5" spans="1:42" ht="11.25" customHeight="1" x14ac:dyDescent="0.25">
      <c r="A5" s="109" t="s">
        <v>35</v>
      </c>
      <c r="B5" s="109" t="s">
        <v>36</v>
      </c>
      <c r="C5" s="109" t="s">
        <v>25</v>
      </c>
      <c r="D5" s="109" t="s">
        <v>25</v>
      </c>
      <c r="E5" s="109" t="s">
        <v>25</v>
      </c>
      <c r="F5" s="109" t="s">
        <v>25</v>
      </c>
      <c r="G5" s="24" t="s">
        <v>79</v>
      </c>
      <c r="H5" s="24" t="s">
        <v>78</v>
      </c>
      <c r="I5" s="24">
        <f>'MERCADO TUSD'!$U$2</f>
        <v>60365</v>
      </c>
      <c r="J5" s="15"/>
      <c r="L5" s="13"/>
      <c r="M5" s="13"/>
      <c r="N5" s="13"/>
      <c r="O5" s="13"/>
      <c r="P5" s="13"/>
      <c r="Q5" s="13"/>
      <c r="R5" s="13"/>
      <c r="S5" s="13"/>
      <c r="T5" s="13"/>
      <c r="U5" s="13">
        <v>0</v>
      </c>
      <c r="V5" s="13">
        <v>0</v>
      </c>
      <c r="W5" s="13">
        <v>0</v>
      </c>
      <c r="X5" s="13">
        <v>0</v>
      </c>
      <c r="Y5" s="13">
        <v>38.1952</v>
      </c>
      <c r="Z5" s="13">
        <v>0</v>
      </c>
      <c r="AA5" s="13">
        <v>0</v>
      </c>
      <c r="AB5" s="13"/>
      <c r="AC5" s="13">
        <v>78.832300000000004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P5" s="13">
        <v>1</v>
      </c>
    </row>
    <row r="6" spans="1:42" ht="11.25" customHeight="1" x14ac:dyDescent="0.25">
      <c r="A6" s="109"/>
      <c r="B6" s="109"/>
      <c r="C6" s="109"/>
      <c r="D6" s="109"/>
      <c r="E6" s="109"/>
      <c r="F6" s="109"/>
      <c r="G6" s="24" t="s">
        <v>80</v>
      </c>
      <c r="H6" s="24" t="s">
        <v>78</v>
      </c>
      <c r="I6" s="24">
        <f>'MERCADO TUSD'!$U$3</f>
        <v>65979</v>
      </c>
      <c r="J6" s="15"/>
      <c r="L6" s="13"/>
      <c r="M6" s="13"/>
      <c r="N6" s="13"/>
      <c r="O6" s="13"/>
      <c r="P6" s="13"/>
      <c r="Q6" s="13"/>
      <c r="R6" s="13"/>
      <c r="S6" s="13"/>
      <c r="T6" s="13"/>
      <c r="U6" s="13">
        <v>0</v>
      </c>
      <c r="V6" s="13">
        <v>0</v>
      </c>
      <c r="W6" s="13">
        <v>0</v>
      </c>
      <c r="X6" s="13">
        <v>0</v>
      </c>
      <c r="Y6" s="13">
        <v>20.168199999999999</v>
      </c>
      <c r="Z6" s="13">
        <v>0</v>
      </c>
      <c r="AA6" s="13">
        <v>0</v>
      </c>
      <c r="AB6" s="13"/>
      <c r="AC6" s="13">
        <v>35.3508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P6" s="13">
        <v>1</v>
      </c>
    </row>
    <row r="7" spans="1:42" ht="11.25" customHeight="1" x14ac:dyDescent="0.25">
      <c r="A7" s="109"/>
      <c r="B7" s="109"/>
      <c r="C7" s="109"/>
      <c r="D7" s="109"/>
      <c r="E7" s="109"/>
      <c r="F7" s="109"/>
      <c r="G7" s="24" t="s">
        <v>77</v>
      </c>
      <c r="H7" s="24" t="s">
        <v>73</v>
      </c>
      <c r="I7" s="24">
        <f>'MERCADO TUSD'!$U$4</f>
        <v>25979.914000000001</v>
      </c>
      <c r="J7" s="15"/>
      <c r="L7" s="13"/>
      <c r="M7" s="13"/>
      <c r="N7" s="13"/>
      <c r="O7" s="13"/>
      <c r="P7" s="13"/>
      <c r="Q7" s="13"/>
      <c r="R7" s="13"/>
      <c r="S7" s="13"/>
      <c r="T7" s="13"/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/>
      <c r="AC7" s="13">
        <v>0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P7" s="13">
        <v>1</v>
      </c>
    </row>
    <row r="8" spans="1:42" ht="11.25" customHeight="1" x14ac:dyDescent="0.25">
      <c r="A8" s="109"/>
      <c r="B8" s="109"/>
      <c r="C8" s="109"/>
      <c r="D8" s="109"/>
      <c r="E8" s="23" t="s">
        <v>81</v>
      </c>
      <c r="F8" s="23" t="s">
        <v>25</v>
      </c>
      <c r="G8" s="24" t="s">
        <v>77</v>
      </c>
      <c r="H8" s="24" t="s">
        <v>73</v>
      </c>
      <c r="I8" s="24">
        <f>'MERCADO TUSD'!$U$5</f>
        <v>0</v>
      </c>
      <c r="J8" s="15"/>
      <c r="L8" s="13"/>
      <c r="M8" s="13"/>
      <c r="N8" s="13"/>
      <c r="O8" s="13"/>
      <c r="P8" s="13"/>
      <c r="Q8" s="13"/>
      <c r="R8" s="13"/>
      <c r="S8" s="13"/>
      <c r="T8" s="13"/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/>
      <c r="AC8" s="13">
        <v>0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P8" s="13">
        <v>1</v>
      </c>
    </row>
    <row r="9" spans="1:42" ht="11.25" customHeight="1" x14ac:dyDescent="0.25">
      <c r="A9" s="109"/>
      <c r="B9" s="23" t="s">
        <v>53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78</v>
      </c>
      <c r="I9" s="24">
        <f>'MERCADO TUSD'!$U$6</f>
        <v>20640</v>
      </c>
      <c r="J9" s="15"/>
      <c r="L9" s="13"/>
      <c r="M9" s="13"/>
      <c r="N9" s="13"/>
      <c r="O9" s="13"/>
      <c r="P9" s="13"/>
      <c r="Q9" s="13"/>
      <c r="R9" s="13"/>
      <c r="S9" s="13"/>
      <c r="T9" s="13"/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/>
      <c r="AC9" s="13">
        <v>39.699399999999997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P9" s="13"/>
    </row>
    <row r="10" spans="1:42" ht="11.25" customHeight="1" x14ac:dyDescent="0.25">
      <c r="A10" s="109"/>
      <c r="B10" s="109" t="s">
        <v>39</v>
      </c>
      <c r="C10" s="109" t="s">
        <v>25</v>
      </c>
      <c r="D10" s="109" t="s">
        <v>25</v>
      </c>
      <c r="E10" s="109" t="s">
        <v>25</v>
      </c>
      <c r="F10" s="109" t="s">
        <v>25</v>
      </c>
      <c r="G10" s="24" t="s">
        <v>9</v>
      </c>
      <c r="H10" s="24" t="s">
        <v>78</v>
      </c>
      <c r="I10" s="24">
        <f>'MERCADO TUSD'!$U$7</f>
        <v>71511</v>
      </c>
      <c r="J10" s="15"/>
      <c r="L10" s="13"/>
      <c r="M10" s="13"/>
      <c r="N10" s="13"/>
      <c r="O10" s="13"/>
      <c r="P10" s="13"/>
      <c r="Q10" s="13"/>
      <c r="R10" s="13"/>
      <c r="S10" s="13"/>
      <c r="T10" s="13"/>
      <c r="U10" s="13">
        <v>0</v>
      </c>
      <c r="V10" s="13">
        <v>0</v>
      </c>
      <c r="W10" s="13">
        <v>0</v>
      </c>
      <c r="X10" s="13">
        <v>0</v>
      </c>
      <c r="Y10" s="13">
        <v>20.168199999999999</v>
      </c>
      <c r="Z10" s="13">
        <v>0</v>
      </c>
      <c r="AA10" s="13">
        <v>0</v>
      </c>
      <c r="AB10" s="13"/>
      <c r="AC10" s="13">
        <v>35.3508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P10" s="13">
        <v>1</v>
      </c>
    </row>
    <row r="11" spans="1:42" ht="11.25" customHeight="1" x14ac:dyDescent="0.25">
      <c r="A11" s="109"/>
      <c r="B11" s="109"/>
      <c r="C11" s="109"/>
      <c r="D11" s="109"/>
      <c r="E11" s="109"/>
      <c r="F11" s="109"/>
      <c r="G11" s="24" t="s">
        <v>74</v>
      </c>
      <c r="H11" s="24" t="s">
        <v>73</v>
      </c>
      <c r="I11" s="24">
        <f>'MERCADO TUSD'!$U$8</f>
        <v>353.77000000000004</v>
      </c>
      <c r="J11" s="15"/>
      <c r="L11" s="13"/>
      <c r="M11" s="13"/>
      <c r="N11" s="13"/>
      <c r="O11" s="13"/>
      <c r="P11" s="13"/>
      <c r="Q11" s="13"/>
      <c r="R11" s="13"/>
      <c r="S11" s="13"/>
      <c r="T11" s="13"/>
      <c r="U11" s="13">
        <v>0</v>
      </c>
      <c r="V11" s="13">
        <v>0</v>
      </c>
      <c r="W11" s="13">
        <v>0</v>
      </c>
      <c r="X11" s="13">
        <v>0</v>
      </c>
      <c r="Y11" s="13">
        <v>918.59540000000004</v>
      </c>
      <c r="Z11" s="13">
        <v>0</v>
      </c>
      <c r="AA11" s="13">
        <v>0</v>
      </c>
      <c r="AB11" s="13"/>
      <c r="AC11" s="13">
        <v>1895.9186999999999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P11" s="13">
        <v>1</v>
      </c>
    </row>
    <row r="12" spans="1:42" ht="11.25" customHeight="1" x14ac:dyDescent="0.25">
      <c r="A12" s="109"/>
      <c r="B12" s="109"/>
      <c r="C12" s="109"/>
      <c r="D12" s="109"/>
      <c r="E12" s="109"/>
      <c r="F12" s="109"/>
      <c r="G12" s="24" t="s">
        <v>75</v>
      </c>
      <c r="H12" s="24" t="s">
        <v>73</v>
      </c>
      <c r="I12" s="24">
        <f>'MERCADO TUSD'!$U$9</f>
        <v>15360.976999999999</v>
      </c>
      <c r="J12" s="15"/>
      <c r="L12" s="13"/>
      <c r="M12" s="13"/>
      <c r="N12" s="13"/>
      <c r="O12" s="13"/>
      <c r="P12" s="13"/>
      <c r="Q12" s="13"/>
      <c r="R12" s="13"/>
      <c r="S12" s="13"/>
      <c r="T12" s="13"/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/>
      <c r="AC12" s="13">
        <v>0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P12" s="13">
        <v>1</v>
      </c>
    </row>
    <row r="13" spans="1:42" ht="11.25" customHeight="1" x14ac:dyDescent="0.25">
      <c r="A13" s="109"/>
      <c r="B13" s="109"/>
      <c r="C13" s="109"/>
      <c r="D13" s="109"/>
      <c r="E13" s="109" t="s">
        <v>81</v>
      </c>
      <c r="F13" s="109" t="s">
        <v>25</v>
      </c>
      <c r="G13" s="24" t="s">
        <v>74</v>
      </c>
      <c r="H13" s="24" t="s">
        <v>73</v>
      </c>
      <c r="I13" s="24">
        <f>'MERCADO TUSD'!$U$10</f>
        <v>0</v>
      </c>
      <c r="J13" s="15"/>
      <c r="L13" s="13"/>
      <c r="M13" s="13"/>
      <c r="N13" s="13"/>
      <c r="O13" s="13"/>
      <c r="P13" s="13"/>
      <c r="Q13" s="13"/>
      <c r="R13" s="13"/>
      <c r="S13" s="13"/>
      <c r="T13" s="13"/>
      <c r="U13" s="13">
        <v>0</v>
      </c>
      <c r="V13" s="13">
        <v>0</v>
      </c>
      <c r="W13" s="13">
        <v>0</v>
      </c>
      <c r="X13" s="13">
        <v>0</v>
      </c>
      <c r="Y13" s="13">
        <v>918.59540000000004</v>
      </c>
      <c r="Z13" s="13">
        <v>0</v>
      </c>
      <c r="AA13" s="13">
        <v>0</v>
      </c>
      <c r="AB13" s="13"/>
      <c r="AC13" s="13">
        <v>1895.9186999999999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P13" s="13">
        <v>1</v>
      </c>
    </row>
    <row r="14" spans="1:42" ht="11.25" customHeight="1" x14ac:dyDescent="0.25">
      <c r="A14" s="109"/>
      <c r="B14" s="109"/>
      <c r="C14" s="109"/>
      <c r="D14" s="109"/>
      <c r="E14" s="109"/>
      <c r="F14" s="109"/>
      <c r="G14" s="24" t="s">
        <v>75</v>
      </c>
      <c r="H14" s="24" t="s">
        <v>73</v>
      </c>
      <c r="I14" s="24">
        <f>'MERCADO TUSD'!$U$11</f>
        <v>0</v>
      </c>
      <c r="J14" s="15"/>
      <c r="L14" s="13"/>
      <c r="M14" s="13"/>
      <c r="N14" s="13"/>
      <c r="O14" s="13"/>
      <c r="P14" s="13"/>
      <c r="Q14" s="13"/>
      <c r="R14" s="13"/>
      <c r="S14" s="13"/>
      <c r="T14" s="13"/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/>
      <c r="AC14" s="13">
        <v>0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P14" s="13">
        <v>1</v>
      </c>
    </row>
    <row r="15" spans="1:42" ht="11.25" customHeight="1" x14ac:dyDescent="0.25">
      <c r="A15" s="109" t="s">
        <v>82</v>
      </c>
      <c r="B15" s="109" t="s">
        <v>53</v>
      </c>
      <c r="C15" s="109" t="s">
        <v>25</v>
      </c>
      <c r="D15" s="109" t="s">
        <v>25</v>
      </c>
      <c r="E15" s="23" t="s">
        <v>83</v>
      </c>
      <c r="F15" s="23" t="s">
        <v>25</v>
      </c>
      <c r="G15" s="24" t="s">
        <v>9</v>
      </c>
      <c r="H15" s="24" t="s">
        <v>78</v>
      </c>
      <c r="I15" s="24">
        <f>'MERCADO TUSD'!$U$12+0.00000001</f>
        <v>1E-8</v>
      </c>
      <c r="J15" s="15"/>
      <c r="L15" s="13"/>
      <c r="M15" s="13"/>
      <c r="N15" s="13"/>
      <c r="O15" s="13"/>
      <c r="P15" s="13"/>
      <c r="Q15" s="13"/>
      <c r="R15" s="13"/>
      <c r="S15" s="13"/>
      <c r="T15" s="13"/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/>
      <c r="AC15" s="13">
        <v>17.869199999999999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P15" s="13"/>
    </row>
    <row r="16" spans="1:42" ht="11.25" customHeight="1" x14ac:dyDescent="0.25">
      <c r="A16" s="109"/>
      <c r="B16" s="109"/>
      <c r="C16" s="109"/>
      <c r="D16" s="109"/>
      <c r="E16" s="23" t="s">
        <v>84</v>
      </c>
      <c r="F16" s="23" t="s">
        <v>25</v>
      </c>
      <c r="G16" s="24" t="s">
        <v>9</v>
      </c>
      <c r="H16" s="24" t="s">
        <v>78</v>
      </c>
      <c r="I16" s="24">
        <f>'MERCADO TUSD'!$U$13+0.00000001</f>
        <v>1E-8</v>
      </c>
      <c r="J16" s="15"/>
      <c r="L16" s="13"/>
      <c r="M16" s="13"/>
      <c r="N16" s="13"/>
      <c r="O16" s="13"/>
      <c r="P16" s="13"/>
      <c r="Q16" s="13"/>
      <c r="R16" s="13"/>
      <c r="S16" s="13"/>
      <c r="T16" s="13"/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/>
      <c r="AC16" s="13">
        <v>44.366100000000003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P16" s="13"/>
    </row>
    <row r="17" spans="1:42" ht="11.25" customHeight="1" x14ac:dyDescent="0.25">
      <c r="A17" s="109" t="s">
        <v>22</v>
      </c>
      <c r="B17" s="109" t="s">
        <v>86</v>
      </c>
      <c r="C17" s="109" t="s">
        <v>24</v>
      </c>
      <c r="D17" s="109" t="s">
        <v>24</v>
      </c>
      <c r="E17" s="109" t="s">
        <v>25</v>
      </c>
      <c r="F17" s="109" t="s">
        <v>25</v>
      </c>
      <c r="G17" s="24" t="s">
        <v>74</v>
      </c>
      <c r="H17" s="24" t="s">
        <v>73</v>
      </c>
      <c r="I17" s="24">
        <f>'MERCADO TUSD'!$U$14</f>
        <v>0</v>
      </c>
      <c r="J17" s="15"/>
      <c r="L17" s="13"/>
      <c r="M17" s="13"/>
      <c r="N17" s="13"/>
      <c r="O17" s="13"/>
      <c r="P17" s="13"/>
      <c r="Q17" s="13"/>
      <c r="R17" s="13"/>
      <c r="S17" s="13"/>
      <c r="T17" s="13"/>
      <c r="U17" s="13">
        <v>0</v>
      </c>
      <c r="V17" s="13">
        <v>0</v>
      </c>
      <c r="W17" s="13">
        <v>0</v>
      </c>
      <c r="X17" s="13">
        <v>0</v>
      </c>
      <c r="Y17" s="13">
        <v>387.36509999999998</v>
      </c>
      <c r="Z17" s="13">
        <v>0</v>
      </c>
      <c r="AA17" s="13">
        <v>0</v>
      </c>
      <c r="AB17" s="13"/>
      <c r="AC17" s="13">
        <v>1497.6701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P17" s="13">
        <v>1</v>
      </c>
    </row>
    <row r="18" spans="1:42" ht="11.25" customHeight="1" x14ac:dyDescent="0.25">
      <c r="A18" s="109"/>
      <c r="B18" s="109"/>
      <c r="C18" s="109"/>
      <c r="D18" s="109"/>
      <c r="E18" s="109"/>
      <c r="F18" s="109"/>
      <c r="G18" s="24" t="s">
        <v>85</v>
      </c>
      <c r="H18" s="24" t="s">
        <v>73</v>
      </c>
      <c r="I18" s="24">
        <f>'MERCADO TUSD'!$U$15</f>
        <v>0</v>
      </c>
      <c r="J18" s="15"/>
      <c r="L18" s="13"/>
      <c r="M18" s="13"/>
      <c r="N18" s="13"/>
      <c r="O18" s="13"/>
      <c r="P18" s="13"/>
      <c r="Q18" s="13"/>
      <c r="R18" s="13"/>
      <c r="S18" s="13"/>
      <c r="T18" s="13"/>
      <c r="U18" s="13">
        <v>0</v>
      </c>
      <c r="V18" s="13">
        <v>0</v>
      </c>
      <c r="W18" s="13">
        <v>0</v>
      </c>
      <c r="X18" s="13">
        <v>0</v>
      </c>
      <c r="Y18" s="13">
        <v>232.41900000000001</v>
      </c>
      <c r="Z18" s="13">
        <v>0</v>
      </c>
      <c r="AA18" s="13">
        <v>0</v>
      </c>
      <c r="AB18" s="13"/>
      <c r="AC18" s="13">
        <v>898.60209999999995</v>
      </c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P18" s="13">
        <v>1</v>
      </c>
    </row>
    <row r="19" spans="1:42" ht="11.25" customHeight="1" x14ac:dyDescent="0.25">
      <c r="A19" s="109"/>
      <c r="B19" s="109"/>
      <c r="C19" s="109"/>
      <c r="D19" s="109"/>
      <c r="E19" s="109"/>
      <c r="F19" s="109"/>
      <c r="G19" s="24" t="s">
        <v>75</v>
      </c>
      <c r="H19" s="24" t="s">
        <v>73</v>
      </c>
      <c r="I19" s="24">
        <f>'MERCADO TUSD'!$U$16</f>
        <v>0</v>
      </c>
      <c r="J19" s="15"/>
      <c r="L19" s="13"/>
      <c r="M19" s="13"/>
      <c r="N19" s="13"/>
      <c r="O19" s="13"/>
      <c r="P19" s="13"/>
      <c r="Q19" s="13"/>
      <c r="R19" s="13"/>
      <c r="S19" s="13"/>
      <c r="T19" s="13"/>
      <c r="U19" s="13">
        <v>0</v>
      </c>
      <c r="V19" s="13">
        <v>0</v>
      </c>
      <c r="W19" s="13">
        <v>0</v>
      </c>
      <c r="X19" s="13">
        <v>0</v>
      </c>
      <c r="Y19" s="13">
        <v>77.472999999999999</v>
      </c>
      <c r="Z19" s="13">
        <v>0</v>
      </c>
      <c r="AA19" s="13">
        <v>0</v>
      </c>
      <c r="AB19" s="13"/>
      <c r="AC19" s="13">
        <v>299.53399999999999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P19" s="13">
        <v>1</v>
      </c>
    </row>
    <row r="20" spans="1:42" ht="11.25" customHeight="1" x14ac:dyDescent="0.25">
      <c r="A20" s="109"/>
      <c r="B20" s="109" t="s">
        <v>23</v>
      </c>
      <c r="C20" s="109" t="s">
        <v>24</v>
      </c>
      <c r="D20" s="23" t="s">
        <v>24</v>
      </c>
      <c r="E20" s="23" t="s">
        <v>25</v>
      </c>
      <c r="F20" s="23" t="s">
        <v>25</v>
      </c>
      <c r="G20" s="24" t="s">
        <v>77</v>
      </c>
      <c r="H20" s="24" t="s">
        <v>73</v>
      </c>
      <c r="I20" s="24">
        <f>'MERCADO TUSD'!$U$17</f>
        <v>4803.848</v>
      </c>
      <c r="J20" s="15"/>
      <c r="L20" s="13"/>
      <c r="M20" s="13"/>
      <c r="N20" s="13"/>
      <c r="O20" s="13"/>
      <c r="P20" s="13"/>
      <c r="Q20" s="13"/>
      <c r="R20" s="13"/>
      <c r="S20" s="13"/>
      <c r="T20" s="13"/>
      <c r="U20" s="13">
        <v>0</v>
      </c>
      <c r="V20" s="13">
        <v>0</v>
      </c>
      <c r="W20" s="13">
        <v>0</v>
      </c>
      <c r="X20" s="13">
        <v>0</v>
      </c>
      <c r="Y20" s="13">
        <v>124.95650000000001</v>
      </c>
      <c r="Z20" s="13">
        <v>0</v>
      </c>
      <c r="AA20" s="13">
        <v>0</v>
      </c>
      <c r="AB20" s="13"/>
      <c r="AC20" s="13">
        <v>483.11939999999998</v>
      </c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P20" s="13">
        <v>1</v>
      </c>
    </row>
    <row r="21" spans="1:42" ht="11.25" customHeight="1" x14ac:dyDescent="0.25">
      <c r="A21" s="109"/>
      <c r="B21" s="109"/>
      <c r="C21" s="109"/>
      <c r="D21" s="23" t="s">
        <v>29</v>
      </c>
      <c r="E21" s="23" t="s">
        <v>25</v>
      </c>
      <c r="F21" s="23" t="s">
        <v>25</v>
      </c>
      <c r="G21" s="24" t="s">
        <v>77</v>
      </c>
      <c r="H21" s="24" t="s">
        <v>73</v>
      </c>
      <c r="I21" s="24">
        <f>'MERCADO TUSD'!$U$18</f>
        <v>28.29</v>
      </c>
      <c r="J21" s="15"/>
      <c r="L21" s="13"/>
      <c r="M21" s="13"/>
      <c r="N21" s="13"/>
      <c r="O21" s="13"/>
      <c r="P21" s="13"/>
      <c r="Q21" s="13"/>
      <c r="R21" s="13"/>
      <c r="S21" s="13"/>
      <c r="T21" s="13"/>
      <c r="U21" s="13">
        <v>0</v>
      </c>
      <c r="V21" s="13">
        <v>0</v>
      </c>
      <c r="W21" s="13">
        <v>0</v>
      </c>
      <c r="X21" s="13">
        <v>0</v>
      </c>
      <c r="Y21" s="13">
        <f>(1 - CUSTOS!$M$24)*124.9565</f>
        <v>124.95650000000001</v>
      </c>
      <c r="Z21" s="13">
        <v>0</v>
      </c>
      <c r="AA21" s="13">
        <v>0</v>
      </c>
      <c r="AB21" s="13"/>
      <c r="AC21" s="13">
        <f>(1 - CUSTOS!$M$24)*483.1194</f>
        <v>483.11939999999998</v>
      </c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P21" s="13">
        <f>IF((1 - CUSTOS!$M$24)&lt;&gt;0,1/(1 - CUSTOS!$M$24),1)</f>
        <v>1</v>
      </c>
    </row>
    <row r="22" spans="1:42" ht="11.25" customHeight="1" x14ac:dyDescent="0.25">
      <c r="A22" s="109"/>
      <c r="B22" s="109"/>
      <c r="C22" s="109"/>
      <c r="D22" s="23" t="s">
        <v>30</v>
      </c>
      <c r="E22" s="23" t="s">
        <v>25</v>
      </c>
      <c r="F22" s="23" t="s">
        <v>25</v>
      </c>
      <c r="G22" s="24" t="s">
        <v>77</v>
      </c>
      <c r="H22" s="24" t="s">
        <v>73</v>
      </c>
      <c r="I22" s="24">
        <f>'MERCADO TUSD'!$U$19</f>
        <v>50.516000000000005</v>
      </c>
      <c r="J22" s="15"/>
      <c r="L22" s="13"/>
      <c r="M22" s="13"/>
      <c r="N22" s="13"/>
      <c r="O22" s="13"/>
      <c r="P22" s="13"/>
      <c r="Q22" s="13"/>
      <c r="R22" s="13"/>
      <c r="S22" s="13"/>
      <c r="T22" s="13"/>
      <c r="U22" s="13">
        <v>0</v>
      </c>
      <c r="V22" s="13">
        <v>0</v>
      </c>
      <c r="W22" s="13">
        <v>0</v>
      </c>
      <c r="X22" s="13">
        <v>0</v>
      </c>
      <c r="Y22" s="13">
        <f>(1 - CUSTOS!$M$25)*124.9565</f>
        <v>124.95650000000001</v>
      </c>
      <c r="Z22" s="13">
        <v>0</v>
      </c>
      <c r="AA22" s="13">
        <v>0</v>
      </c>
      <c r="AB22" s="13"/>
      <c r="AC22" s="13">
        <f>(1 - CUSTOS!$M$25)*483.1194</f>
        <v>483.11939999999998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P22" s="13">
        <f>IF((1 - CUSTOS!$M$25)&lt;&gt;0,1/(1 - CUSTOS!$M$25),1)</f>
        <v>1</v>
      </c>
    </row>
    <row r="23" spans="1:42" ht="11.25" customHeight="1" x14ac:dyDescent="0.25">
      <c r="A23" s="109"/>
      <c r="B23" s="109"/>
      <c r="C23" s="109"/>
      <c r="D23" s="23" t="s">
        <v>31</v>
      </c>
      <c r="E23" s="23" t="s">
        <v>25</v>
      </c>
      <c r="F23" s="23" t="s">
        <v>25</v>
      </c>
      <c r="G23" s="24" t="s">
        <v>77</v>
      </c>
      <c r="H23" s="24" t="s">
        <v>73</v>
      </c>
      <c r="I23" s="24">
        <f>'MERCADO TUSD'!$U$20</f>
        <v>39.111000000000004</v>
      </c>
      <c r="J23" s="15"/>
      <c r="L23" s="13"/>
      <c r="M23" s="13"/>
      <c r="N23" s="13"/>
      <c r="O23" s="13"/>
      <c r="P23" s="13"/>
      <c r="Q23" s="13"/>
      <c r="R23" s="13"/>
      <c r="S23" s="13"/>
      <c r="T23" s="13"/>
      <c r="U23" s="13">
        <v>0</v>
      </c>
      <c r="V23" s="13">
        <v>0</v>
      </c>
      <c r="W23" s="13">
        <v>0</v>
      </c>
      <c r="X23" s="13">
        <v>0</v>
      </c>
      <c r="Y23" s="13">
        <f>(1 - CUSTOS!$M$26)*124.9565</f>
        <v>124.95650000000001</v>
      </c>
      <c r="Z23" s="13">
        <v>0</v>
      </c>
      <c r="AA23" s="13">
        <v>0</v>
      </c>
      <c r="AB23" s="13"/>
      <c r="AC23" s="13">
        <f>(1 - CUSTOS!$M$26)*483.1194</f>
        <v>483.11939999999998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P23" s="13">
        <f>IF((1 - CUSTOS!$M$26)&lt;&gt;0,1/(1 - CUSTOS!$M$26),1)</f>
        <v>1</v>
      </c>
    </row>
    <row r="24" spans="1:42" ht="11.25" customHeight="1" x14ac:dyDescent="0.25">
      <c r="A24" s="109"/>
      <c r="B24" s="109"/>
      <c r="C24" s="109"/>
      <c r="D24" s="23" t="s">
        <v>32</v>
      </c>
      <c r="E24" s="23" t="s">
        <v>25</v>
      </c>
      <c r="F24" s="23" t="s">
        <v>25</v>
      </c>
      <c r="G24" s="24" t="s">
        <v>77</v>
      </c>
      <c r="H24" s="24" t="s">
        <v>73</v>
      </c>
      <c r="I24" s="24">
        <f>'MERCADO TUSD'!$U$21</f>
        <v>10.074999999999999</v>
      </c>
      <c r="J24" s="15"/>
      <c r="L24" s="13"/>
      <c r="M24" s="13"/>
      <c r="N24" s="13"/>
      <c r="O24" s="13"/>
      <c r="P24" s="13"/>
      <c r="Q24" s="13"/>
      <c r="R24" s="13"/>
      <c r="S24" s="13"/>
      <c r="T24" s="13"/>
      <c r="U24" s="13">
        <v>0</v>
      </c>
      <c r="V24" s="13">
        <v>0</v>
      </c>
      <c r="W24" s="13">
        <v>0</v>
      </c>
      <c r="X24" s="13">
        <v>0</v>
      </c>
      <c r="Y24" s="13">
        <f>(1 - CUSTOS!$M$27)*124.9565</f>
        <v>124.95650000000001</v>
      </c>
      <c r="Z24" s="13">
        <v>0</v>
      </c>
      <c r="AA24" s="13">
        <v>0</v>
      </c>
      <c r="AB24" s="13"/>
      <c r="AC24" s="13">
        <f>(1 - CUSTOS!$M$27)*483.1194</f>
        <v>483.11939999999998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P24" s="13">
        <f>IF((1 - CUSTOS!$M$27)&lt;&gt;0,1/(1 - CUSTOS!$M$27),1)</f>
        <v>1</v>
      </c>
    </row>
    <row r="25" spans="1:42" ht="11.25" customHeight="1" x14ac:dyDescent="0.25">
      <c r="A25" s="109"/>
      <c r="B25" s="109" t="s">
        <v>88</v>
      </c>
      <c r="C25" s="109" t="s">
        <v>24</v>
      </c>
      <c r="D25" s="23" t="s">
        <v>24</v>
      </c>
      <c r="E25" s="23" t="s">
        <v>25</v>
      </c>
      <c r="F25" s="23" t="s">
        <v>25</v>
      </c>
      <c r="G25" s="24" t="s">
        <v>77</v>
      </c>
      <c r="H25" s="24" t="s">
        <v>73</v>
      </c>
      <c r="I25" s="24">
        <f>'MERCADO TUSD'!$U$22</f>
        <v>0</v>
      </c>
      <c r="J25" s="15"/>
      <c r="L25" s="13"/>
      <c r="M25" s="13"/>
      <c r="N25" s="13"/>
      <c r="O25" s="13"/>
      <c r="P25" s="13"/>
      <c r="Q25" s="13"/>
      <c r="R25" s="13"/>
      <c r="S25" s="13"/>
      <c r="T25" s="13"/>
      <c r="U25" s="13">
        <v>0</v>
      </c>
      <c r="V25" s="13">
        <v>0</v>
      </c>
      <c r="W25" s="13">
        <v>0</v>
      </c>
      <c r="X25" s="13">
        <v>0</v>
      </c>
      <c r="Y25" s="13">
        <v>124.95650000000001</v>
      </c>
      <c r="Z25" s="13">
        <v>0</v>
      </c>
      <c r="AA25" s="13">
        <v>0</v>
      </c>
      <c r="AB25" s="13"/>
      <c r="AC25" s="13">
        <v>483.11939999999998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P25" s="13">
        <v>1</v>
      </c>
    </row>
    <row r="26" spans="1:42" ht="11.25" customHeight="1" x14ac:dyDescent="0.25">
      <c r="A26" s="109"/>
      <c r="B26" s="109"/>
      <c r="C26" s="109"/>
      <c r="D26" s="23" t="s">
        <v>29</v>
      </c>
      <c r="E26" s="23" t="s">
        <v>25</v>
      </c>
      <c r="F26" s="23" t="s">
        <v>25</v>
      </c>
      <c r="G26" s="24" t="s">
        <v>77</v>
      </c>
      <c r="H26" s="24" t="s">
        <v>73</v>
      </c>
      <c r="I26" s="24">
        <f>'MERCADO TUSD'!$U$23</f>
        <v>0</v>
      </c>
      <c r="J26" s="15"/>
      <c r="L26" s="13"/>
      <c r="M26" s="13"/>
      <c r="N26" s="13"/>
      <c r="O26" s="13"/>
      <c r="P26" s="13"/>
      <c r="Q26" s="13"/>
      <c r="R26" s="13"/>
      <c r="S26" s="13"/>
      <c r="T26" s="13"/>
      <c r="U26" s="13">
        <v>0</v>
      </c>
      <c r="V26" s="13">
        <v>0</v>
      </c>
      <c r="W26" s="13">
        <v>0</v>
      </c>
      <c r="X26" s="13">
        <v>0</v>
      </c>
      <c r="Y26" s="13">
        <f>(1 - CUSTOS!$M$24)*124.9565</f>
        <v>124.95650000000001</v>
      </c>
      <c r="Z26" s="13">
        <v>0</v>
      </c>
      <c r="AA26" s="13">
        <v>0</v>
      </c>
      <c r="AB26" s="13"/>
      <c r="AC26" s="13">
        <f>(1 - CUSTOS!$M$24)*483.1194</f>
        <v>483.11939999999998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P26" s="13">
        <f>IF((1 - CUSTOS!$M$24)&lt;&gt;0,1/(1 - CUSTOS!$M$24),1)</f>
        <v>1</v>
      </c>
    </row>
    <row r="27" spans="1:42" ht="11.25" customHeight="1" x14ac:dyDescent="0.25">
      <c r="A27" s="109"/>
      <c r="B27" s="109"/>
      <c r="C27" s="109"/>
      <c r="D27" s="23" t="s">
        <v>30</v>
      </c>
      <c r="E27" s="23" t="s">
        <v>25</v>
      </c>
      <c r="F27" s="23" t="s">
        <v>25</v>
      </c>
      <c r="G27" s="24" t="s">
        <v>77</v>
      </c>
      <c r="H27" s="24" t="s">
        <v>73</v>
      </c>
      <c r="I27" s="24">
        <f>'MERCADO TUSD'!$U$24</f>
        <v>0</v>
      </c>
      <c r="J27" s="15"/>
      <c r="L27" s="13"/>
      <c r="M27" s="13"/>
      <c r="N27" s="13"/>
      <c r="O27" s="13"/>
      <c r="P27" s="13"/>
      <c r="Q27" s="13"/>
      <c r="R27" s="13"/>
      <c r="S27" s="13"/>
      <c r="T27" s="13"/>
      <c r="U27" s="13">
        <v>0</v>
      </c>
      <c r="V27" s="13">
        <v>0</v>
      </c>
      <c r="W27" s="13">
        <v>0</v>
      </c>
      <c r="X27" s="13">
        <v>0</v>
      </c>
      <c r="Y27" s="13">
        <f>(1 - CUSTOS!$M$25)*124.9565</f>
        <v>124.95650000000001</v>
      </c>
      <c r="Z27" s="13">
        <v>0</v>
      </c>
      <c r="AA27" s="13">
        <v>0</v>
      </c>
      <c r="AB27" s="13"/>
      <c r="AC27" s="13">
        <f>(1 - CUSTOS!$M$25)*483.1194</f>
        <v>483.11939999999998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P27" s="13">
        <f>IF((1 - CUSTOS!$M$25)&lt;&gt;0,1/(1 - CUSTOS!$M$25),1)</f>
        <v>1</v>
      </c>
    </row>
    <row r="28" spans="1:42" ht="11.25" customHeight="1" x14ac:dyDescent="0.25">
      <c r="A28" s="109"/>
      <c r="B28" s="109"/>
      <c r="C28" s="109"/>
      <c r="D28" s="23" t="s">
        <v>31</v>
      </c>
      <c r="E28" s="23" t="s">
        <v>25</v>
      </c>
      <c r="F28" s="23" t="s">
        <v>25</v>
      </c>
      <c r="G28" s="24" t="s">
        <v>77</v>
      </c>
      <c r="H28" s="24" t="s">
        <v>73</v>
      </c>
      <c r="I28" s="24">
        <f>'MERCADO TUSD'!$U$25</f>
        <v>0</v>
      </c>
      <c r="J28" s="15"/>
      <c r="L28" s="13"/>
      <c r="M28" s="13"/>
      <c r="N28" s="13"/>
      <c r="O28" s="13"/>
      <c r="P28" s="13"/>
      <c r="Q28" s="13"/>
      <c r="R28" s="13"/>
      <c r="S28" s="13"/>
      <c r="T28" s="13"/>
      <c r="U28" s="13">
        <v>0</v>
      </c>
      <c r="V28" s="13">
        <v>0</v>
      </c>
      <c r="W28" s="13">
        <v>0</v>
      </c>
      <c r="X28" s="13">
        <v>0</v>
      </c>
      <c r="Y28" s="13">
        <f>(1 - CUSTOS!$M$26)*124.9565</f>
        <v>124.95650000000001</v>
      </c>
      <c r="Z28" s="13">
        <v>0</v>
      </c>
      <c r="AA28" s="13">
        <v>0</v>
      </c>
      <c r="AB28" s="13"/>
      <c r="AC28" s="13">
        <f>(1 - CUSTOS!$M$26)*483.1194</f>
        <v>483.11939999999998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P28" s="13">
        <f>IF((1 - CUSTOS!$M$26)&lt;&gt;0,1/(1 - CUSTOS!$M$26),1)</f>
        <v>1</v>
      </c>
    </row>
    <row r="29" spans="1:42" ht="11.25" customHeight="1" x14ac:dyDescent="0.25">
      <c r="A29" s="109"/>
      <c r="B29" s="109"/>
      <c r="C29" s="109"/>
      <c r="D29" s="23" t="s">
        <v>32</v>
      </c>
      <c r="E29" s="23" t="s">
        <v>25</v>
      </c>
      <c r="F29" s="23" t="s">
        <v>25</v>
      </c>
      <c r="G29" s="24" t="s">
        <v>77</v>
      </c>
      <c r="H29" s="24" t="s">
        <v>73</v>
      </c>
      <c r="I29" s="24">
        <f>'MERCADO TUSD'!$U$26</f>
        <v>0</v>
      </c>
      <c r="J29" s="15"/>
      <c r="L29" s="13"/>
      <c r="M29" s="13"/>
      <c r="N29" s="13"/>
      <c r="O29" s="13"/>
      <c r="P29" s="13"/>
      <c r="Q29" s="13"/>
      <c r="R29" s="13"/>
      <c r="S29" s="13"/>
      <c r="T29" s="13"/>
      <c r="U29" s="13">
        <v>0</v>
      </c>
      <c r="V29" s="13">
        <v>0</v>
      </c>
      <c r="W29" s="13">
        <v>0</v>
      </c>
      <c r="X29" s="13">
        <v>0</v>
      </c>
      <c r="Y29" s="13">
        <f>(1 - CUSTOS!$M$27)*124.9565</f>
        <v>124.95650000000001</v>
      </c>
      <c r="Z29" s="13">
        <v>0</v>
      </c>
      <c r="AA29" s="13">
        <v>0</v>
      </c>
      <c r="AB29" s="13"/>
      <c r="AC29" s="13">
        <f>(1 - CUSTOS!$M$27)*483.1194</f>
        <v>483.11939999999998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P29" s="13">
        <f>IF((1 - CUSTOS!$M$27)&lt;&gt;0,1/(1 - CUSTOS!$M$27),1)</f>
        <v>1</v>
      </c>
    </row>
    <row r="30" spans="1:42" ht="11.25" customHeight="1" x14ac:dyDescent="0.25">
      <c r="A30" s="109" t="s">
        <v>41</v>
      </c>
      <c r="B30" s="109" t="s">
        <v>86</v>
      </c>
      <c r="C30" s="109" t="s">
        <v>42</v>
      </c>
      <c r="D30" s="109" t="s">
        <v>25</v>
      </c>
      <c r="E30" s="109" t="s">
        <v>25</v>
      </c>
      <c r="F30" s="109" t="s">
        <v>25</v>
      </c>
      <c r="G30" s="24" t="s">
        <v>74</v>
      </c>
      <c r="H30" s="24" t="s">
        <v>73</v>
      </c>
      <c r="I30" s="24">
        <f>'MERCADO TUSD'!$U$27</f>
        <v>0</v>
      </c>
      <c r="J30" s="15"/>
      <c r="L30" s="13"/>
      <c r="M30" s="13"/>
      <c r="N30" s="13"/>
      <c r="O30" s="13"/>
      <c r="P30" s="13"/>
      <c r="Q30" s="13"/>
      <c r="R30" s="13"/>
      <c r="S30" s="13"/>
      <c r="T30" s="13"/>
      <c r="U30" s="13">
        <v>0</v>
      </c>
      <c r="V30" s="13">
        <v>0</v>
      </c>
      <c r="W30" s="13">
        <v>0</v>
      </c>
      <c r="X30" s="13">
        <v>0</v>
      </c>
      <c r="Y30" s="13">
        <f>(1 - CUSTOS!$M$28)*339.8816</f>
        <v>339.88159999999999</v>
      </c>
      <c r="Z30" s="13">
        <v>0</v>
      </c>
      <c r="AA30" s="13">
        <v>0</v>
      </c>
      <c r="AB30" s="13"/>
      <c r="AC30" s="13">
        <f>(1 - CUSTOS!$M$28)*1314.0847</f>
        <v>1314.0847000000001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P30" s="13">
        <f>IF((1 - CUSTOS!$M$28)&lt;&gt;0,1/(1 - CUSTOS!$M$28),1)</f>
        <v>1</v>
      </c>
    </row>
    <row r="31" spans="1:42" ht="11.25" customHeight="1" x14ac:dyDescent="0.25">
      <c r="A31" s="109"/>
      <c r="B31" s="109"/>
      <c r="C31" s="109"/>
      <c r="D31" s="109"/>
      <c r="E31" s="109"/>
      <c r="F31" s="109"/>
      <c r="G31" s="24" t="s">
        <v>85</v>
      </c>
      <c r="H31" s="24" t="s">
        <v>73</v>
      </c>
      <c r="I31" s="24">
        <f>'MERCADO TUSD'!$U$28</f>
        <v>0</v>
      </c>
      <c r="J31" s="15"/>
      <c r="L31" s="13"/>
      <c r="M31" s="13"/>
      <c r="N31" s="13"/>
      <c r="O31" s="13"/>
      <c r="P31" s="13"/>
      <c r="Q31" s="13"/>
      <c r="R31" s="13"/>
      <c r="S31" s="13"/>
      <c r="T31" s="13"/>
      <c r="U31" s="13">
        <v>0</v>
      </c>
      <c r="V31" s="13">
        <v>0</v>
      </c>
      <c r="W31" s="13">
        <v>0</v>
      </c>
      <c r="X31" s="13">
        <v>0</v>
      </c>
      <c r="Y31" s="13">
        <f>(1 - CUSTOS!$M$28)*169.9408</f>
        <v>169.9408</v>
      </c>
      <c r="Z31" s="13">
        <v>0</v>
      </c>
      <c r="AA31" s="13">
        <v>0</v>
      </c>
      <c r="AB31" s="13"/>
      <c r="AC31" s="13">
        <f>(1 - CUSTOS!$M$28)*657.0424</f>
        <v>657.04240000000004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P31" s="13">
        <f>IF((1 - CUSTOS!$M$28)&lt;&gt;0,1/(1 - CUSTOS!$M$28),1)</f>
        <v>1</v>
      </c>
    </row>
    <row r="32" spans="1:42" ht="11.25" customHeight="1" x14ac:dyDescent="0.25">
      <c r="A32" s="109"/>
      <c r="B32" s="109"/>
      <c r="C32" s="109"/>
      <c r="D32" s="109"/>
      <c r="E32" s="109"/>
      <c r="F32" s="109"/>
      <c r="G32" s="24" t="s">
        <v>75</v>
      </c>
      <c r="H32" s="24" t="s">
        <v>73</v>
      </c>
      <c r="I32" s="24">
        <f>'MERCADO TUSD'!$U$29</f>
        <v>0</v>
      </c>
      <c r="J32" s="15"/>
      <c r="L32" s="13"/>
      <c r="M32" s="13"/>
      <c r="N32" s="13"/>
      <c r="O32" s="13"/>
      <c r="P32" s="13"/>
      <c r="Q32" s="13"/>
      <c r="R32" s="13"/>
      <c r="S32" s="13"/>
      <c r="T32" s="13"/>
      <c r="U32" s="13">
        <v>0</v>
      </c>
      <c r="V32" s="13">
        <v>0</v>
      </c>
      <c r="W32" s="13">
        <v>0</v>
      </c>
      <c r="X32" s="13">
        <v>0</v>
      </c>
      <c r="Y32" s="13">
        <f>(1 - CUSTOS!$M$28)*84.9704</f>
        <v>84.970399999999998</v>
      </c>
      <c r="Z32" s="13">
        <v>0</v>
      </c>
      <c r="AA32" s="13">
        <v>0</v>
      </c>
      <c r="AB32" s="13"/>
      <c r="AC32" s="13">
        <f>(1 - CUSTOS!$M$28)*328.5212</f>
        <v>328.52120000000002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P32" s="13">
        <f>IF((1 - CUSTOS!$M$28)&lt;&gt;0,1/(1 - CUSTOS!$M$28),1)</f>
        <v>1</v>
      </c>
    </row>
    <row r="33" spans="1:42" ht="11.25" customHeight="1" x14ac:dyDescent="0.25">
      <c r="A33" s="109"/>
      <c r="B33" s="23" t="s">
        <v>23</v>
      </c>
      <c r="C33" s="23" t="s">
        <v>42</v>
      </c>
      <c r="D33" s="23" t="s">
        <v>25</v>
      </c>
      <c r="E33" s="23" t="s">
        <v>25</v>
      </c>
      <c r="F33" s="23" t="s">
        <v>25</v>
      </c>
      <c r="G33" s="24" t="s">
        <v>77</v>
      </c>
      <c r="H33" s="24" t="s">
        <v>73</v>
      </c>
      <c r="I33" s="24">
        <f>'MERCADO TUSD'!$U$30</f>
        <v>21333.253999999997</v>
      </c>
      <c r="J33" s="15"/>
      <c r="L33" s="13"/>
      <c r="M33" s="13"/>
      <c r="N33" s="13"/>
      <c r="O33" s="13"/>
      <c r="P33" s="13"/>
      <c r="Q33" s="13"/>
      <c r="R33" s="13"/>
      <c r="S33" s="13"/>
      <c r="T33" s="13"/>
      <c r="U33" s="13">
        <v>0</v>
      </c>
      <c r="V33" s="13">
        <v>0</v>
      </c>
      <c r="W33" s="13">
        <v>0</v>
      </c>
      <c r="X33" s="13">
        <v>0</v>
      </c>
      <c r="Y33" s="13">
        <f>(1 - CUSTOS!$M$28)*124.9565</f>
        <v>124.95650000000001</v>
      </c>
      <c r="Z33" s="13">
        <v>0</v>
      </c>
      <c r="AA33" s="13">
        <v>0</v>
      </c>
      <c r="AB33" s="13"/>
      <c r="AC33" s="13">
        <f>(1 - CUSTOS!$M$28)*483.1194</f>
        <v>483.11939999999998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P33" s="13">
        <f>IF((1 - CUSTOS!$M$28)&lt;&gt;0,1/(1 - CUSTOS!$M$28),1)</f>
        <v>1</v>
      </c>
    </row>
    <row r="34" spans="1:42" ht="11.25" customHeight="1" x14ac:dyDescent="0.25">
      <c r="A34" s="109"/>
      <c r="B34" s="109" t="s">
        <v>86</v>
      </c>
      <c r="C34" s="109" t="s">
        <v>42</v>
      </c>
      <c r="D34" s="109" t="s">
        <v>89</v>
      </c>
      <c r="E34" s="109" t="s">
        <v>25</v>
      </c>
      <c r="F34" s="109" t="s">
        <v>25</v>
      </c>
      <c r="G34" s="24" t="s">
        <v>74</v>
      </c>
      <c r="H34" s="24" t="s">
        <v>73</v>
      </c>
      <c r="I34" s="24">
        <f>'MERCADO TUSD'!$U$31</f>
        <v>0</v>
      </c>
      <c r="J34" s="15"/>
      <c r="L34" s="13"/>
      <c r="M34" s="13"/>
      <c r="N34" s="13"/>
      <c r="O34" s="13"/>
      <c r="P34" s="13"/>
      <c r="Q34" s="13"/>
      <c r="R34" s="13"/>
      <c r="S34" s="13"/>
      <c r="T34" s="13"/>
      <c r="U34" s="13">
        <v>0</v>
      </c>
      <c r="V34" s="13">
        <v>0</v>
      </c>
      <c r="W34" s="13">
        <v>0</v>
      </c>
      <c r="X34" s="13">
        <v>0</v>
      </c>
      <c r="Y34" s="13">
        <f>(1 - CUSTOS!$M$29)*339.8816</f>
        <v>339.88159999999999</v>
      </c>
      <c r="Z34" s="13">
        <v>0</v>
      </c>
      <c r="AA34" s="13">
        <v>0</v>
      </c>
      <c r="AB34" s="13"/>
      <c r="AC34" s="13">
        <f>(1 - CUSTOS!$M$29)*1314.0847</f>
        <v>1314.0847000000001</v>
      </c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P34" s="13">
        <f>IF((1 - CUSTOS!$M$29)&lt;&gt;0,1/(1 - CUSTOS!$M$29),1)</f>
        <v>1</v>
      </c>
    </row>
    <row r="35" spans="1:42" ht="11.25" customHeight="1" x14ac:dyDescent="0.25">
      <c r="A35" s="109"/>
      <c r="B35" s="109"/>
      <c r="C35" s="109"/>
      <c r="D35" s="109"/>
      <c r="E35" s="109"/>
      <c r="F35" s="109"/>
      <c r="G35" s="24" t="s">
        <v>85</v>
      </c>
      <c r="H35" s="24" t="s">
        <v>73</v>
      </c>
      <c r="I35" s="24">
        <f>'MERCADO TUSD'!$U$32</f>
        <v>0</v>
      </c>
      <c r="J35" s="15"/>
      <c r="L35" s="13"/>
      <c r="M35" s="13"/>
      <c r="N35" s="13"/>
      <c r="O35" s="13"/>
      <c r="P35" s="13"/>
      <c r="Q35" s="13"/>
      <c r="R35" s="13"/>
      <c r="S35" s="13"/>
      <c r="T35" s="13"/>
      <c r="U35" s="13">
        <v>0</v>
      </c>
      <c r="V35" s="13">
        <v>0</v>
      </c>
      <c r="W35" s="13">
        <v>0</v>
      </c>
      <c r="X35" s="13">
        <v>0</v>
      </c>
      <c r="Y35" s="13">
        <f>(1 - CUSTOS!$M$29)*169.9408</f>
        <v>169.9408</v>
      </c>
      <c r="Z35" s="13">
        <v>0</v>
      </c>
      <c r="AA35" s="13">
        <v>0</v>
      </c>
      <c r="AB35" s="13"/>
      <c r="AC35" s="13">
        <f>(1 - CUSTOS!$M$29)*657.0424</f>
        <v>657.04240000000004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P35" s="13">
        <f>IF((1 - CUSTOS!$M$29)&lt;&gt;0,1/(1 - CUSTOS!$M$29),1)</f>
        <v>1</v>
      </c>
    </row>
    <row r="36" spans="1:42" ht="11.25" customHeight="1" x14ac:dyDescent="0.25">
      <c r="A36" s="109"/>
      <c r="B36" s="109"/>
      <c r="C36" s="109"/>
      <c r="D36" s="109"/>
      <c r="E36" s="109"/>
      <c r="F36" s="109"/>
      <c r="G36" s="24" t="s">
        <v>75</v>
      </c>
      <c r="H36" s="24" t="s">
        <v>73</v>
      </c>
      <c r="I36" s="24">
        <f>'MERCADO TUSD'!$U$33</f>
        <v>0</v>
      </c>
      <c r="J36" s="15"/>
      <c r="L36" s="13"/>
      <c r="M36" s="13"/>
      <c r="N36" s="13"/>
      <c r="O36" s="13"/>
      <c r="P36" s="13"/>
      <c r="Q36" s="13"/>
      <c r="R36" s="13"/>
      <c r="S36" s="13"/>
      <c r="T36" s="13"/>
      <c r="U36" s="13">
        <v>0</v>
      </c>
      <c r="V36" s="13">
        <v>0</v>
      </c>
      <c r="W36" s="13">
        <v>0</v>
      </c>
      <c r="X36" s="13">
        <v>0</v>
      </c>
      <c r="Y36" s="13">
        <f>(1 - CUSTOS!$M$29)*84.9704</f>
        <v>84.970399999999998</v>
      </c>
      <c r="Z36" s="13">
        <v>0</v>
      </c>
      <c r="AA36" s="13">
        <v>0</v>
      </c>
      <c r="AB36" s="13"/>
      <c r="AC36" s="13">
        <f>(1 - CUSTOS!$M$29)*328.5212</f>
        <v>328.52120000000002</v>
      </c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P36" s="13">
        <f>IF((1 - CUSTOS!$M$29)&lt;&gt;0,1/(1 - CUSTOS!$M$29),1)</f>
        <v>1</v>
      </c>
    </row>
    <row r="37" spans="1:42" ht="11.25" customHeight="1" x14ac:dyDescent="0.25">
      <c r="A37" s="109"/>
      <c r="B37" s="23" t="s">
        <v>23</v>
      </c>
      <c r="C37" s="23" t="s">
        <v>42</v>
      </c>
      <c r="D37" s="23" t="s">
        <v>89</v>
      </c>
      <c r="E37" s="23" t="s">
        <v>25</v>
      </c>
      <c r="F37" s="23" t="s">
        <v>25</v>
      </c>
      <c r="G37" s="24" t="s">
        <v>77</v>
      </c>
      <c r="H37" s="24" t="s">
        <v>73</v>
      </c>
      <c r="I37" s="24">
        <f>'MERCADO TUSD'!$U$34</f>
        <v>0</v>
      </c>
      <c r="J37" s="15"/>
      <c r="L37" s="13"/>
      <c r="M37" s="13"/>
      <c r="N37" s="13"/>
      <c r="O37" s="13"/>
      <c r="P37" s="13"/>
      <c r="Q37" s="13"/>
      <c r="R37" s="13"/>
      <c r="S37" s="13"/>
      <c r="T37" s="13"/>
      <c r="U37" s="13">
        <v>0</v>
      </c>
      <c r="V37" s="13">
        <v>0</v>
      </c>
      <c r="W37" s="13">
        <v>0</v>
      </c>
      <c r="X37" s="13">
        <v>0</v>
      </c>
      <c r="Y37" s="13">
        <f>(1 - CUSTOS!$M$29)*124.9565</f>
        <v>124.95650000000001</v>
      </c>
      <c r="Z37" s="13">
        <v>0</v>
      </c>
      <c r="AA37" s="13">
        <v>0</v>
      </c>
      <c r="AB37" s="13"/>
      <c r="AC37" s="13">
        <f>(1 - CUSTOS!$M$29)*483.1194</f>
        <v>483.11939999999998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P37" s="13">
        <f>IF((1 - CUSTOS!$M$29)&lt;&gt;0,1/(1 - CUSTOS!$M$29),1)</f>
        <v>1</v>
      </c>
    </row>
    <row r="38" spans="1:42" ht="11.25" customHeight="1" x14ac:dyDescent="0.25">
      <c r="A38" s="109"/>
      <c r="B38" s="109" t="s">
        <v>86</v>
      </c>
      <c r="C38" s="109" t="s">
        <v>42</v>
      </c>
      <c r="D38" s="109" t="s">
        <v>90</v>
      </c>
      <c r="E38" s="109" t="s">
        <v>25</v>
      </c>
      <c r="F38" s="109" t="s">
        <v>25</v>
      </c>
      <c r="G38" s="24" t="s">
        <v>74</v>
      </c>
      <c r="H38" s="24" t="s">
        <v>73</v>
      </c>
      <c r="I38" s="24">
        <f>'MERCADO TUSD'!$U$35</f>
        <v>0</v>
      </c>
      <c r="J38" s="15"/>
      <c r="L38" s="13"/>
      <c r="M38" s="13"/>
      <c r="N38" s="13"/>
      <c r="O38" s="13"/>
      <c r="P38" s="13"/>
      <c r="Q38" s="13"/>
      <c r="R38" s="13"/>
      <c r="S38" s="13"/>
      <c r="T38" s="13"/>
      <c r="U38" s="13">
        <v>0</v>
      </c>
      <c r="V38" s="13">
        <v>0</v>
      </c>
      <c r="W38" s="13">
        <v>0</v>
      </c>
      <c r="X38" s="13">
        <v>0</v>
      </c>
      <c r="Y38" s="13">
        <f>(1 - CUSTOS!$M$30)*339.8816</f>
        <v>339.88159999999999</v>
      </c>
      <c r="Z38" s="13">
        <v>0</v>
      </c>
      <c r="AA38" s="13">
        <v>0</v>
      </c>
      <c r="AB38" s="13"/>
      <c r="AC38" s="13">
        <f>(1 - CUSTOS!$M$30)*1314.0847</f>
        <v>1314.0847000000001</v>
      </c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P38" s="13">
        <f>IF((1 - CUSTOS!$M$30)&lt;&gt;0,1/(1 - CUSTOS!$M$30),1)</f>
        <v>1</v>
      </c>
    </row>
    <row r="39" spans="1:42" ht="11.25" customHeight="1" x14ac:dyDescent="0.25">
      <c r="A39" s="109"/>
      <c r="B39" s="109"/>
      <c r="C39" s="109"/>
      <c r="D39" s="109"/>
      <c r="E39" s="109"/>
      <c r="F39" s="109"/>
      <c r="G39" s="24" t="s">
        <v>85</v>
      </c>
      <c r="H39" s="24" t="s">
        <v>73</v>
      </c>
      <c r="I39" s="24">
        <f>'MERCADO TUSD'!$U$36</f>
        <v>0</v>
      </c>
      <c r="J39" s="15"/>
      <c r="L39" s="13"/>
      <c r="M39" s="13"/>
      <c r="N39" s="13"/>
      <c r="O39" s="13"/>
      <c r="P39" s="13"/>
      <c r="Q39" s="13"/>
      <c r="R39" s="13"/>
      <c r="S39" s="13"/>
      <c r="T39" s="13"/>
      <c r="U39" s="13">
        <v>0</v>
      </c>
      <c r="V39" s="13">
        <v>0</v>
      </c>
      <c r="W39" s="13">
        <v>0</v>
      </c>
      <c r="X39" s="13">
        <v>0</v>
      </c>
      <c r="Y39" s="13">
        <f>(1 - CUSTOS!$M$30)*169.9408</f>
        <v>169.9408</v>
      </c>
      <c r="Z39" s="13">
        <v>0</v>
      </c>
      <c r="AA39" s="13">
        <v>0</v>
      </c>
      <c r="AB39" s="13"/>
      <c r="AC39" s="13">
        <f>(1 - CUSTOS!$M$30)*657.0424</f>
        <v>657.04240000000004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P39" s="13">
        <f>IF((1 - CUSTOS!$M$30)&lt;&gt;0,1/(1 - CUSTOS!$M$30),1)</f>
        <v>1</v>
      </c>
    </row>
    <row r="40" spans="1:42" ht="11.25" customHeight="1" x14ac:dyDescent="0.25">
      <c r="A40" s="109"/>
      <c r="B40" s="109"/>
      <c r="C40" s="109"/>
      <c r="D40" s="109"/>
      <c r="E40" s="109"/>
      <c r="F40" s="109"/>
      <c r="G40" s="24" t="s">
        <v>75</v>
      </c>
      <c r="H40" s="24" t="s">
        <v>73</v>
      </c>
      <c r="I40" s="24">
        <f>'MERCADO TUSD'!$U$37</f>
        <v>0</v>
      </c>
      <c r="J40" s="15"/>
      <c r="L40" s="13"/>
      <c r="M40" s="13"/>
      <c r="N40" s="13"/>
      <c r="O40" s="13"/>
      <c r="P40" s="13"/>
      <c r="Q40" s="13"/>
      <c r="R40" s="13"/>
      <c r="S40" s="13"/>
      <c r="T40" s="13"/>
      <c r="U40" s="13">
        <v>0</v>
      </c>
      <c r="V40" s="13">
        <v>0</v>
      </c>
      <c r="W40" s="13">
        <v>0</v>
      </c>
      <c r="X40" s="13">
        <v>0</v>
      </c>
      <c r="Y40" s="13">
        <f>(1 - CUSTOS!$M$30)*84.9704</f>
        <v>84.970399999999998</v>
      </c>
      <c r="Z40" s="13">
        <v>0</v>
      </c>
      <c r="AA40" s="13">
        <v>0</v>
      </c>
      <c r="AB40" s="13"/>
      <c r="AC40" s="13">
        <f>(1 - CUSTOS!$M$30)*328.5212</f>
        <v>328.52120000000002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P40" s="13">
        <f>IF((1 - CUSTOS!$M$30)&lt;&gt;0,1/(1 - CUSTOS!$M$30),1)</f>
        <v>1</v>
      </c>
    </row>
    <row r="41" spans="1:42" ht="11.25" customHeight="1" x14ac:dyDescent="0.25">
      <c r="A41" s="109"/>
      <c r="B41" s="23" t="s">
        <v>23</v>
      </c>
      <c r="C41" s="23" t="s">
        <v>42</v>
      </c>
      <c r="D41" s="23" t="s">
        <v>90</v>
      </c>
      <c r="E41" s="23" t="s">
        <v>25</v>
      </c>
      <c r="F41" s="23" t="s">
        <v>25</v>
      </c>
      <c r="G41" s="24" t="s">
        <v>77</v>
      </c>
      <c r="H41" s="24" t="s">
        <v>73</v>
      </c>
      <c r="I41" s="24">
        <f>'MERCADO TUSD'!$U$38</f>
        <v>0</v>
      </c>
      <c r="J41" s="15"/>
      <c r="L41" s="13"/>
      <c r="M41" s="13"/>
      <c r="N41" s="13"/>
      <c r="O41" s="13"/>
      <c r="P41" s="13"/>
      <c r="Q41" s="13"/>
      <c r="R41" s="13"/>
      <c r="S41" s="13"/>
      <c r="T41" s="13"/>
      <c r="U41" s="13">
        <v>0</v>
      </c>
      <c r="V41" s="13">
        <v>0</v>
      </c>
      <c r="W41" s="13">
        <v>0</v>
      </c>
      <c r="X41" s="13">
        <v>0</v>
      </c>
      <c r="Y41" s="13">
        <f>(1 - CUSTOS!$M$30)*124.9565</f>
        <v>124.95650000000001</v>
      </c>
      <c r="Z41" s="13">
        <v>0</v>
      </c>
      <c r="AA41" s="13">
        <v>0</v>
      </c>
      <c r="AB41" s="13"/>
      <c r="AC41" s="13">
        <f>(1 - CUSTOS!$M$30)*483.1194</f>
        <v>483.11939999999998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P41" s="13">
        <f>IF((1 - CUSTOS!$M$30)&lt;&gt;0,1/(1 - CUSTOS!$M$30),1)</f>
        <v>1</v>
      </c>
    </row>
    <row r="42" spans="1:42" ht="11.25" customHeight="1" x14ac:dyDescent="0.25">
      <c r="A42" s="109"/>
      <c r="B42" s="109" t="s">
        <v>88</v>
      </c>
      <c r="C42" s="109" t="s">
        <v>42</v>
      </c>
      <c r="D42" s="23" t="s">
        <v>25</v>
      </c>
      <c r="E42" s="23" t="s">
        <v>25</v>
      </c>
      <c r="F42" s="23" t="s">
        <v>25</v>
      </c>
      <c r="G42" s="24" t="s">
        <v>77</v>
      </c>
      <c r="H42" s="24" t="s">
        <v>73</v>
      </c>
      <c r="I42" s="24">
        <f>'MERCADO TUSD'!$U$39</f>
        <v>0</v>
      </c>
      <c r="J42" s="15"/>
      <c r="L42" s="13"/>
      <c r="M42" s="13"/>
      <c r="N42" s="13"/>
      <c r="O42" s="13"/>
      <c r="P42" s="13"/>
      <c r="Q42" s="13"/>
      <c r="R42" s="13"/>
      <c r="S42" s="13"/>
      <c r="T42" s="13"/>
      <c r="U42" s="13">
        <v>0</v>
      </c>
      <c r="V42" s="13">
        <v>0</v>
      </c>
      <c r="W42" s="13">
        <v>0</v>
      </c>
      <c r="X42" s="13">
        <v>0</v>
      </c>
      <c r="Y42" s="13">
        <f>(1 - CUSTOS!$M$28)*124.9565</f>
        <v>124.95650000000001</v>
      </c>
      <c r="Z42" s="13">
        <v>0</v>
      </c>
      <c r="AA42" s="13">
        <v>0</v>
      </c>
      <c r="AB42" s="13"/>
      <c r="AC42" s="13">
        <f>(1 - CUSTOS!$M$28)*483.1194</f>
        <v>483.11939999999998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P42" s="13">
        <f>IF((1 - CUSTOS!$M$28)&lt;&gt;0,1/(1 - CUSTOS!$M$28),1)</f>
        <v>1</v>
      </c>
    </row>
    <row r="43" spans="1:42" ht="11.25" customHeight="1" x14ac:dyDescent="0.25">
      <c r="A43" s="109"/>
      <c r="B43" s="109"/>
      <c r="C43" s="109"/>
      <c r="D43" s="23" t="s">
        <v>89</v>
      </c>
      <c r="E43" s="23" t="s">
        <v>25</v>
      </c>
      <c r="F43" s="23" t="s">
        <v>25</v>
      </c>
      <c r="G43" s="24" t="s">
        <v>77</v>
      </c>
      <c r="H43" s="24" t="s">
        <v>73</v>
      </c>
      <c r="I43" s="24">
        <f>'MERCADO TUSD'!$U$40</f>
        <v>0</v>
      </c>
      <c r="J43" s="15"/>
      <c r="L43" s="13"/>
      <c r="M43" s="13"/>
      <c r="N43" s="13"/>
      <c r="O43" s="13"/>
      <c r="P43" s="13"/>
      <c r="Q43" s="13"/>
      <c r="R43" s="13"/>
      <c r="S43" s="13"/>
      <c r="T43" s="13"/>
      <c r="U43" s="13">
        <v>0</v>
      </c>
      <c r="V43" s="13">
        <v>0</v>
      </c>
      <c r="W43" s="13">
        <v>0</v>
      </c>
      <c r="X43" s="13">
        <v>0</v>
      </c>
      <c r="Y43" s="13">
        <f>(1 - CUSTOS!$M$29)*124.9565</f>
        <v>124.95650000000001</v>
      </c>
      <c r="Z43" s="13">
        <v>0</v>
      </c>
      <c r="AA43" s="13">
        <v>0</v>
      </c>
      <c r="AB43" s="13"/>
      <c r="AC43" s="13">
        <f>(1 - CUSTOS!$M$29)*483.1194</f>
        <v>483.11939999999998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P43" s="13">
        <f>IF((1 - CUSTOS!$M$29)&lt;&gt;0,1/(1 - CUSTOS!$M$29),1)</f>
        <v>1</v>
      </c>
    </row>
    <row r="44" spans="1:42" ht="11.25" customHeight="1" x14ac:dyDescent="0.25">
      <c r="A44" s="109"/>
      <c r="B44" s="109"/>
      <c r="C44" s="109"/>
      <c r="D44" s="23" t="s">
        <v>90</v>
      </c>
      <c r="E44" s="23" t="s">
        <v>25</v>
      </c>
      <c r="F44" s="23" t="s">
        <v>25</v>
      </c>
      <c r="G44" s="24" t="s">
        <v>77</v>
      </c>
      <c r="H44" s="24" t="s">
        <v>73</v>
      </c>
      <c r="I44" s="24">
        <f>'MERCADO TUSD'!$U$41</f>
        <v>0</v>
      </c>
      <c r="J44" s="15"/>
      <c r="L44" s="13"/>
      <c r="M44" s="13"/>
      <c r="N44" s="13"/>
      <c r="O44" s="13"/>
      <c r="P44" s="13"/>
      <c r="Q44" s="13"/>
      <c r="R44" s="13"/>
      <c r="S44" s="13"/>
      <c r="T44" s="13"/>
      <c r="U44" s="13">
        <v>0</v>
      </c>
      <c r="V44" s="13">
        <v>0</v>
      </c>
      <c r="W44" s="13">
        <v>0</v>
      </c>
      <c r="X44" s="13">
        <v>0</v>
      </c>
      <c r="Y44" s="13">
        <f>(1 - CUSTOS!$M$30)*124.9565</f>
        <v>124.95650000000001</v>
      </c>
      <c r="Z44" s="13">
        <v>0</v>
      </c>
      <c r="AA44" s="13">
        <v>0</v>
      </c>
      <c r="AB44" s="13"/>
      <c r="AC44" s="13">
        <f>(1 - CUSTOS!$M$30)*483.1194</f>
        <v>483.11939999999998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P44" s="13">
        <f>IF((1 - CUSTOS!$M$30)&lt;&gt;0,1/(1 - CUSTOS!$M$30),1)</f>
        <v>1</v>
      </c>
    </row>
    <row r="45" spans="1:42" ht="11.25" customHeight="1" x14ac:dyDescent="0.25">
      <c r="A45" s="109" t="s">
        <v>33</v>
      </c>
      <c r="B45" s="109" t="s">
        <v>86</v>
      </c>
      <c r="C45" s="109" t="s">
        <v>25</v>
      </c>
      <c r="D45" s="109" t="s">
        <v>25</v>
      </c>
      <c r="E45" s="109" t="s">
        <v>25</v>
      </c>
      <c r="F45" s="109" t="s">
        <v>25</v>
      </c>
      <c r="G45" s="24" t="s">
        <v>74</v>
      </c>
      <c r="H45" s="24" t="s">
        <v>73</v>
      </c>
      <c r="I45" s="24">
        <f>'MERCADO TUSD'!$U$42</f>
        <v>0</v>
      </c>
      <c r="J45" s="15"/>
      <c r="L45" s="13"/>
      <c r="M45" s="13"/>
      <c r="N45" s="13"/>
      <c r="O45" s="13"/>
      <c r="P45" s="13"/>
      <c r="Q45" s="13"/>
      <c r="R45" s="13"/>
      <c r="S45" s="13"/>
      <c r="T45" s="13"/>
      <c r="U45" s="13">
        <v>0</v>
      </c>
      <c r="V45" s="13">
        <v>0</v>
      </c>
      <c r="W45" s="13">
        <v>0</v>
      </c>
      <c r="X45" s="13">
        <v>0</v>
      </c>
      <c r="Y45" s="13">
        <f>(1 - CUSTOS!$M$31)*406.1086</f>
        <v>406.10860000000002</v>
      </c>
      <c r="Z45" s="13">
        <v>0</v>
      </c>
      <c r="AA45" s="13">
        <v>0</v>
      </c>
      <c r="AB45" s="13"/>
      <c r="AC45" s="13">
        <f>(1 - CUSTOS!$M$31)*1570.138</f>
        <v>1570.1379999999999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P45" s="13">
        <f>IF((1 - CUSTOS!$M$31)&lt;&gt;0,1/(1 - CUSTOS!$M$31),1)</f>
        <v>1</v>
      </c>
    </row>
    <row r="46" spans="1:42" ht="11.25" customHeight="1" x14ac:dyDescent="0.25">
      <c r="A46" s="109"/>
      <c r="B46" s="109"/>
      <c r="C46" s="109"/>
      <c r="D46" s="109"/>
      <c r="E46" s="109"/>
      <c r="F46" s="109"/>
      <c r="G46" s="24" t="s">
        <v>85</v>
      </c>
      <c r="H46" s="24" t="s">
        <v>73</v>
      </c>
      <c r="I46" s="24">
        <f>'MERCADO TUSD'!$U$43</f>
        <v>0</v>
      </c>
      <c r="J46" s="15"/>
      <c r="L46" s="13"/>
      <c r="M46" s="13"/>
      <c r="N46" s="13"/>
      <c r="O46" s="13"/>
      <c r="P46" s="13"/>
      <c r="Q46" s="13"/>
      <c r="R46" s="13"/>
      <c r="S46" s="13"/>
      <c r="T46" s="13"/>
      <c r="U46" s="13">
        <v>0</v>
      </c>
      <c r="V46" s="13">
        <v>0</v>
      </c>
      <c r="W46" s="13">
        <v>0</v>
      </c>
      <c r="X46" s="13">
        <v>0</v>
      </c>
      <c r="Y46" s="13">
        <f>(1 - CUSTOS!$M$31)*243.6651</f>
        <v>243.6651</v>
      </c>
      <c r="Z46" s="13">
        <v>0</v>
      </c>
      <c r="AA46" s="13">
        <v>0</v>
      </c>
      <c r="AB46" s="13"/>
      <c r="AC46" s="13">
        <f>(1 - CUSTOS!$M$31)*942.0828</f>
        <v>942.08280000000002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P46" s="13">
        <f>IF((1 - CUSTOS!$M$31)&lt;&gt;0,1/(1 - CUSTOS!$M$31),1)</f>
        <v>1</v>
      </c>
    </row>
    <row r="47" spans="1:42" ht="11.25" customHeight="1" x14ac:dyDescent="0.25">
      <c r="A47" s="109"/>
      <c r="B47" s="109"/>
      <c r="C47" s="109"/>
      <c r="D47" s="109"/>
      <c r="E47" s="109"/>
      <c r="F47" s="109"/>
      <c r="G47" s="24" t="s">
        <v>75</v>
      </c>
      <c r="H47" s="24" t="s">
        <v>73</v>
      </c>
      <c r="I47" s="24">
        <f>'MERCADO TUSD'!$U$44</f>
        <v>0</v>
      </c>
      <c r="J47" s="15"/>
      <c r="L47" s="13"/>
      <c r="M47" s="13"/>
      <c r="N47" s="13"/>
      <c r="O47" s="13"/>
      <c r="P47" s="13"/>
      <c r="Q47" s="13"/>
      <c r="R47" s="13"/>
      <c r="S47" s="13"/>
      <c r="T47" s="13"/>
      <c r="U47" s="13">
        <v>0</v>
      </c>
      <c r="V47" s="13">
        <v>0</v>
      </c>
      <c r="W47" s="13">
        <v>0</v>
      </c>
      <c r="X47" s="13">
        <v>0</v>
      </c>
      <c r="Y47" s="13">
        <f>(1 - CUSTOS!$M$31)*81.2217</f>
        <v>81.221699999999998</v>
      </c>
      <c r="Z47" s="13">
        <v>0</v>
      </c>
      <c r="AA47" s="13">
        <v>0</v>
      </c>
      <c r="AB47" s="13"/>
      <c r="AC47" s="13">
        <f>(1 - CUSTOS!$M$31)*314.0276</f>
        <v>314.02760000000001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P47" s="13">
        <f>IF((1 - CUSTOS!$M$31)&lt;&gt;0,1/(1 - CUSTOS!$M$31),1)</f>
        <v>1</v>
      </c>
    </row>
    <row r="48" spans="1:42" ht="11.25" customHeight="1" x14ac:dyDescent="0.25">
      <c r="A48" s="109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77</v>
      </c>
      <c r="H48" s="24" t="s">
        <v>73</v>
      </c>
      <c r="I48" s="24">
        <f>'MERCADO TUSD'!$U$45</f>
        <v>3162.4160000000002</v>
      </c>
      <c r="J48" s="15"/>
      <c r="L48" s="13"/>
      <c r="M48" s="13"/>
      <c r="N48" s="13"/>
      <c r="O48" s="13"/>
      <c r="P48" s="13"/>
      <c r="Q48" s="13"/>
      <c r="R48" s="13"/>
      <c r="S48" s="13"/>
      <c r="T48" s="13"/>
      <c r="U48" s="13">
        <v>0</v>
      </c>
      <c r="V48" s="13">
        <v>0</v>
      </c>
      <c r="W48" s="13">
        <v>0</v>
      </c>
      <c r="X48" s="13">
        <v>0</v>
      </c>
      <c r="Y48" s="13">
        <f>(1 - CUSTOS!$M$31)*124.9565</f>
        <v>124.95650000000001</v>
      </c>
      <c r="Z48" s="13">
        <v>0</v>
      </c>
      <c r="AA48" s="13">
        <v>0</v>
      </c>
      <c r="AB48" s="13"/>
      <c r="AC48" s="13">
        <f>(1 - CUSTOS!$M$31)*483.1194</f>
        <v>483.11939999999998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P48" s="13">
        <f>IF((1 - CUSTOS!$M$31)&lt;&gt;0,1/(1 - CUSTOS!$M$31),1)</f>
        <v>1</v>
      </c>
    </row>
    <row r="49" spans="1:42" ht="11.25" customHeight="1" x14ac:dyDescent="0.25">
      <c r="A49" s="109"/>
      <c r="B49" s="23" t="s">
        <v>88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77</v>
      </c>
      <c r="H49" s="24" t="s">
        <v>73</v>
      </c>
      <c r="I49" s="24">
        <f>'MERCADO TUSD'!$U$46</f>
        <v>0</v>
      </c>
      <c r="J49" s="15"/>
      <c r="L49" s="13"/>
      <c r="M49" s="13"/>
      <c r="N49" s="13"/>
      <c r="O49" s="13"/>
      <c r="P49" s="13"/>
      <c r="Q49" s="13"/>
      <c r="R49" s="13"/>
      <c r="S49" s="13"/>
      <c r="T49" s="13"/>
      <c r="U49" s="13">
        <v>0</v>
      </c>
      <c r="V49" s="13">
        <v>0</v>
      </c>
      <c r="W49" s="13">
        <v>0</v>
      </c>
      <c r="X49" s="13">
        <v>0</v>
      </c>
      <c r="Y49" s="13">
        <f>(1 - CUSTOS!$M$31)*124.9565</f>
        <v>124.95650000000001</v>
      </c>
      <c r="Z49" s="13">
        <v>0</v>
      </c>
      <c r="AA49" s="13">
        <v>0</v>
      </c>
      <c r="AB49" s="13"/>
      <c r="AC49" s="13">
        <f>(1 - CUSTOS!$M$31)*483.1194</f>
        <v>483.11939999999998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P49" s="13">
        <f>IF((1 - CUSTOS!$M$31)&lt;&gt;0,1/(1 - CUSTOS!$M$31),1)</f>
        <v>1</v>
      </c>
    </row>
    <row r="50" spans="1:42" ht="11.25" customHeight="1" x14ac:dyDescent="0.25">
      <c r="A50" s="109" t="s">
        <v>44</v>
      </c>
      <c r="B50" s="109" t="s">
        <v>23</v>
      </c>
      <c r="C50" s="109" t="s">
        <v>45</v>
      </c>
      <c r="D50" s="23" t="s">
        <v>46</v>
      </c>
      <c r="E50" s="23" t="s">
        <v>25</v>
      </c>
      <c r="F50" s="23" t="s">
        <v>25</v>
      </c>
      <c r="G50" s="24" t="s">
        <v>77</v>
      </c>
      <c r="H50" s="24" t="s">
        <v>73</v>
      </c>
      <c r="I50" s="24">
        <f>'MERCADO TUSD'!$U$47</f>
        <v>905.86099999999999</v>
      </c>
      <c r="J50" s="15"/>
      <c r="L50" s="13"/>
      <c r="M50" s="13"/>
      <c r="N50" s="13"/>
      <c r="O50" s="13"/>
      <c r="P50" s="13"/>
      <c r="Q50" s="13"/>
      <c r="R50" s="13"/>
      <c r="S50" s="13"/>
      <c r="T50" s="13"/>
      <c r="U50" s="13">
        <v>0</v>
      </c>
      <c r="V50" s="13">
        <v>0</v>
      </c>
      <c r="W50" s="13">
        <v>0</v>
      </c>
      <c r="X50" s="13">
        <v>0</v>
      </c>
      <c r="Y50" s="13">
        <f>(1 - CUSTOS!$M$32)*124.9565</f>
        <v>68.726075000000009</v>
      </c>
      <c r="Z50" s="13">
        <v>0</v>
      </c>
      <c r="AA50" s="13">
        <v>0</v>
      </c>
      <c r="AB50" s="13"/>
      <c r="AC50" s="13">
        <f>(1 - CUSTOS!$M$32)*483.1194</f>
        <v>265.71566999999999</v>
      </c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25">
      <c r="A51" s="109"/>
      <c r="B51" s="109"/>
      <c r="C51" s="109"/>
      <c r="D51" s="24" t="s">
        <v>91</v>
      </c>
      <c r="E51" s="24" t="s">
        <v>25</v>
      </c>
      <c r="F51" s="24" t="s">
        <v>25</v>
      </c>
      <c r="G51" s="24" t="s">
        <v>77</v>
      </c>
      <c r="H51" s="24" t="s">
        <v>73</v>
      </c>
      <c r="I51" s="24">
        <f>'MERCADO TUSD'!$U$48</f>
        <v>0</v>
      </c>
      <c r="J51" s="15"/>
      <c r="L51" s="13"/>
      <c r="M51" s="13"/>
      <c r="N51" s="13"/>
      <c r="O51" s="13"/>
      <c r="P51" s="13"/>
      <c r="Q51" s="13"/>
      <c r="R51" s="13"/>
      <c r="S51" s="13"/>
      <c r="T51" s="13"/>
      <c r="U51" s="13">
        <v>0</v>
      </c>
      <c r="V51" s="13">
        <v>0</v>
      </c>
      <c r="W51" s="13">
        <v>0</v>
      </c>
      <c r="X51" s="13">
        <v>0</v>
      </c>
      <c r="Y51" s="13">
        <f>(1 - CUSTOS!$M$33)*124.9565</f>
        <v>74.9739</v>
      </c>
      <c r="Z51" s="13">
        <v>0</v>
      </c>
      <c r="AA51" s="13">
        <v>0</v>
      </c>
      <c r="AB51" s="13"/>
      <c r="AC51" s="13">
        <f>(1 - CUSTOS!$M$33)*483.1194</f>
        <v>289.87163999999996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P51" s="13">
        <f>IF((1 - CUSTOS!$M$33)&lt;&gt;0,1/(1 - CUSTOS!$M$33),1)</f>
        <v>1.6666666666666667</v>
      </c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091A-87FA-4E63-8807-F22114F6F351}">
  <dimension ref="A1:AP70"/>
  <sheetViews>
    <sheetView showGridLines="0" topLeftCell="D54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8" width="10" style="9" bestFit="1" customWidth="1"/>
    <col min="19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10" t="s">
        <v>63</v>
      </c>
      <c r="B1" s="110" t="s">
        <v>64</v>
      </c>
      <c r="C1" s="110" t="s">
        <v>65</v>
      </c>
      <c r="D1" s="110" t="s">
        <v>66</v>
      </c>
      <c r="E1" s="110" t="s">
        <v>67</v>
      </c>
      <c r="F1" s="110" t="s">
        <v>15</v>
      </c>
      <c r="G1" s="110" t="s">
        <v>69</v>
      </c>
      <c r="H1" s="110" t="s">
        <v>70</v>
      </c>
      <c r="I1" s="110" t="s">
        <v>488</v>
      </c>
      <c r="J1" s="98"/>
      <c r="L1" s="111" t="s">
        <v>489</v>
      </c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P1" s="111" t="s">
        <v>490</v>
      </c>
    </row>
    <row r="2" spans="1:42" ht="11.25" customHeight="1" x14ac:dyDescent="0.25">
      <c r="A2" s="110"/>
      <c r="B2" s="110"/>
      <c r="C2" s="110"/>
      <c r="D2" s="110"/>
      <c r="E2" s="110"/>
      <c r="F2" s="110"/>
      <c r="G2" s="110"/>
      <c r="H2" s="110"/>
      <c r="I2" s="110"/>
      <c r="J2" s="98"/>
      <c r="L2" s="111" t="s">
        <v>387</v>
      </c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P2" s="112"/>
    </row>
    <row r="3" spans="1:42" ht="11.25" customHeight="1" x14ac:dyDescent="0.25">
      <c r="A3" s="110"/>
      <c r="B3" s="110"/>
      <c r="C3" s="110"/>
      <c r="D3" s="110"/>
      <c r="E3" s="110"/>
      <c r="F3" s="110"/>
      <c r="G3" s="110"/>
      <c r="H3" s="110"/>
      <c r="I3" s="110"/>
      <c r="J3" s="98"/>
      <c r="L3" s="111" t="s">
        <v>388</v>
      </c>
      <c r="M3" s="111"/>
      <c r="N3" s="111"/>
      <c r="O3" s="111"/>
      <c r="P3" s="111"/>
      <c r="Q3" s="111"/>
      <c r="R3" s="111"/>
      <c r="S3" s="111"/>
      <c r="T3" s="111"/>
      <c r="U3" s="111" t="s">
        <v>397</v>
      </c>
      <c r="V3" s="111"/>
      <c r="W3" s="111"/>
      <c r="X3" s="111"/>
      <c r="Y3" s="111"/>
      <c r="Z3" s="111"/>
      <c r="AA3" s="111"/>
      <c r="AB3" s="111"/>
      <c r="AC3" s="111" t="s">
        <v>405</v>
      </c>
      <c r="AD3" s="111"/>
      <c r="AE3" s="111" t="s">
        <v>407</v>
      </c>
      <c r="AF3" s="111"/>
      <c r="AG3" s="111"/>
      <c r="AH3" s="111" t="s">
        <v>410</v>
      </c>
      <c r="AI3" s="111"/>
      <c r="AJ3" s="111"/>
      <c r="AK3" s="111"/>
      <c r="AL3" s="111"/>
      <c r="AM3" s="111" t="s">
        <v>396</v>
      </c>
      <c r="AP3" s="112"/>
    </row>
    <row r="4" spans="1:42" ht="11.25" customHeight="1" x14ac:dyDescent="0.25">
      <c r="A4" s="110"/>
      <c r="B4" s="110"/>
      <c r="C4" s="110"/>
      <c r="D4" s="110"/>
      <c r="E4" s="110"/>
      <c r="F4" s="110"/>
      <c r="G4" s="110"/>
      <c r="H4" s="110"/>
      <c r="I4" s="110"/>
      <c r="J4" s="98"/>
      <c r="L4" s="10" t="s">
        <v>473</v>
      </c>
      <c r="M4" s="10" t="s">
        <v>389</v>
      </c>
      <c r="N4" s="10" t="s">
        <v>390</v>
      </c>
      <c r="O4" s="10" t="s">
        <v>391</v>
      </c>
      <c r="P4" s="10" t="s">
        <v>392</v>
      </c>
      <c r="Q4" s="10" t="s">
        <v>393</v>
      </c>
      <c r="R4" s="10" t="s">
        <v>394</v>
      </c>
      <c r="S4" s="10" t="s">
        <v>395</v>
      </c>
      <c r="T4" s="10" t="s">
        <v>396</v>
      </c>
      <c r="U4" s="10" t="s">
        <v>398</v>
      </c>
      <c r="V4" s="10" t="s">
        <v>399</v>
      </c>
      <c r="W4" s="10" t="s">
        <v>400</v>
      </c>
      <c r="X4" s="10" t="s">
        <v>401</v>
      </c>
      <c r="Y4" s="10" t="s">
        <v>402</v>
      </c>
      <c r="Z4" s="10" t="s">
        <v>403</v>
      </c>
      <c r="AA4" s="10" t="s">
        <v>404</v>
      </c>
      <c r="AB4" s="10" t="s">
        <v>396</v>
      </c>
      <c r="AC4" s="10" t="s">
        <v>406</v>
      </c>
      <c r="AD4" s="10" t="s">
        <v>396</v>
      </c>
      <c r="AE4" s="10" t="s">
        <v>408</v>
      </c>
      <c r="AF4" s="10" t="s">
        <v>409</v>
      </c>
      <c r="AG4" s="10" t="s">
        <v>396</v>
      </c>
      <c r="AH4" s="10" t="s">
        <v>411</v>
      </c>
      <c r="AI4" s="10" t="s">
        <v>412</v>
      </c>
      <c r="AJ4" s="10" t="s">
        <v>413</v>
      </c>
      <c r="AK4" s="10" t="s">
        <v>414</v>
      </c>
      <c r="AL4" s="10" t="s">
        <v>396</v>
      </c>
      <c r="AM4" s="113"/>
      <c r="AP4" s="112"/>
    </row>
    <row r="5" spans="1:42" ht="11.25" customHeight="1" x14ac:dyDescent="0.25">
      <c r="A5" s="109" t="s">
        <v>35</v>
      </c>
      <c r="B5" s="109" t="s">
        <v>36</v>
      </c>
      <c r="C5" s="109" t="s">
        <v>25</v>
      </c>
      <c r="D5" s="109" t="s">
        <v>25</v>
      </c>
      <c r="E5" s="109" t="s">
        <v>25</v>
      </c>
      <c r="F5" s="109" t="s">
        <v>25</v>
      </c>
      <c r="G5" s="24" t="s">
        <v>79</v>
      </c>
      <c r="H5" s="24" t="s">
        <v>78</v>
      </c>
      <c r="I5" s="24">
        <f>'MERCADO TUSD'!$U$2</f>
        <v>60365</v>
      </c>
      <c r="J5" s="15"/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/>
      <c r="U5" s="13">
        <f>TRANSICAO!$U$5*CUSTOS!$R$3</f>
        <v>0</v>
      </c>
      <c r="V5" s="13">
        <f>TRANSICAO!$V$5*CUSTOS!$R$3</f>
        <v>0</v>
      </c>
      <c r="W5" s="13">
        <f>TRANSICAO!$W$5*CUSTOS!$R$3</f>
        <v>0</v>
      </c>
      <c r="X5" s="13">
        <f>TRANSICAO!$X$5*CUSTOS!$R$3</f>
        <v>0</v>
      </c>
      <c r="Y5" s="13">
        <f>TRANSICAO!$Y$5*CUSTOS!$R$3</f>
        <v>38.1952</v>
      </c>
      <c r="Z5" s="13">
        <f>TRANSICAO!$Z$5*CUSTOS!$R$3</f>
        <v>0</v>
      </c>
      <c r="AA5" s="13">
        <f>TRANSICAO!$AA$5*CUSTOS!$R$3</f>
        <v>0</v>
      </c>
      <c r="AB5" s="13">
        <f>TRANSICAO!$AB$5*CUSTOS!$R$3</f>
        <v>0</v>
      </c>
      <c r="AC5" s="13">
        <f>TRANSICAO!$AC$5*CUSTOS!$R$3</f>
        <v>78.832300000000004</v>
      </c>
      <c r="AD5" s="13">
        <f>TRANSICAO!$AD$5*CUSTOS!$R$3</f>
        <v>0</v>
      </c>
      <c r="AE5" s="13">
        <v>0</v>
      </c>
      <c r="AF5" s="13">
        <v>0</v>
      </c>
      <c r="AG5" s="13"/>
      <c r="AH5" s="13">
        <v>0</v>
      </c>
      <c r="AI5" s="13">
        <v>0</v>
      </c>
      <c r="AJ5" s="13">
        <v>0</v>
      </c>
      <c r="AK5" s="13">
        <f t="shared" ref="AK5:AK51" si="0">AJ5</f>
        <v>0</v>
      </c>
      <c r="AL5" s="13"/>
      <c r="AM5" s="13"/>
      <c r="AP5" s="13">
        <v>1</v>
      </c>
    </row>
    <row r="6" spans="1:42" ht="11.25" customHeight="1" x14ac:dyDescent="0.25">
      <c r="A6" s="109"/>
      <c r="B6" s="109"/>
      <c r="C6" s="109"/>
      <c r="D6" s="109"/>
      <c r="E6" s="109"/>
      <c r="F6" s="109"/>
      <c r="G6" s="24" t="s">
        <v>80</v>
      </c>
      <c r="H6" s="24" t="s">
        <v>78</v>
      </c>
      <c r="I6" s="24">
        <f>'MERCADO TUSD'!$U$3</f>
        <v>65979</v>
      </c>
      <c r="J6" s="15"/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3">
        <f>TRANSICAO!$U$6*CUSTOS!$R$3</f>
        <v>0</v>
      </c>
      <c r="V6" s="13">
        <f>TRANSICAO!$V$6*CUSTOS!$R$3</f>
        <v>0</v>
      </c>
      <c r="W6" s="13">
        <f>TRANSICAO!$W$6*CUSTOS!$R$3</f>
        <v>0</v>
      </c>
      <c r="X6" s="13">
        <f>TRANSICAO!$X$6*CUSTOS!$R$3</f>
        <v>0</v>
      </c>
      <c r="Y6" s="13">
        <f>TRANSICAO!$Y$6*CUSTOS!$R$3</f>
        <v>20.168199999999999</v>
      </c>
      <c r="Z6" s="13">
        <f>TRANSICAO!$Z$6*CUSTOS!$R$3</f>
        <v>0</v>
      </c>
      <c r="AA6" s="13">
        <f>TRANSICAO!$AA$6*CUSTOS!$R$3</f>
        <v>0</v>
      </c>
      <c r="AB6" s="13">
        <f>TRANSICAO!$AB$6*CUSTOS!$R$3</f>
        <v>0</v>
      </c>
      <c r="AC6" s="13">
        <f>TRANSICAO!$AC$6*CUSTOS!$R$3</f>
        <v>35.3508</v>
      </c>
      <c r="AD6" s="13">
        <f>TRANSICAO!$AD$6*CUSTOS!$R$3</f>
        <v>0</v>
      </c>
      <c r="AE6" s="13">
        <v>0</v>
      </c>
      <c r="AF6" s="13">
        <v>0</v>
      </c>
      <c r="AG6" s="13"/>
      <c r="AH6" s="13">
        <v>0</v>
      </c>
      <c r="AI6" s="13">
        <v>0</v>
      </c>
      <c r="AJ6" s="13">
        <v>0</v>
      </c>
      <c r="AK6" s="13">
        <f t="shared" si="0"/>
        <v>0</v>
      </c>
      <c r="AL6" s="13"/>
      <c r="AM6" s="13"/>
      <c r="AP6" s="13">
        <v>1</v>
      </c>
    </row>
    <row r="7" spans="1:42" ht="11.25" customHeight="1" x14ac:dyDescent="0.25">
      <c r="A7" s="109"/>
      <c r="B7" s="109"/>
      <c r="C7" s="109"/>
      <c r="D7" s="109"/>
      <c r="E7" s="109"/>
      <c r="F7" s="109"/>
      <c r="G7" s="24" t="s">
        <v>77</v>
      </c>
      <c r="H7" s="24" t="s">
        <v>73</v>
      </c>
      <c r="I7" s="24">
        <f>'MERCADO TUSD'!$U$4</f>
        <v>25979.914000000001</v>
      </c>
      <c r="J7" s="15"/>
      <c r="L7" s="13">
        <f>0.84</f>
        <v>0.84</v>
      </c>
      <c r="M7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1.1373817157357744</v>
      </c>
      <c r="N7" s="13">
        <f ca="1">(+M7+O7+R7+U7+V7+W7+X7+Y7+Z7+AA7+AC7+AH7+AI7+AJ7+AK7)*CUSTOS!$M$5</f>
        <v>8.8367817157357747E-14</v>
      </c>
      <c r="O7" s="13">
        <v>1</v>
      </c>
      <c r="P7" s="13">
        <v>1</v>
      </c>
      <c r="Q7" s="13">
        <f>0.84</f>
        <v>0.84</v>
      </c>
      <c r="R7" s="13">
        <v>1</v>
      </c>
      <c r="S7" s="13">
        <v>1</v>
      </c>
      <c r="T7" s="13"/>
      <c r="U7" s="13">
        <f>TRANSICAO!$U$7*CUSTOS!$R$3</f>
        <v>0</v>
      </c>
      <c r="V7" s="13">
        <f>TRANSICAO!$V$7*CUSTOS!$R$3</f>
        <v>0</v>
      </c>
      <c r="W7" s="13">
        <f>TRANSICAO!$W$7*CUSTOS!$R$3</f>
        <v>0</v>
      </c>
      <c r="X7" s="13">
        <f>TRANSICAO!$X$7*CUSTOS!$R$3</f>
        <v>0</v>
      </c>
      <c r="Y7" s="13">
        <f>TRANSICAO!$Y$7*CUSTOS!$R$3</f>
        <v>0</v>
      </c>
      <c r="Z7" s="13">
        <f>TRANSICAO!$Z$7*CUSTOS!$R$3</f>
        <v>0</v>
      </c>
      <c r="AA7" s="13">
        <f>TRANSICAO!$AA$7*CUSTOS!$R$3</f>
        <v>0</v>
      </c>
      <c r="AB7" s="13">
        <f>TRANSICAO!$AB$7*CUSTOS!$R$3</f>
        <v>0</v>
      </c>
      <c r="AC7" s="13">
        <f>TRANSICAO!$AC$7*CUSTOS!$R$3</f>
        <v>0</v>
      </c>
      <c r="AD7" s="13">
        <f>TRANSICAO!$AD$7*CUSTOS!$R$3</f>
        <v>0</v>
      </c>
      <c r="AE7" s="13">
        <v>0</v>
      </c>
      <c r="AF7" s="13">
        <v>0</v>
      </c>
      <c r="AG7" s="13"/>
      <c r="AH7" s="13">
        <v>2.8496999999999999</v>
      </c>
      <c r="AI7" s="13">
        <v>2.8496999999999999</v>
      </c>
      <c r="AJ7" s="13">
        <f ca="1">$N$63</f>
        <v>0</v>
      </c>
      <c r="AK7" s="13">
        <f t="shared" ca="1" si="0"/>
        <v>0</v>
      </c>
      <c r="AL7" s="13"/>
      <c r="AM7" s="13"/>
      <c r="AP7" s="13">
        <v>1</v>
      </c>
    </row>
    <row r="8" spans="1:42" ht="11.25" customHeight="1" x14ac:dyDescent="0.25">
      <c r="A8" s="109"/>
      <c r="B8" s="109"/>
      <c r="C8" s="109"/>
      <c r="D8" s="109"/>
      <c r="E8" s="23" t="s">
        <v>81</v>
      </c>
      <c r="F8" s="23" t="s">
        <v>25</v>
      </c>
      <c r="G8" s="24" t="s">
        <v>77</v>
      </c>
      <c r="H8" s="24" t="s">
        <v>73</v>
      </c>
      <c r="I8" s="24">
        <f>'MERCADO TUSD'!$U$5</f>
        <v>0</v>
      </c>
      <c r="J8" s="15"/>
      <c r="L8" s="13">
        <v>0</v>
      </c>
      <c r="M8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1.1373817157357744</v>
      </c>
      <c r="N8" s="13">
        <f ca="1">(+M8+O8+R8+U8+V8+W8+X8+Y8+Z8+AA8+AC8+AH8+AI8+AJ8+AK8)*CUSTOS!$M$5</f>
        <v>7.8367817157357751E-14</v>
      </c>
      <c r="O8" s="13">
        <v>1</v>
      </c>
      <c r="P8" s="13">
        <v>0</v>
      </c>
      <c r="Q8" s="13">
        <v>0</v>
      </c>
      <c r="R8" s="13">
        <v>0</v>
      </c>
      <c r="S8" s="13">
        <v>0</v>
      </c>
      <c r="T8" s="13"/>
      <c r="U8" s="13">
        <f>TRANSICAO!$U$8*CUSTOS!$R$3</f>
        <v>0</v>
      </c>
      <c r="V8" s="13">
        <f>TRANSICAO!$V$8*CUSTOS!$R$3</f>
        <v>0</v>
      </c>
      <c r="W8" s="13">
        <f>TRANSICAO!$W$8*CUSTOS!$R$3</f>
        <v>0</v>
      </c>
      <c r="X8" s="13">
        <f>TRANSICAO!$X$8*CUSTOS!$R$3</f>
        <v>0</v>
      </c>
      <c r="Y8" s="13">
        <f>TRANSICAO!$Y$8*CUSTOS!$R$3</f>
        <v>0</v>
      </c>
      <c r="Z8" s="13">
        <f>TRANSICAO!$Z$8*CUSTOS!$R$3</f>
        <v>0</v>
      </c>
      <c r="AA8" s="13">
        <f>TRANSICAO!$AA$8*CUSTOS!$R$3</f>
        <v>0</v>
      </c>
      <c r="AB8" s="13">
        <f>TRANSICAO!$AB$8*CUSTOS!$R$3</f>
        <v>0</v>
      </c>
      <c r="AC8" s="13">
        <f>TRANSICAO!$AC$8*CUSTOS!$R$3</f>
        <v>0</v>
      </c>
      <c r="AD8" s="13">
        <f>TRANSICAO!$AD$8*CUSTOS!$R$3</f>
        <v>0</v>
      </c>
      <c r="AE8" s="13">
        <v>0</v>
      </c>
      <c r="AF8" s="13">
        <v>0</v>
      </c>
      <c r="AG8" s="13"/>
      <c r="AH8" s="13">
        <v>2.8496999999999999</v>
      </c>
      <c r="AI8" s="13">
        <v>2.8496999999999999</v>
      </c>
      <c r="AJ8" s="13">
        <f ca="1">$N$63</f>
        <v>0</v>
      </c>
      <c r="AK8" s="13">
        <f t="shared" ca="1" si="0"/>
        <v>0</v>
      </c>
      <c r="AL8" s="13"/>
      <c r="AM8" s="13"/>
      <c r="AP8" s="13">
        <v>1</v>
      </c>
    </row>
    <row r="9" spans="1:42" ht="11.25" customHeight="1" x14ac:dyDescent="0.25">
      <c r="A9" s="109"/>
      <c r="B9" s="23" t="s">
        <v>53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78</v>
      </c>
      <c r="I9" s="24">
        <f>'MERCADO TUSD'!$U$6</f>
        <v>20640</v>
      </c>
      <c r="J9" s="15"/>
      <c r="L9" s="13">
        <v>0</v>
      </c>
      <c r="M9" s="13">
        <v>0.1588</v>
      </c>
      <c r="N9" s="13">
        <f>0.3986</f>
        <v>0.39860000000000001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3">
        <f>TRANSICAO!$U$9*CUSTOS!$R$4</f>
        <v>0</v>
      </c>
      <c r="V9" s="13">
        <f>TRANSICAO!$V$9*CUSTOS!$R$4</f>
        <v>0</v>
      </c>
      <c r="W9" s="13">
        <f>TRANSICAO!$W$9*CUSTOS!$R$4</f>
        <v>0</v>
      </c>
      <c r="X9" s="13">
        <f>TRANSICAO!$X$9*CUSTOS!$R$4</f>
        <v>0</v>
      </c>
      <c r="Y9" s="13">
        <f>TRANSICAO!$Y$9*CUSTOS!$R$4</f>
        <v>0</v>
      </c>
      <c r="Z9" s="13">
        <f>TRANSICAO!$Z$9*CUSTOS!$R$4</f>
        <v>0</v>
      </c>
      <c r="AA9" s="13">
        <f>TRANSICAO!$AA$9*CUSTOS!$R$4</f>
        <v>0</v>
      </c>
      <c r="AB9" s="13">
        <f>TRANSICAO!$AB$9*CUSTOS!$R$4</f>
        <v>0</v>
      </c>
      <c r="AC9" s="13">
        <f>TRANSICAO!$AC$9*CUSTOS!$R$4</f>
        <v>19.849699999999999</v>
      </c>
      <c r="AD9" s="13">
        <f>TRANSICAO!$AD$9*CUSTOS!$R$4</f>
        <v>0</v>
      </c>
      <c r="AE9" s="13">
        <v>0</v>
      </c>
      <c r="AF9" s="13">
        <v>0</v>
      </c>
      <c r="AG9" s="13"/>
      <c r="AH9" s="13">
        <v>0</v>
      </c>
      <c r="AI9" s="13">
        <v>0</v>
      </c>
      <c r="AJ9" s="13">
        <v>0</v>
      </c>
      <c r="AK9" s="13">
        <f t="shared" si="0"/>
        <v>0</v>
      </c>
      <c r="AL9" s="13"/>
      <c r="AM9" s="13"/>
      <c r="AP9" s="13"/>
    </row>
    <row r="10" spans="1:42" ht="11.25" customHeight="1" x14ac:dyDescent="0.25">
      <c r="A10" s="109"/>
      <c r="B10" s="109" t="s">
        <v>39</v>
      </c>
      <c r="C10" s="109" t="s">
        <v>25</v>
      </c>
      <c r="D10" s="109" t="s">
        <v>25</v>
      </c>
      <c r="E10" s="109" t="s">
        <v>25</v>
      </c>
      <c r="F10" s="109" t="s">
        <v>25</v>
      </c>
      <c r="G10" s="24" t="s">
        <v>9</v>
      </c>
      <c r="H10" s="24" t="s">
        <v>78</v>
      </c>
      <c r="I10" s="24">
        <f>'MERCADO TUSD'!$U$7</f>
        <v>71511</v>
      </c>
      <c r="J10" s="15"/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3">
        <f>TRANSICAO!$U$10*CUSTOS!$R$3</f>
        <v>0</v>
      </c>
      <c r="V10" s="13">
        <f>TRANSICAO!$V$10*CUSTOS!$R$3</f>
        <v>0</v>
      </c>
      <c r="W10" s="13">
        <f>TRANSICAO!$W$10*CUSTOS!$R$3</f>
        <v>0</v>
      </c>
      <c r="X10" s="13">
        <f>TRANSICAO!$X$10*CUSTOS!$R$3</f>
        <v>0</v>
      </c>
      <c r="Y10" s="13">
        <f>TRANSICAO!$Y$10*CUSTOS!$R$3</f>
        <v>20.168199999999999</v>
      </c>
      <c r="Z10" s="13">
        <f>TRANSICAO!$Z$10*CUSTOS!$R$3</f>
        <v>0</v>
      </c>
      <c r="AA10" s="13">
        <f>TRANSICAO!$AA$10*CUSTOS!$R$3</f>
        <v>0</v>
      </c>
      <c r="AB10" s="13">
        <f>TRANSICAO!$AB$10*CUSTOS!$R$3</f>
        <v>0</v>
      </c>
      <c r="AC10" s="13">
        <f>TRANSICAO!$AC$10*CUSTOS!$R$3</f>
        <v>35.3508</v>
      </c>
      <c r="AD10" s="13">
        <f>TRANSICAO!$AD$10*CUSTOS!$R$3</f>
        <v>0</v>
      </c>
      <c r="AE10" s="13">
        <v>0</v>
      </c>
      <c r="AF10" s="13">
        <v>0</v>
      </c>
      <c r="AG10" s="13"/>
      <c r="AH10" s="13">
        <v>0</v>
      </c>
      <c r="AI10" s="13">
        <v>0</v>
      </c>
      <c r="AJ10" s="13">
        <v>0</v>
      </c>
      <c r="AK10" s="13">
        <f t="shared" si="0"/>
        <v>0</v>
      </c>
      <c r="AL10" s="13"/>
      <c r="AM10" s="13"/>
      <c r="AP10" s="13">
        <v>1</v>
      </c>
    </row>
    <row r="11" spans="1:42" ht="11.25" customHeight="1" x14ac:dyDescent="0.25">
      <c r="A11" s="109"/>
      <c r="B11" s="109"/>
      <c r="C11" s="109"/>
      <c r="D11" s="109"/>
      <c r="E11" s="109"/>
      <c r="F11" s="109"/>
      <c r="G11" s="24" t="s">
        <v>74</v>
      </c>
      <c r="H11" s="24" t="s">
        <v>73</v>
      </c>
      <c r="I11" s="24">
        <f>'MERCADO TUSD'!$U$8</f>
        <v>353.77000000000004</v>
      </c>
      <c r="J11" s="15"/>
      <c r="L11" s="13">
        <f>0.84</f>
        <v>0.84</v>
      </c>
      <c r="M11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1.1373817157357744</v>
      </c>
      <c r="N11" s="13">
        <f ca="1">(+M11+O11+R11+U11+V11+W11+X11+Y11+Z11+AA11+AC11+AH11+AI11+AJ11+AK11)*CUSTOS!$M$5</f>
        <v>2.8233508817157363E-11</v>
      </c>
      <c r="O11" s="13">
        <v>1</v>
      </c>
      <c r="P11" s="13">
        <v>1</v>
      </c>
      <c r="Q11" s="13">
        <f>0.84</f>
        <v>0.84</v>
      </c>
      <c r="R11" s="13">
        <v>1</v>
      </c>
      <c r="S11" s="13">
        <v>1</v>
      </c>
      <c r="T11" s="13"/>
      <c r="U11" s="13">
        <f>TRANSICAO!$U$11*CUSTOS!$R$3</f>
        <v>0</v>
      </c>
      <c r="V11" s="13">
        <f>TRANSICAO!$V$11*CUSTOS!$R$3</f>
        <v>0</v>
      </c>
      <c r="W11" s="13">
        <f>TRANSICAO!$W$11*CUSTOS!$R$3</f>
        <v>0</v>
      </c>
      <c r="X11" s="13">
        <f>TRANSICAO!$X$11*CUSTOS!$R$3</f>
        <v>0</v>
      </c>
      <c r="Y11" s="13">
        <f>TRANSICAO!$Y$11*CUSTOS!$R$3</f>
        <v>918.59540000000004</v>
      </c>
      <c r="Z11" s="13">
        <f>TRANSICAO!$Z$11*CUSTOS!$R$3</f>
        <v>0</v>
      </c>
      <c r="AA11" s="13">
        <f>TRANSICAO!$AA$11*CUSTOS!$R$3</f>
        <v>0</v>
      </c>
      <c r="AB11" s="13">
        <f>TRANSICAO!$AB$11*CUSTOS!$R$3</f>
        <v>0</v>
      </c>
      <c r="AC11" s="13">
        <f>TRANSICAO!$AC$11*CUSTOS!$R$3</f>
        <v>1895.9186999999999</v>
      </c>
      <c r="AD11" s="13">
        <f>TRANSICAO!$AD$11*CUSTOS!$R$3</f>
        <v>0</v>
      </c>
      <c r="AE11" s="13">
        <v>0</v>
      </c>
      <c r="AF11" s="13">
        <v>0</v>
      </c>
      <c r="AG11" s="13"/>
      <c r="AH11" s="13">
        <v>2.8496999999999999</v>
      </c>
      <c r="AI11" s="13">
        <v>2.8496999999999999</v>
      </c>
      <c r="AJ11" s="13">
        <f ca="1">$N$63</f>
        <v>0</v>
      </c>
      <c r="AK11" s="13">
        <f t="shared" ca="1" si="0"/>
        <v>0</v>
      </c>
      <c r="AL11" s="13"/>
      <c r="AM11" s="13"/>
      <c r="AP11" s="13">
        <v>1</v>
      </c>
    </row>
    <row r="12" spans="1:42" ht="11.25" customHeight="1" x14ac:dyDescent="0.25">
      <c r="A12" s="109"/>
      <c r="B12" s="109"/>
      <c r="C12" s="109"/>
      <c r="D12" s="109"/>
      <c r="E12" s="109"/>
      <c r="F12" s="109"/>
      <c r="G12" s="24" t="s">
        <v>75</v>
      </c>
      <c r="H12" s="24" t="s">
        <v>73</v>
      </c>
      <c r="I12" s="24">
        <f>'MERCADO TUSD'!$U$9</f>
        <v>15360.976999999999</v>
      </c>
      <c r="J12" s="15"/>
      <c r="L12" s="13">
        <f>0.84</f>
        <v>0.84</v>
      </c>
      <c r="M12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1.1373817157357744</v>
      </c>
      <c r="N12" s="13">
        <f ca="1">(+M12+O12+R12+U12+V12+W12+X12+Y12+Z12+AA12+AC12+AH12+AI12+AJ12+AK12)*CUSTOS!$M$5</f>
        <v>8.8367817157357747E-14</v>
      </c>
      <c r="O12" s="13">
        <v>1</v>
      </c>
      <c r="P12" s="13">
        <v>1</v>
      </c>
      <c r="Q12" s="13">
        <f>0.84</f>
        <v>0.84</v>
      </c>
      <c r="R12" s="13">
        <v>1</v>
      </c>
      <c r="S12" s="13">
        <v>1</v>
      </c>
      <c r="T12" s="13"/>
      <c r="U12" s="13">
        <f>TRANSICAO!$U$12*CUSTOS!$R$3</f>
        <v>0</v>
      </c>
      <c r="V12" s="13">
        <f>TRANSICAO!$V$12*CUSTOS!$R$3</f>
        <v>0</v>
      </c>
      <c r="W12" s="13">
        <f>TRANSICAO!$W$12*CUSTOS!$R$3</f>
        <v>0</v>
      </c>
      <c r="X12" s="13">
        <f>TRANSICAO!$X$12*CUSTOS!$R$3</f>
        <v>0</v>
      </c>
      <c r="Y12" s="13">
        <f>TRANSICAO!$Y$12*CUSTOS!$R$3</f>
        <v>0</v>
      </c>
      <c r="Z12" s="13">
        <f>TRANSICAO!$Z$12*CUSTOS!$R$3</f>
        <v>0</v>
      </c>
      <c r="AA12" s="13">
        <f>TRANSICAO!$AA$12*CUSTOS!$R$3</f>
        <v>0</v>
      </c>
      <c r="AB12" s="13">
        <f>TRANSICAO!$AB$12*CUSTOS!$R$3</f>
        <v>0</v>
      </c>
      <c r="AC12" s="13">
        <f>TRANSICAO!$AC$12*CUSTOS!$R$3</f>
        <v>0</v>
      </c>
      <c r="AD12" s="13">
        <f>TRANSICAO!$AD$12*CUSTOS!$R$3</f>
        <v>0</v>
      </c>
      <c r="AE12" s="13">
        <v>0</v>
      </c>
      <c r="AF12" s="13">
        <v>0</v>
      </c>
      <c r="AG12" s="13"/>
      <c r="AH12" s="13">
        <v>2.8496999999999999</v>
      </c>
      <c r="AI12" s="13">
        <v>2.8496999999999999</v>
      </c>
      <c r="AJ12" s="13">
        <f ca="1">$N$63</f>
        <v>0</v>
      </c>
      <c r="AK12" s="13">
        <f t="shared" ca="1" si="0"/>
        <v>0</v>
      </c>
      <c r="AL12" s="13"/>
      <c r="AM12" s="13"/>
      <c r="AP12" s="13">
        <v>1</v>
      </c>
    </row>
    <row r="13" spans="1:42" ht="11.25" customHeight="1" x14ac:dyDescent="0.25">
      <c r="A13" s="109"/>
      <c r="B13" s="109"/>
      <c r="C13" s="109"/>
      <c r="D13" s="109"/>
      <c r="E13" s="109" t="s">
        <v>81</v>
      </c>
      <c r="F13" s="109" t="s">
        <v>25</v>
      </c>
      <c r="G13" s="24" t="s">
        <v>74</v>
      </c>
      <c r="H13" s="24" t="s">
        <v>73</v>
      </c>
      <c r="I13" s="24">
        <f>'MERCADO TUSD'!$U$10</f>
        <v>0</v>
      </c>
      <c r="J13" s="15"/>
      <c r="L13" s="13">
        <v>0</v>
      </c>
      <c r="M13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1.1373817157357744</v>
      </c>
      <c r="N13" s="13">
        <f ca="1">(+M13+O13+R13+U13+V13+W13+X13+Y13+Z13+AA13+AC13+AH13+AI13+AJ13+AK13)*CUSTOS!$M$5</f>
        <v>2.8223508817157361E-11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/>
      <c r="U13" s="13">
        <f>TRANSICAO!$U$13*CUSTOS!$R$3</f>
        <v>0</v>
      </c>
      <c r="V13" s="13">
        <f>TRANSICAO!$V$13*CUSTOS!$R$3</f>
        <v>0</v>
      </c>
      <c r="W13" s="13">
        <f>TRANSICAO!$W$13*CUSTOS!$R$3</f>
        <v>0</v>
      </c>
      <c r="X13" s="13">
        <f>TRANSICAO!$X$13*CUSTOS!$R$3</f>
        <v>0</v>
      </c>
      <c r="Y13" s="13">
        <f>TRANSICAO!$Y$13*CUSTOS!$R$3</f>
        <v>918.59540000000004</v>
      </c>
      <c r="Z13" s="13">
        <f>TRANSICAO!$Z$13*CUSTOS!$R$3</f>
        <v>0</v>
      </c>
      <c r="AA13" s="13">
        <f>TRANSICAO!$AA$13*CUSTOS!$R$3</f>
        <v>0</v>
      </c>
      <c r="AB13" s="13">
        <f>TRANSICAO!$AB$13*CUSTOS!$R$3</f>
        <v>0</v>
      </c>
      <c r="AC13" s="13">
        <f>TRANSICAO!$AC$13*CUSTOS!$R$3</f>
        <v>1895.9186999999999</v>
      </c>
      <c r="AD13" s="13">
        <f>TRANSICAO!$AD$13*CUSTOS!$R$3</f>
        <v>0</v>
      </c>
      <c r="AE13" s="13">
        <v>0</v>
      </c>
      <c r="AF13" s="13">
        <v>0</v>
      </c>
      <c r="AG13" s="13"/>
      <c r="AH13" s="13">
        <v>2.8496999999999999</v>
      </c>
      <c r="AI13" s="13">
        <v>2.8496999999999999</v>
      </c>
      <c r="AJ13" s="13">
        <f ca="1">$N$63</f>
        <v>0</v>
      </c>
      <c r="AK13" s="13">
        <f t="shared" ca="1" si="0"/>
        <v>0</v>
      </c>
      <c r="AL13" s="13"/>
      <c r="AM13" s="13"/>
      <c r="AP13" s="13">
        <v>1</v>
      </c>
    </row>
    <row r="14" spans="1:42" ht="11.25" customHeight="1" x14ac:dyDescent="0.25">
      <c r="A14" s="109"/>
      <c r="B14" s="109"/>
      <c r="C14" s="109"/>
      <c r="D14" s="109"/>
      <c r="E14" s="109"/>
      <c r="F14" s="109"/>
      <c r="G14" s="24" t="s">
        <v>75</v>
      </c>
      <c r="H14" s="24" t="s">
        <v>73</v>
      </c>
      <c r="I14" s="24">
        <f>'MERCADO TUSD'!$U$11</f>
        <v>0</v>
      </c>
      <c r="J14" s="15"/>
      <c r="L14" s="13">
        <v>0</v>
      </c>
      <c r="M14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1.1373817157357744</v>
      </c>
      <c r="N14" s="13">
        <f ca="1">(+M14+O14+R14+U14+V14+W14+X14+Y14+Z14+AA14+AC14+AH14+AI14+AJ14+AK14)*CUSTOS!$M$5</f>
        <v>7.8367817157357751E-14</v>
      </c>
      <c r="O14" s="13">
        <v>1</v>
      </c>
      <c r="P14" s="13">
        <v>0</v>
      </c>
      <c r="Q14" s="13">
        <v>0</v>
      </c>
      <c r="R14" s="13">
        <v>0</v>
      </c>
      <c r="S14" s="13">
        <v>0</v>
      </c>
      <c r="T14" s="13"/>
      <c r="U14" s="13">
        <f>TRANSICAO!$U$14*CUSTOS!$R$3</f>
        <v>0</v>
      </c>
      <c r="V14" s="13">
        <f>TRANSICAO!$V$14*CUSTOS!$R$3</f>
        <v>0</v>
      </c>
      <c r="W14" s="13">
        <f>TRANSICAO!$W$14*CUSTOS!$R$3</f>
        <v>0</v>
      </c>
      <c r="X14" s="13">
        <f>TRANSICAO!$X$14*CUSTOS!$R$3</f>
        <v>0</v>
      </c>
      <c r="Y14" s="13">
        <f>TRANSICAO!$Y$14*CUSTOS!$R$3</f>
        <v>0</v>
      </c>
      <c r="Z14" s="13">
        <f>TRANSICAO!$Z$14*CUSTOS!$R$3</f>
        <v>0</v>
      </c>
      <c r="AA14" s="13">
        <f>TRANSICAO!$AA$14*CUSTOS!$R$3</f>
        <v>0</v>
      </c>
      <c r="AB14" s="13">
        <f>TRANSICAO!$AB$14*CUSTOS!$R$3</f>
        <v>0</v>
      </c>
      <c r="AC14" s="13">
        <f>TRANSICAO!$AC$14*CUSTOS!$R$3</f>
        <v>0</v>
      </c>
      <c r="AD14" s="13">
        <f>TRANSICAO!$AD$14*CUSTOS!$R$3</f>
        <v>0</v>
      </c>
      <c r="AE14" s="13">
        <v>0</v>
      </c>
      <c r="AF14" s="13">
        <v>0</v>
      </c>
      <c r="AG14" s="13"/>
      <c r="AH14" s="13">
        <v>2.8496999999999999</v>
      </c>
      <c r="AI14" s="13">
        <v>2.8496999999999999</v>
      </c>
      <c r="AJ14" s="13">
        <f ca="1">$N$63</f>
        <v>0</v>
      </c>
      <c r="AK14" s="13">
        <f t="shared" ca="1" si="0"/>
        <v>0</v>
      </c>
      <c r="AL14" s="13"/>
      <c r="AM14" s="13"/>
      <c r="AP14" s="13">
        <v>1</v>
      </c>
    </row>
    <row r="15" spans="1:42" ht="11.25" customHeight="1" x14ac:dyDescent="0.25">
      <c r="A15" s="109" t="s">
        <v>82</v>
      </c>
      <c r="B15" s="109" t="s">
        <v>53</v>
      </c>
      <c r="C15" s="109" t="s">
        <v>25</v>
      </c>
      <c r="D15" s="109" t="s">
        <v>25</v>
      </c>
      <c r="E15" s="23" t="s">
        <v>83</v>
      </c>
      <c r="F15" s="23" t="s">
        <v>25</v>
      </c>
      <c r="G15" s="24" t="s">
        <v>9</v>
      </c>
      <c r="H15" s="24" t="s">
        <v>78</v>
      </c>
      <c r="I15" s="24">
        <f>'MERCADO TUSD'!$U$12+0.00000001</f>
        <v>1E-8</v>
      </c>
      <c r="J15" s="15"/>
      <c r="L15" s="13">
        <v>0</v>
      </c>
      <c r="M15" s="13">
        <v>7.1499999999999994E-2</v>
      </c>
      <c r="N15" s="13">
        <f>0.1794</f>
        <v>0.1794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3">
        <f>TRANSICAO!$U$15*CUSTOS!$T$4</f>
        <v>0</v>
      </c>
      <c r="V15" s="13">
        <f>TRANSICAO!$V$15*CUSTOS!$T$4</f>
        <v>0</v>
      </c>
      <c r="W15" s="13">
        <f>TRANSICAO!$W$15*CUSTOS!$T$4</f>
        <v>0</v>
      </c>
      <c r="X15" s="13">
        <f>TRANSICAO!$X$15*CUSTOS!$T$4</f>
        <v>0</v>
      </c>
      <c r="Y15" s="13">
        <f>TRANSICAO!$Y$15*CUSTOS!$T$4</f>
        <v>0</v>
      </c>
      <c r="Z15" s="13">
        <f>TRANSICAO!$Z$15*CUSTOS!$T$4</f>
        <v>0</v>
      </c>
      <c r="AA15" s="13">
        <f>TRANSICAO!$AA$15*CUSTOS!$T$4</f>
        <v>0</v>
      </c>
      <c r="AB15" s="13">
        <f>TRANSICAO!$AB$15*CUSTOS!$T$4</f>
        <v>0</v>
      </c>
      <c r="AC15" s="13">
        <f>TRANSICAO!$AC$15*CUSTOS!$T$4</f>
        <v>17.869199999999999</v>
      </c>
      <c r="AD15" s="13">
        <f>TRANSICAO!$AD$15*CUSTOS!$T$4</f>
        <v>0</v>
      </c>
      <c r="AE15" s="13">
        <v>0</v>
      </c>
      <c r="AF15" s="13">
        <v>0</v>
      </c>
      <c r="AG15" s="13"/>
      <c r="AH15" s="13">
        <v>0</v>
      </c>
      <c r="AI15" s="13">
        <v>0</v>
      </c>
      <c r="AJ15" s="13">
        <v>0</v>
      </c>
      <c r="AK15" s="13">
        <f t="shared" si="0"/>
        <v>0</v>
      </c>
      <c r="AL15" s="13"/>
      <c r="AM15" s="13"/>
      <c r="AP15" s="13"/>
    </row>
    <row r="16" spans="1:42" ht="11.25" customHeight="1" x14ac:dyDescent="0.25">
      <c r="A16" s="109"/>
      <c r="B16" s="109"/>
      <c r="C16" s="109"/>
      <c r="D16" s="109"/>
      <c r="E16" s="23" t="s">
        <v>84</v>
      </c>
      <c r="F16" s="23" t="s">
        <v>25</v>
      </c>
      <c r="G16" s="24" t="s">
        <v>9</v>
      </c>
      <c r="H16" s="24" t="s">
        <v>78</v>
      </c>
      <c r="I16" s="24">
        <f>'MERCADO TUSD'!$U$13+0.00000001</f>
        <v>1E-8</v>
      </c>
      <c r="J16" s="15"/>
      <c r="L16" s="13">
        <v>0</v>
      </c>
      <c r="M16" s="13">
        <v>7.1499999999999994E-2</v>
      </c>
      <c r="N16" s="13">
        <f>0.1794</f>
        <v>0.1794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3">
        <f>TRANSICAO!$U$16*CUSTOS!$T$4</f>
        <v>0</v>
      </c>
      <c r="V16" s="13">
        <f>TRANSICAO!$V$16*CUSTOS!$T$4</f>
        <v>0</v>
      </c>
      <c r="W16" s="13">
        <f>TRANSICAO!$W$16*CUSTOS!$T$4</f>
        <v>0</v>
      </c>
      <c r="X16" s="13">
        <f>TRANSICAO!$X$16*CUSTOS!$T$4</f>
        <v>0</v>
      </c>
      <c r="Y16" s="13">
        <f>TRANSICAO!$Y$16*CUSTOS!$T$4</f>
        <v>0</v>
      </c>
      <c r="Z16" s="13">
        <f>TRANSICAO!$Z$16*CUSTOS!$T$4</f>
        <v>0</v>
      </c>
      <c r="AA16" s="13">
        <f>TRANSICAO!$AA$16*CUSTOS!$T$4</f>
        <v>0</v>
      </c>
      <c r="AB16" s="13">
        <f>TRANSICAO!$AB$16*CUSTOS!$T$4</f>
        <v>0</v>
      </c>
      <c r="AC16" s="13">
        <f>TRANSICAO!$AC$16*CUSTOS!$T$4</f>
        <v>44.366100000000003</v>
      </c>
      <c r="AD16" s="13">
        <f>TRANSICAO!$AD$16*CUSTOS!$T$4</f>
        <v>0</v>
      </c>
      <c r="AE16" s="13">
        <v>0</v>
      </c>
      <c r="AF16" s="13">
        <v>0</v>
      </c>
      <c r="AG16" s="13"/>
      <c r="AH16" s="13">
        <v>0</v>
      </c>
      <c r="AI16" s="13">
        <v>0</v>
      </c>
      <c r="AJ16" s="13">
        <v>0</v>
      </c>
      <c r="AK16" s="13">
        <f t="shared" si="0"/>
        <v>0</v>
      </c>
      <c r="AL16" s="13"/>
      <c r="AM16" s="13"/>
      <c r="AP16" s="13"/>
    </row>
    <row r="17" spans="1:42" ht="11.25" customHeight="1" x14ac:dyDescent="0.25">
      <c r="A17" s="109" t="s">
        <v>22</v>
      </c>
      <c r="B17" s="109" t="s">
        <v>86</v>
      </c>
      <c r="C17" s="109" t="s">
        <v>24</v>
      </c>
      <c r="D17" s="109" t="s">
        <v>24</v>
      </c>
      <c r="E17" s="109" t="s">
        <v>25</v>
      </c>
      <c r="F17" s="109" t="s">
        <v>25</v>
      </c>
      <c r="G17" s="24" t="s">
        <v>74</v>
      </c>
      <c r="H17" s="24" t="s">
        <v>73</v>
      </c>
      <c r="I17" s="24">
        <f>'MERCADO TUSD'!$U$14</f>
        <v>0</v>
      </c>
      <c r="J17" s="15"/>
      <c r="L17" s="13">
        <f>1</f>
        <v>1</v>
      </c>
      <c r="M1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2.2265564387930983</v>
      </c>
      <c r="N17" s="13">
        <f ca="1">(+M17+O17+R17+U17+V17+W17+X17+Y17+Z17+AA17+AC17+AH17+AI17+AJ17+AK17)*CUSTOS!$M$5</f>
        <v>1.9199639564387934E-11</v>
      </c>
      <c r="O17" s="13">
        <v>1</v>
      </c>
      <c r="P17" s="13">
        <v>1</v>
      </c>
      <c r="Q17" s="13">
        <f>1</f>
        <v>1</v>
      </c>
      <c r="R17" s="13">
        <v>1</v>
      </c>
      <c r="S17" s="13">
        <v>1</v>
      </c>
      <c r="T17" s="13"/>
      <c r="U17" s="13">
        <f>TRANSICAO!$U$17*CUSTOS!$T$3</f>
        <v>0</v>
      </c>
      <c r="V17" s="13">
        <f>TRANSICAO!$V$17*CUSTOS!$T$3</f>
        <v>0</v>
      </c>
      <c r="W17" s="13">
        <f>TRANSICAO!$W$17*CUSTOS!$T$3</f>
        <v>0</v>
      </c>
      <c r="X17" s="13">
        <f>TRANSICAO!$X$17*CUSTOS!$T$3</f>
        <v>0</v>
      </c>
      <c r="Y17" s="13">
        <f>TRANSICAO!$Y$17*CUSTOS!$T$3</f>
        <v>387.36509999999998</v>
      </c>
      <c r="Z17" s="13">
        <f>TRANSICAO!$Z$17*CUSTOS!$T$3</f>
        <v>0</v>
      </c>
      <c r="AA17" s="13">
        <f>TRANSICAO!$AA$17*CUSTOS!$T$3</f>
        <v>0</v>
      </c>
      <c r="AB17" s="13">
        <f>TRANSICAO!$AB$17*CUSTOS!$T$3</f>
        <v>0</v>
      </c>
      <c r="AC17" s="13">
        <f>TRANSICAO!$AC$17*CUSTOS!$T$3</f>
        <v>1497.6701</v>
      </c>
      <c r="AD17" s="13">
        <f>TRANSICAO!$AD$17*CUSTOS!$T$3</f>
        <v>0</v>
      </c>
      <c r="AE17" s="13">
        <v>0</v>
      </c>
      <c r="AF17" s="13">
        <v>0</v>
      </c>
      <c r="AG17" s="13"/>
      <c r="AH17" s="13">
        <v>15.351100000000001</v>
      </c>
      <c r="AI17" s="13">
        <v>15.351100000000001</v>
      </c>
      <c r="AJ17" s="13">
        <f ca="1">$N$64</f>
        <v>0</v>
      </c>
      <c r="AK17" s="13">
        <f t="shared" ca="1" si="0"/>
        <v>0</v>
      </c>
      <c r="AL17" s="13"/>
      <c r="AM17" s="13"/>
      <c r="AP17" s="13">
        <v>1</v>
      </c>
    </row>
    <row r="18" spans="1:42" ht="11.25" customHeight="1" x14ac:dyDescent="0.25">
      <c r="A18" s="109"/>
      <c r="B18" s="109"/>
      <c r="C18" s="109"/>
      <c r="D18" s="109"/>
      <c r="E18" s="109"/>
      <c r="F18" s="109"/>
      <c r="G18" s="24" t="s">
        <v>85</v>
      </c>
      <c r="H18" s="24" t="s">
        <v>73</v>
      </c>
      <c r="I18" s="24">
        <f>'MERCADO TUSD'!$U$15</f>
        <v>0</v>
      </c>
      <c r="J18" s="15"/>
      <c r="L18" s="13">
        <f>1</f>
        <v>1</v>
      </c>
      <c r="M1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2.2265564387930983</v>
      </c>
      <c r="N18" s="13">
        <f ca="1">(+M18+O18+R18+U18+V18+W18+X18+Y18+Z18+AA18+AC18+AH18+AI18+AJ18+AK18)*CUSTOS!$M$5</f>
        <v>1.1659498564387932E-11</v>
      </c>
      <c r="O18" s="13">
        <v>1</v>
      </c>
      <c r="P18" s="13">
        <v>1</v>
      </c>
      <c r="Q18" s="13">
        <f>1</f>
        <v>1</v>
      </c>
      <c r="R18" s="13">
        <v>1</v>
      </c>
      <c r="S18" s="13">
        <v>1</v>
      </c>
      <c r="T18" s="13"/>
      <c r="U18" s="13">
        <f>TRANSICAO!$U$18*CUSTOS!$T$3</f>
        <v>0</v>
      </c>
      <c r="V18" s="13">
        <f>TRANSICAO!$V$18*CUSTOS!$T$3</f>
        <v>0</v>
      </c>
      <c r="W18" s="13">
        <f>TRANSICAO!$W$18*CUSTOS!$T$3</f>
        <v>0</v>
      </c>
      <c r="X18" s="13">
        <f>TRANSICAO!$X$18*CUSTOS!$T$3</f>
        <v>0</v>
      </c>
      <c r="Y18" s="13">
        <f>TRANSICAO!$Y$18*CUSTOS!$T$3</f>
        <v>232.41900000000001</v>
      </c>
      <c r="Z18" s="13">
        <f>TRANSICAO!$Z$18*CUSTOS!$T$3</f>
        <v>0</v>
      </c>
      <c r="AA18" s="13">
        <f>TRANSICAO!$AA$18*CUSTOS!$T$3</f>
        <v>0</v>
      </c>
      <c r="AB18" s="13">
        <f>TRANSICAO!$AB$18*CUSTOS!$T$3</f>
        <v>0</v>
      </c>
      <c r="AC18" s="13">
        <f>TRANSICAO!$AC$18*CUSTOS!$T$3</f>
        <v>898.60209999999995</v>
      </c>
      <c r="AD18" s="13">
        <f>TRANSICAO!$AD$18*CUSTOS!$T$3</f>
        <v>0</v>
      </c>
      <c r="AE18" s="13">
        <v>0</v>
      </c>
      <c r="AF18" s="13">
        <v>0</v>
      </c>
      <c r="AG18" s="13"/>
      <c r="AH18" s="13">
        <v>15.351100000000001</v>
      </c>
      <c r="AI18" s="13">
        <v>15.351100000000001</v>
      </c>
      <c r="AJ18" s="13">
        <f ca="1">$N$64</f>
        <v>0</v>
      </c>
      <c r="AK18" s="13">
        <f t="shared" ca="1" si="0"/>
        <v>0</v>
      </c>
      <c r="AL18" s="13"/>
      <c r="AM18" s="13"/>
      <c r="AP18" s="13">
        <v>1</v>
      </c>
    </row>
    <row r="19" spans="1:42" ht="11.25" customHeight="1" x14ac:dyDescent="0.25">
      <c r="A19" s="109"/>
      <c r="B19" s="109"/>
      <c r="C19" s="109"/>
      <c r="D19" s="109"/>
      <c r="E19" s="109"/>
      <c r="F19" s="109"/>
      <c r="G19" s="24" t="s">
        <v>75</v>
      </c>
      <c r="H19" s="24" t="s">
        <v>73</v>
      </c>
      <c r="I19" s="24">
        <f>'MERCADO TUSD'!$U$16</f>
        <v>0</v>
      </c>
      <c r="J19" s="15"/>
      <c r="L19" s="13">
        <f>1</f>
        <v>1</v>
      </c>
      <c r="M1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2.2265564387930983</v>
      </c>
      <c r="N19" s="13">
        <f ca="1">(+M19+O19+R19+U19+V19+W19+X19+Y19+Z19+AA19+AC19+AH19+AI19+AJ19+AK19)*CUSTOS!$M$5</f>
        <v>4.1193575643879304E-12</v>
      </c>
      <c r="O19" s="13">
        <v>1</v>
      </c>
      <c r="P19" s="13">
        <v>1</v>
      </c>
      <c r="Q19" s="13">
        <f>1</f>
        <v>1</v>
      </c>
      <c r="R19" s="13">
        <v>1</v>
      </c>
      <c r="S19" s="13">
        <v>1</v>
      </c>
      <c r="T19" s="13"/>
      <c r="U19" s="13">
        <f>TRANSICAO!$U$19*CUSTOS!$T$3</f>
        <v>0</v>
      </c>
      <c r="V19" s="13">
        <f>TRANSICAO!$V$19*CUSTOS!$T$3</f>
        <v>0</v>
      </c>
      <c r="W19" s="13">
        <f>TRANSICAO!$W$19*CUSTOS!$T$3</f>
        <v>0</v>
      </c>
      <c r="X19" s="13">
        <f>TRANSICAO!$X$19*CUSTOS!$T$3</f>
        <v>0</v>
      </c>
      <c r="Y19" s="13">
        <f>TRANSICAO!$Y$19*CUSTOS!$T$3</f>
        <v>77.472999999999999</v>
      </c>
      <c r="Z19" s="13">
        <f>TRANSICAO!$Z$19*CUSTOS!$T$3</f>
        <v>0</v>
      </c>
      <c r="AA19" s="13">
        <f>TRANSICAO!$AA$19*CUSTOS!$T$3</f>
        <v>0</v>
      </c>
      <c r="AB19" s="13">
        <f>TRANSICAO!$AB$19*CUSTOS!$T$3</f>
        <v>0</v>
      </c>
      <c r="AC19" s="13">
        <f>TRANSICAO!$AC$19*CUSTOS!$T$3</f>
        <v>299.53399999999999</v>
      </c>
      <c r="AD19" s="13">
        <f>TRANSICAO!$AD$19*CUSTOS!$T$3</f>
        <v>0</v>
      </c>
      <c r="AE19" s="13">
        <v>0</v>
      </c>
      <c r="AF19" s="13">
        <v>0</v>
      </c>
      <c r="AG19" s="13"/>
      <c r="AH19" s="13">
        <v>15.351100000000001</v>
      </c>
      <c r="AI19" s="13">
        <v>15.351100000000001</v>
      </c>
      <c r="AJ19" s="13">
        <f ca="1">$N$64</f>
        <v>0</v>
      </c>
      <c r="AK19" s="13">
        <f t="shared" ca="1" si="0"/>
        <v>0</v>
      </c>
      <c r="AL19" s="13"/>
      <c r="AM19" s="13"/>
      <c r="AP19" s="13">
        <v>1</v>
      </c>
    </row>
    <row r="20" spans="1:42" ht="11.25" customHeight="1" x14ac:dyDescent="0.25">
      <c r="A20" s="109"/>
      <c r="B20" s="109" t="s">
        <v>23</v>
      </c>
      <c r="C20" s="109" t="s">
        <v>24</v>
      </c>
      <c r="D20" s="23" t="s">
        <v>24</v>
      </c>
      <c r="E20" s="23" t="s">
        <v>25</v>
      </c>
      <c r="F20" s="23" t="s">
        <v>25</v>
      </c>
      <c r="G20" s="24" t="s">
        <v>77</v>
      </c>
      <c r="H20" s="24" t="s">
        <v>73</v>
      </c>
      <c r="I20" s="24">
        <f>'MERCADO TUSD'!$U$17</f>
        <v>4803.848</v>
      </c>
      <c r="J20" s="15"/>
      <c r="L20" s="13">
        <f>1</f>
        <v>1</v>
      </c>
      <c r="M2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2.2265564387930983</v>
      </c>
      <c r="N20" s="13">
        <f ca="1">(+M20+O20+R20+U20+V20+W20+X20+Y20+Z20+AA20+AC20+AH20+AI20+AJ20+AK20)*CUSTOS!$M$5</f>
        <v>6.4300465643879304E-12</v>
      </c>
      <c r="O20" s="13">
        <v>1</v>
      </c>
      <c r="P20" s="13">
        <v>1</v>
      </c>
      <c r="Q20" s="13">
        <f>1</f>
        <v>1</v>
      </c>
      <c r="R20" s="13">
        <v>1</v>
      </c>
      <c r="S20" s="13">
        <v>1</v>
      </c>
      <c r="T20" s="13"/>
      <c r="U20" s="13">
        <f>TRANSICAO!$U$20*CUSTOS!$T$3</f>
        <v>0</v>
      </c>
      <c r="V20" s="13">
        <f>TRANSICAO!$V$20*CUSTOS!$T$3</f>
        <v>0</v>
      </c>
      <c r="W20" s="13">
        <f>TRANSICAO!$W$20*CUSTOS!$T$3</f>
        <v>0</v>
      </c>
      <c r="X20" s="13">
        <f>TRANSICAO!$X$20*CUSTOS!$T$3</f>
        <v>0</v>
      </c>
      <c r="Y20" s="13">
        <f>TRANSICAO!$Y$20*CUSTOS!$T$3</f>
        <v>124.95650000000001</v>
      </c>
      <c r="Z20" s="13">
        <f>TRANSICAO!$Z$20*CUSTOS!$T$3</f>
        <v>0</v>
      </c>
      <c r="AA20" s="13">
        <f>TRANSICAO!$AA$20*CUSTOS!$T$3</f>
        <v>0</v>
      </c>
      <c r="AB20" s="13">
        <f>TRANSICAO!$AB$20*CUSTOS!$T$3</f>
        <v>0</v>
      </c>
      <c r="AC20" s="13">
        <f>TRANSICAO!$AC$20*CUSTOS!$T$3</f>
        <v>483.11939999999998</v>
      </c>
      <c r="AD20" s="13">
        <f>TRANSICAO!$AD$20*CUSTOS!$T$3</f>
        <v>0</v>
      </c>
      <c r="AE20" s="13">
        <v>0</v>
      </c>
      <c r="AF20" s="13">
        <v>0</v>
      </c>
      <c r="AG20" s="13"/>
      <c r="AH20" s="13">
        <v>15.351100000000001</v>
      </c>
      <c r="AI20" s="13">
        <v>15.351100000000001</v>
      </c>
      <c r="AJ20" s="13">
        <f ca="1">$N$64</f>
        <v>0</v>
      </c>
      <c r="AK20" s="13">
        <f t="shared" ca="1" si="0"/>
        <v>0</v>
      </c>
      <c r="AL20" s="13"/>
      <c r="AM20" s="13"/>
      <c r="AP20" s="13">
        <v>1</v>
      </c>
    </row>
    <row r="21" spans="1:42" ht="11.25" customHeight="1" x14ac:dyDescent="0.25">
      <c r="A21" s="109"/>
      <c r="B21" s="109"/>
      <c r="C21" s="109"/>
      <c r="D21" s="23" t="s">
        <v>29</v>
      </c>
      <c r="E21" s="23" t="s">
        <v>25</v>
      </c>
      <c r="F21" s="23" t="s">
        <v>25</v>
      </c>
      <c r="G21" s="24" t="s">
        <v>77</v>
      </c>
      <c r="H21" s="24" t="s">
        <v>73</v>
      </c>
      <c r="I21" s="24">
        <f>'MERCADO TUSD'!$U$18</f>
        <v>28.29</v>
      </c>
      <c r="J21" s="15"/>
      <c r="L21" s="13">
        <v>0</v>
      </c>
      <c r="M2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2.2265564387930983</v>
      </c>
      <c r="N21" s="13">
        <f ca="1">(+M21+O21+R21+U21+V21+W21+X21+Y21+Z21+AA21+AC21+AH21+AI21+AJ21+AK21)*CUSTOS!$M$5</f>
        <v>6.4200465643879302E-12</v>
      </c>
      <c r="O21" s="13">
        <f>1 - CUSTOS!$M$24</f>
        <v>1</v>
      </c>
      <c r="P21" s="13">
        <v>0</v>
      </c>
      <c r="Q21" s="13">
        <v>0</v>
      </c>
      <c r="R21" s="13">
        <v>0</v>
      </c>
      <c r="S21" s="13">
        <f>1 - CUSTOS!$M$24</f>
        <v>1</v>
      </c>
      <c r="T21" s="13"/>
      <c r="U21" s="13">
        <f>TRANSICAO!$U$21*CUSTOS!$T$3</f>
        <v>0</v>
      </c>
      <c r="V21" s="13">
        <f>TRANSICAO!$V$21*CUSTOS!$T$3</f>
        <v>0</v>
      </c>
      <c r="W21" s="13">
        <f>TRANSICAO!$W$21*CUSTOS!$T$3</f>
        <v>0</v>
      </c>
      <c r="X21" s="13">
        <f>TRANSICAO!$X$21*CUSTOS!$T$3</f>
        <v>0</v>
      </c>
      <c r="Y21" s="13">
        <f>TRANSICAO!$Y$21*CUSTOS!$T$3</f>
        <v>124.95650000000001</v>
      </c>
      <c r="Z21" s="13">
        <f>TRANSICAO!$Z$21*CUSTOS!$T$3</f>
        <v>0</v>
      </c>
      <c r="AA21" s="13">
        <f>TRANSICAO!$AA$21*CUSTOS!$T$3</f>
        <v>0</v>
      </c>
      <c r="AB21" s="13">
        <f>TRANSICAO!$AB$21*CUSTOS!$T$3</f>
        <v>0</v>
      </c>
      <c r="AC21" s="13">
        <f>TRANSICAO!$AC$21*CUSTOS!$T$3</f>
        <v>483.11939999999998</v>
      </c>
      <c r="AD21" s="13">
        <f>TRANSICAO!$AD$21*CUSTOS!$T$3</f>
        <v>0</v>
      </c>
      <c r="AE21" s="13">
        <v>0</v>
      </c>
      <c r="AF21" s="13">
        <v>0</v>
      </c>
      <c r="AG21" s="13"/>
      <c r="AH21" s="13">
        <f>(1 - CUSTOS!$M$24)*15.3511</f>
        <v>15.351100000000001</v>
      </c>
      <c r="AI21" s="13">
        <f>(1 - CUSTOS!$M$24)*15.3511</f>
        <v>15.351100000000001</v>
      </c>
      <c r="AJ21" s="13">
        <f ca="1">$N$64*(1-CUSTOS!$M$24)</f>
        <v>0</v>
      </c>
      <c r="AK21" s="13">
        <f t="shared" ca="1" si="0"/>
        <v>0</v>
      </c>
      <c r="AL21" s="13"/>
      <c r="AM21" s="13"/>
      <c r="AP21" s="13">
        <f>IF((1 - CUSTOS!$M$24)&lt;&gt;0,1/(1 - CUSTOS!$M$24),1)</f>
        <v>1</v>
      </c>
    </row>
    <row r="22" spans="1:42" ht="11.25" customHeight="1" x14ac:dyDescent="0.25">
      <c r="A22" s="109"/>
      <c r="B22" s="109"/>
      <c r="C22" s="109"/>
      <c r="D22" s="23" t="s">
        <v>30</v>
      </c>
      <c r="E22" s="23" t="s">
        <v>25</v>
      </c>
      <c r="F22" s="23" t="s">
        <v>25</v>
      </c>
      <c r="G22" s="24" t="s">
        <v>77</v>
      </c>
      <c r="H22" s="24" t="s">
        <v>73</v>
      </c>
      <c r="I22" s="24">
        <f>'MERCADO TUSD'!$U$19</f>
        <v>50.516000000000005</v>
      </c>
      <c r="J22" s="15"/>
      <c r="L22" s="13">
        <v>0</v>
      </c>
      <c r="M2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2.2265564387930983</v>
      </c>
      <c r="N22" s="13">
        <f ca="1">(+M22+O22+R22+U22+V22+W22+X22+Y22+Z22+AA22+AC22+AH22+AI22+AJ22+AK22)*CUSTOS!$M$5</f>
        <v>6.4200465643879302E-12</v>
      </c>
      <c r="O22" s="13">
        <f>1 - CUSTOS!$M$25</f>
        <v>1</v>
      </c>
      <c r="P22" s="13">
        <v>0</v>
      </c>
      <c r="Q22" s="13">
        <v>0</v>
      </c>
      <c r="R22" s="13">
        <v>0</v>
      </c>
      <c r="S22" s="13">
        <f>1 - CUSTOS!$M$25</f>
        <v>1</v>
      </c>
      <c r="T22" s="13"/>
      <c r="U22" s="13">
        <f>TRANSICAO!$U$22*CUSTOS!$T$3</f>
        <v>0</v>
      </c>
      <c r="V22" s="13">
        <f>TRANSICAO!$V$22*CUSTOS!$T$3</f>
        <v>0</v>
      </c>
      <c r="W22" s="13">
        <f>TRANSICAO!$W$22*CUSTOS!$T$3</f>
        <v>0</v>
      </c>
      <c r="X22" s="13">
        <f>TRANSICAO!$X$22*CUSTOS!$T$3</f>
        <v>0</v>
      </c>
      <c r="Y22" s="13">
        <f>TRANSICAO!$Y$22*CUSTOS!$T$3</f>
        <v>124.95650000000001</v>
      </c>
      <c r="Z22" s="13">
        <f>TRANSICAO!$Z$22*CUSTOS!$T$3</f>
        <v>0</v>
      </c>
      <c r="AA22" s="13">
        <f>TRANSICAO!$AA$22*CUSTOS!$T$3</f>
        <v>0</v>
      </c>
      <c r="AB22" s="13">
        <f>TRANSICAO!$AB$22*CUSTOS!$T$3</f>
        <v>0</v>
      </c>
      <c r="AC22" s="13">
        <f>TRANSICAO!$AC$22*CUSTOS!$T$3</f>
        <v>483.11939999999998</v>
      </c>
      <c r="AD22" s="13">
        <f>TRANSICAO!$AD$22*CUSTOS!$T$3</f>
        <v>0</v>
      </c>
      <c r="AE22" s="13">
        <v>0</v>
      </c>
      <c r="AF22" s="13">
        <v>0</v>
      </c>
      <c r="AG22" s="13"/>
      <c r="AH22" s="13">
        <f>(1 - CUSTOS!$M$25)*15.3511</f>
        <v>15.351100000000001</v>
      </c>
      <c r="AI22" s="13">
        <f>(1 - CUSTOS!$M$25)*15.3511</f>
        <v>15.351100000000001</v>
      </c>
      <c r="AJ22" s="13">
        <f ca="1">$N$64*(1-CUSTOS!$M$25)</f>
        <v>0</v>
      </c>
      <c r="AK22" s="13">
        <f t="shared" ca="1" si="0"/>
        <v>0</v>
      </c>
      <c r="AL22" s="13"/>
      <c r="AM22" s="13"/>
      <c r="AP22" s="13">
        <f>IF((1 - CUSTOS!$M$25)&lt;&gt;0,1/(1 - CUSTOS!$M$25),1)</f>
        <v>1</v>
      </c>
    </row>
    <row r="23" spans="1:42" ht="11.25" customHeight="1" x14ac:dyDescent="0.25">
      <c r="A23" s="109"/>
      <c r="B23" s="109"/>
      <c r="C23" s="109"/>
      <c r="D23" s="23" t="s">
        <v>31</v>
      </c>
      <c r="E23" s="23" t="s">
        <v>25</v>
      </c>
      <c r="F23" s="23" t="s">
        <v>25</v>
      </c>
      <c r="G23" s="24" t="s">
        <v>77</v>
      </c>
      <c r="H23" s="24" t="s">
        <v>73</v>
      </c>
      <c r="I23" s="24">
        <f>'MERCADO TUSD'!$U$20</f>
        <v>39.111000000000004</v>
      </c>
      <c r="J23" s="15"/>
      <c r="L23" s="13">
        <v>0</v>
      </c>
      <c r="M2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2.2265564387930983</v>
      </c>
      <c r="N23" s="13">
        <f ca="1">(+M23+O23+R23+U23+V23+W23+X23+Y23+Z23+AA23+AC23+AH23+AI23+AJ23+AK23)*CUSTOS!$M$5</f>
        <v>6.4200465643879302E-12</v>
      </c>
      <c r="O23" s="13">
        <f>1 - CUSTOS!$M$26</f>
        <v>1</v>
      </c>
      <c r="P23" s="13">
        <v>0</v>
      </c>
      <c r="Q23" s="13">
        <v>0</v>
      </c>
      <c r="R23" s="13">
        <v>0</v>
      </c>
      <c r="S23" s="13">
        <f>1 - CUSTOS!$M$26</f>
        <v>1</v>
      </c>
      <c r="T23" s="13"/>
      <c r="U23" s="13">
        <f>TRANSICAO!$U$23*CUSTOS!$T$3</f>
        <v>0</v>
      </c>
      <c r="V23" s="13">
        <f>TRANSICAO!$V$23*CUSTOS!$T$3</f>
        <v>0</v>
      </c>
      <c r="W23" s="13">
        <f>TRANSICAO!$W$23*CUSTOS!$T$3</f>
        <v>0</v>
      </c>
      <c r="X23" s="13">
        <f>TRANSICAO!$X$23*CUSTOS!$T$3</f>
        <v>0</v>
      </c>
      <c r="Y23" s="13">
        <f>TRANSICAO!$Y$23*CUSTOS!$T$3</f>
        <v>124.95650000000001</v>
      </c>
      <c r="Z23" s="13">
        <f>TRANSICAO!$Z$23*CUSTOS!$T$3</f>
        <v>0</v>
      </c>
      <c r="AA23" s="13">
        <f>TRANSICAO!$AA$23*CUSTOS!$T$3</f>
        <v>0</v>
      </c>
      <c r="AB23" s="13">
        <f>TRANSICAO!$AB$23*CUSTOS!$T$3</f>
        <v>0</v>
      </c>
      <c r="AC23" s="13">
        <f>TRANSICAO!$AC$23*CUSTOS!$T$3</f>
        <v>483.11939999999998</v>
      </c>
      <c r="AD23" s="13">
        <f>TRANSICAO!$AD$23*CUSTOS!$T$3</f>
        <v>0</v>
      </c>
      <c r="AE23" s="13">
        <v>0</v>
      </c>
      <c r="AF23" s="13">
        <v>0</v>
      </c>
      <c r="AG23" s="13"/>
      <c r="AH23" s="13">
        <f>(1 - CUSTOS!$M$26)*15.3511</f>
        <v>15.351100000000001</v>
      </c>
      <c r="AI23" s="13">
        <f>(1 - CUSTOS!$M$26)*15.3511</f>
        <v>15.351100000000001</v>
      </c>
      <c r="AJ23" s="13">
        <f ca="1">$N$64*(1-CUSTOS!$M$26)</f>
        <v>0</v>
      </c>
      <c r="AK23" s="13">
        <f t="shared" ca="1" si="0"/>
        <v>0</v>
      </c>
      <c r="AL23" s="13"/>
      <c r="AM23" s="13"/>
      <c r="AP23" s="13">
        <f>IF((1 - CUSTOS!$M$26)&lt;&gt;0,1/(1 - CUSTOS!$M$26),1)</f>
        <v>1</v>
      </c>
    </row>
    <row r="24" spans="1:42" ht="11.25" customHeight="1" x14ac:dyDescent="0.25">
      <c r="A24" s="109"/>
      <c r="B24" s="109"/>
      <c r="C24" s="109"/>
      <c r="D24" s="23" t="s">
        <v>32</v>
      </c>
      <c r="E24" s="23" t="s">
        <v>25</v>
      </c>
      <c r="F24" s="23" t="s">
        <v>25</v>
      </c>
      <c r="G24" s="24" t="s">
        <v>77</v>
      </c>
      <c r="H24" s="24" t="s">
        <v>73</v>
      </c>
      <c r="I24" s="24">
        <f>'MERCADO TUSD'!$U$21</f>
        <v>10.074999999999999</v>
      </c>
      <c r="J24" s="15"/>
      <c r="L24" s="13">
        <v>0</v>
      </c>
      <c r="M2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2.2265564387930983</v>
      </c>
      <c r="N24" s="13">
        <f ca="1">(+M24+O24+R24+U24+V24+W24+X24+Y24+Z24+AA24+AC24+AH24+AI24+AJ24+AK24)*CUSTOS!$M$5</f>
        <v>6.4200465643879302E-12</v>
      </c>
      <c r="O24" s="13">
        <f>1 - CUSTOS!$M$27</f>
        <v>1</v>
      </c>
      <c r="P24" s="13">
        <v>0</v>
      </c>
      <c r="Q24" s="13">
        <v>0</v>
      </c>
      <c r="R24" s="13">
        <v>0</v>
      </c>
      <c r="S24" s="13">
        <f>1 - CUSTOS!$M$27</f>
        <v>1</v>
      </c>
      <c r="T24" s="13"/>
      <c r="U24" s="13">
        <f>TRANSICAO!$U$24*CUSTOS!$T$3</f>
        <v>0</v>
      </c>
      <c r="V24" s="13">
        <f>TRANSICAO!$V$24*CUSTOS!$T$3</f>
        <v>0</v>
      </c>
      <c r="W24" s="13">
        <f>TRANSICAO!$W$24*CUSTOS!$T$3</f>
        <v>0</v>
      </c>
      <c r="X24" s="13">
        <f>TRANSICAO!$X$24*CUSTOS!$T$3</f>
        <v>0</v>
      </c>
      <c r="Y24" s="13">
        <f>TRANSICAO!$Y$24*CUSTOS!$T$3</f>
        <v>124.95650000000001</v>
      </c>
      <c r="Z24" s="13">
        <f>TRANSICAO!$Z$24*CUSTOS!$T$3</f>
        <v>0</v>
      </c>
      <c r="AA24" s="13">
        <f>TRANSICAO!$AA$24*CUSTOS!$T$3</f>
        <v>0</v>
      </c>
      <c r="AB24" s="13">
        <f>TRANSICAO!$AB$24*CUSTOS!$T$3</f>
        <v>0</v>
      </c>
      <c r="AC24" s="13">
        <f>TRANSICAO!$AC$24*CUSTOS!$T$3</f>
        <v>483.11939999999998</v>
      </c>
      <c r="AD24" s="13">
        <f>TRANSICAO!$AD$24*CUSTOS!$T$3</f>
        <v>0</v>
      </c>
      <c r="AE24" s="13">
        <v>0</v>
      </c>
      <c r="AF24" s="13">
        <v>0</v>
      </c>
      <c r="AG24" s="13"/>
      <c r="AH24" s="13">
        <f>(1 - CUSTOS!$M$27)*15.3511</f>
        <v>15.351100000000001</v>
      </c>
      <c r="AI24" s="13">
        <f>(1 - CUSTOS!$M$27)*15.3511</f>
        <v>15.351100000000001</v>
      </c>
      <c r="AJ24" s="13">
        <f ca="1">$N$64*(1-CUSTOS!$M$27)</f>
        <v>0</v>
      </c>
      <c r="AK24" s="13">
        <f t="shared" ca="1" si="0"/>
        <v>0</v>
      </c>
      <c r="AL24" s="13"/>
      <c r="AM24" s="13"/>
      <c r="AP24" s="13">
        <f>IF((1 - CUSTOS!$M$27)&lt;&gt;0,1/(1 - CUSTOS!$M$27),1)</f>
        <v>1</v>
      </c>
    </row>
    <row r="25" spans="1:42" ht="11.25" customHeight="1" x14ac:dyDescent="0.25">
      <c r="A25" s="109"/>
      <c r="B25" s="109" t="s">
        <v>88</v>
      </c>
      <c r="C25" s="109" t="s">
        <v>24</v>
      </c>
      <c r="D25" s="23" t="s">
        <v>24</v>
      </c>
      <c r="E25" s="23" t="s">
        <v>25</v>
      </c>
      <c r="F25" s="23" t="s">
        <v>25</v>
      </c>
      <c r="G25" s="24" t="s">
        <v>77</v>
      </c>
      <c r="H25" s="24" t="s">
        <v>73</v>
      </c>
      <c r="I25" s="24">
        <f>'MERCADO TUSD'!$U$22</f>
        <v>0</v>
      </c>
      <c r="J25" s="15"/>
      <c r="L25" s="13">
        <f>1</f>
        <v>1</v>
      </c>
      <c r="M2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2.2265564387930983</v>
      </c>
      <c r="N25" s="13">
        <f ca="1">(+M25+O25+R25+U25+V25+W25+X25+Y25+Z25+AA25+AC25+AH25+AI25+AJ25+AK25)*CUSTOS!$M$5</f>
        <v>6.4300465643879304E-12</v>
      </c>
      <c r="O25" s="13">
        <v>1</v>
      </c>
      <c r="P25" s="13">
        <v>1</v>
      </c>
      <c r="Q25" s="13">
        <f>1</f>
        <v>1</v>
      </c>
      <c r="R25" s="13">
        <v>1</v>
      </c>
      <c r="S25" s="13">
        <v>1</v>
      </c>
      <c r="T25" s="13"/>
      <c r="U25" s="13">
        <f>TRANSICAO!$U$25*CUSTOS!$T$3</f>
        <v>0</v>
      </c>
      <c r="V25" s="13">
        <f>TRANSICAO!$V$25*CUSTOS!$T$3</f>
        <v>0</v>
      </c>
      <c r="W25" s="13">
        <f>TRANSICAO!$W$25*CUSTOS!$T$3</f>
        <v>0</v>
      </c>
      <c r="X25" s="13">
        <f>TRANSICAO!$X$25*CUSTOS!$T$3</f>
        <v>0</v>
      </c>
      <c r="Y25" s="13">
        <f>TRANSICAO!$Y$25*CUSTOS!$T$3</f>
        <v>124.95650000000001</v>
      </c>
      <c r="Z25" s="13">
        <f>TRANSICAO!$Z$25*CUSTOS!$T$3</f>
        <v>0</v>
      </c>
      <c r="AA25" s="13">
        <f>TRANSICAO!$AA$25*CUSTOS!$T$3</f>
        <v>0</v>
      </c>
      <c r="AB25" s="13">
        <f>TRANSICAO!$AB$25*CUSTOS!$T$3</f>
        <v>0</v>
      </c>
      <c r="AC25" s="13">
        <f>TRANSICAO!$AC$25*CUSTOS!$T$3</f>
        <v>483.11939999999998</v>
      </c>
      <c r="AD25" s="13">
        <f>TRANSICAO!$AD$25*CUSTOS!$T$3</f>
        <v>0</v>
      </c>
      <c r="AE25" s="13">
        <v>0</v>
      </c>
      <c r="AF25" s="13">
        <v>0</v>
      </c>
      <c r="AG25" s="13"/>
      <c r="AH25" s="13">
        <v>15.351100000000001</v>
      </c>
      <c r="AI25" s="13">
        <v>15.351100000000001</v>
      </c>
      <c r="AJ25" s="13">
        <f ca="1">$N$64</f>
        <v>0</v>
      </c>
      <c r="AK25" s="13">
        <f t="shared" ca="1" si="0"/>
        <v>0</v>
      </c>
      <c r="AL25" s="13"/>
      <c r="AM25" s="13"/>
      <c r="AP25" s="13">
        <v>1</v>
      </c>
    </row>
    <row r="26" spans="1:42" ht="11.25" customHeight="1" x14ac:dyDescent="0.25">
      <c r="A26" s="109"/>
      <c r="B26" s="109"/>
      <c r="C26" s="109"/>
      <c r="D26" s="23" t="s">
        <v>29</v>
      </c>
      <c r="E26" s="23" t="s">
        <v>25</v>
      </c>
      <c r="F26" s="23" t="s">
        <v>25</v>
      </c>
      <c r="G26" s="24" t="s">
        <v>77</v>
      </c>
      <c r="H26" s="24" t="s">
        <v>73</v>
      </c>
      <c r="I26" s="24">
        <f>'MERCADO TUSD'!$U$23</f>
        <v>0</v>
      </c>
      <c r="J26" s="15"/>
      <c r="L26" s="13">
        <v>0</v>
      </c>
      <c r="M2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2.2265564387930983</v>
      </c>
      <c r="N26" s="13">
        <f ca="1">(+M26+O26+R26+U26+V26+W26+X26+Y26+Z26+AA26+AC26+AH26+AI26+AJ26+AK26)*CUSTOS!$M$5</f>
        <v>6.4200465643879302E-12</v>
      </c>
      <c r="O26" s="13">
        <f>1 - CUSTOS!$M$24</f>
        <v>1</v>
      </c>
      <c r="P26" s="13">
        <v>0</v>
      </c>
      <c r="Q26" s="13">
        <v>0</v>
      </c>
      <c r="R26" s="13">
        <v>0</v>
      </c>
      <c r="S26" s="13">
        <f>1 - CUSTOS!$M$24</f>
        <v>1</v>
      </c>
      <c r="T26" s="13"/>
      <c r="U26" s="13">
        <f>TRANSICAO!$U$26*CUSTOS!$T$3</f>
        <v>0</v>
      </c>
      <c r="V26" s="13">
        <f>TRANSICAO!$V$26*CUSTOS!$T$3</f>
        <v>0</v>
      </c>
      <c r="W26" s="13">
        <f>TRANSICAO!$W$26*CUSTOS!$T$3</f>
        <v>0</v>
      </c>
      <c r="X26" s="13">
        <f>TRANSICAO!$X$26*CUSTOS!$T$3</f>
        <v>0</v>
      </c>
      <c r="Y26" s="13">
        <f>TRANSICAO!$Y$26*CUSTOS!$T$3</f>
        <v>124.95650000000001</v>
      </c>
      <c r="Z26" s="13">
        <f>TRANSICAO!$Z$26*CUSTOS!$T$3</f>
        <v>0</v>
      </c>
      <c r="AA26" s="13">
        <f>TRANSICAO!$AA$26*CUSTOS!$T$3</f>
        <v>0</v>
      </c>
      <c r="AB26" s="13">
        <f>TRANSICAO!$AB$26*CUSTOS!$T$3</f>
        <v>0</v>
      </c>
      <c r="AC26" s="13">
        <f>TRANSICAO!$AC$26*CUSTOS!$T$3</f>
        <v>483.11939999999998</v>
      </c>
      <c r="AD26" s="13">
        <f>TRANSICAO!$AD$26*CUSTOS!$T$3</f>
        <v>0</v>
      </c>
      <c r="AE26" s="13">
        <v>0</v>
      </c>
      <c r="AF26" s="13">
        <v>0</v>
      </c>
      <c r="AG26" s="13"/>
      <c r="AH26" s="13">
        <f>(1 - CUSTOS!$M$24)*15.3511</f>
        <v>15.351100000000001</v>
      </c>
      <c r="AI26" s="13">
        <f>(1 - CUSTOS!$M$24)*15.3511</f>
        <v>15.351100000000001</v>
      </c>
      <c r="AJ26" s="13">
        <f ca="1">$N$64*(1-CUSTOS!$M$24)</f>
        <v>0</v>
      </c>
      <c r="AK26" s="13">
        <f t="shared" ca="1" si="0"/>
        <v>0</v>
      </c>
      <c r="AL26" s="13"/>
      <c r="AM26" s="13"/>
      <c r="AP26" s="13">
        <f>IF((1 - CUSTOS!$M$24)&lt;&gt;0,1/(1 - CUSTOS!$M$24),1)</f>
        <v>1</v>
      </c>
    </row>
    <row r="27" spans="1:42" ht="11.25" customHeight="1" x14ac:dyDescent="0.25">
      <c r="A27" s="109"/>
      <c r="B27" s="109"/>
      <c r="C27" s="109"/>
      <c r="D27" s="23" t="s">
        <v>30</v>
      </c>
      <c r="E27" s="23" t="s">
        <v>25</v>
      </c>
      <c r="F27" s="23" t="s">
        <v>25</v>
      </c>
      <c r="G27" s="24" t="s">
        <v>77</v>
      </c>
      <c r="H27" s="24" t="s">
        <v>73</v>
      </c>
      <c r="I27" s="24">
        <f>'MERCADO TUSD'!$U$24</f>
        <v>0</v>
      </c>
      <c r="J27" s="15"/>
      <c r="L27" s="13">
        <v>0</v>
      </c>
      <c r="M2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2.2265564387930983</v>
      </c>
      <c r="N27" s="13">
        <f ca="1">(+M27+O27+R27+U27+V27+W27+X27+Y27+Z27+AA27+AC27+AH27+AI27+AJ27+AK27)*CUSTOS!$M$5</f>
        <v>6.4200465643879302E-12</v>
      </c>
      <c r="O27" s="13">
        <f>1 - CUSTOS!$M$25</f>
        <v>1</v>
      </c>
      <c r="P27" s="13">
        <v>0</v>
      </c>
      <c r="Q27" s="13">
        <v>0</v>
      </c>
      <c r="R27" s="13">
        <v>0</v>
      </c>
      <c r="S27" s="13">
        <f>1 - CUSTOS!$M$25</f>
        <v>1</v>
      </c>
      <c r="T27" s="13"/>
      <c r="U27" s="13">
        <f>TRANSICAO!$U$27*CUSTOS!$T$3</f>
        <v>0</v>
      </c>
      <c r="V27" s="13">
        <f>TRANSICAO!$V$27*CUSTOS!$T$3</f>
        <v>0</v>
      </c>
      <c r="W27" s="13">
        <f>TRANSICAO!$W$27*CUSTOS!$T$3</f>
        <v>0</v>
      </c>
      <c r="X27" s="13">
        <f>TRANSICAO!$X$27*CUSTOS!$T$3</f>
        <v>0</v>
      </c>
      <c r="Y27" s="13">
        <f>TRANSICAO!$Y$27*CUSTOS!$T$3</f>
        <v>124.95650000000001</v>
      </c>
      <c r="Z27" s="13">
        <f>TRANSICAO!$Z$27*CUSTOS!$T$3</f>
        <v>0</v>
      </c>
      <c r="AA27" s="13">
        <f>TRANSICAO!$AA$27*CUSTOS!$T$3</f>
        <v>0</v>
      </c>
      <c r="AB27" s="13">
        <f>TRANSICAO!$AB$27*CUSTOS!$T$3</f>
        <v>0</v>
      </c>
      <c r="AC27" s="13">
        <f>TRANSICAO!$AC$27*CUSTOS!$T$3</f>
        <v>483.11939999999998</v>
      </c>
      <c r="AD27" s="13">
        <f>TRANSICAO!$AD$27*CUSTOS!$T$3</f>
        <v>0</v>
      </c>
      <c r="AE27" s="13">
        <v>0</v>
      </c>
      <c r="AF27" s="13">
        <v>0</v>
      </c>
      <c r="AG27" s="13"/>
      <c r="AH27" s="13">
        <f>(1 - CUSTOS!$M$25)*15.3511</f>
        <v>15.351100000000001</v>
      </c>
      <c r="AI27" s="13">
        <f>(1 - CUSTOS!$M$25)*15.3511</f>
        <v>15.351100000000001</v>
      </c>
      <c r="AJ27" s="13">
        <f ca="1">$N$64*(1-CUSTOS!$M$25)</f>
        <v>0</v>
      </c>
      <c r="AK27" s="13">
        <f t="shared" ca="1" si="0"/>
        <v>0</v>
      </c>
      <c r="AL27" s="13"/>
      <c r="AM27" s="13"/>
      <c r="AP27" s="13">
        <f>IF((1 - CUSTOS!$M$25)&lt;&gt;0,1/(1 - CUSTOS!$M$25),1)</f>
        <v>1</v>
      </c>
    </row>
    <row r="28" spans="1:42" ht="11.25" customHeight="1" x14ac:dyDescent="0.25">
      <c r="A28" s="109"/>
      <c r="B28" s="109"/>
      <c r="C28" s="109"/>
      <c r="D28" s="23" t="s">
        <v>31</v>
      </c>
      <c r="E28" s="23" t="s">
        <v>25</v>
      </c>
      <c r="F28" s="23" t="s">
        <v>25</v>
      </c>
      <c r="G28" s="24" t="s">
        <v>77</v>
      </c>
      <c r="H28" s="24" t="s">
        <v>73</v>
      </c>
      <c r="I28" s="24">
        <f>'MERCADO TUSD'!$U$25</f>
        <v>0</v>
      </c>
      <c r="J28" s="15"/>
      <c r="L28" s="13">
        <v>0</v>
      </c>
      <c r="M2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2.2265564387930983</v>
      </c>
      <c r="N28" s="13">
        <f ca="1">(+M28+O28+R28+U28+V28+W28+X28+Y28+Z28+AA28+AC28+AH28+AI28+AJ28+AK28)*CUSTOS!$M$5</f>
        <v>6.4200465643879302E-12</v>
      </c>
      <c r="O28" s="13">
        <f>1 - CUSTOS!$M$26</f>
        <v>1</v>
      </c>
      <c r="P28" s="13">
        <v>0</v>
      </c>
      <c r="Q28" s="13">
        <v>0</v>
      </c>
      <c r="R28" s="13">
        <v>0</v>
      </c>
      <c r="S28" s="13">
        <f>1 - CUSTOS!$M$26</f>
        <v>1</v>
      </c>
      <c r="T28" s="13"/>
      <c r="U28" s="13">
        <f>TRANSICAO!$U$28*CUSTOS!$T$3</f>
        <v>0</v>
      </c>
      <c r="V28" s="13">
        <f>TRANSICAO!$V$28*CUSTOS!$T$3</f>
        <v>0</v>
      </c>
      <c r="W28" s="13">
        <f>TRANSICAO!$W$28*CUSTOS!$T$3</f>
        <v>0</v>
      </c>
      <c r="X28" s="13">
        <f>TRANSICAO!$X$28*CUSTOS!$T$3</f>
        <v>0</v>
      </c>
      <c r="Y28" s="13">
        <f>TRANSICAO!$Y$28*CUSTOS!$T$3</f>
        <v>124.95650000000001</v>
      </c>
      <c r="Z28" s="13">
        <f>TRANSICAO!$Z$28*CUSTOS!$T$3</f>
        <v>0</v>
      </c>
      <c r="AA28" s="13">
        <f>TRANSICAO!$AA$28*CUSTOS!$T$3</f>
        <v>0</v>
      </c>
      <c r="AB28" s="13">
        <f>TRANSICAO!$AB$28*CUSTOS!$T$3</f>
        <v>0</v>
      </c>
      <c r="AC28" s="13">
        <f>TRANSICAO!$AC$28*CUSTOS!$T$3</f>
        <v>483.11939999999998</v>
      </c>
      <c r="AD28" s="13">
        <f>TRANSICAO!$AD$28*CUSTOS!$T$3</f>
        <v>0</v>
      </c>
      <c r="AE28" s="13">
        <v>0</v>
      </c>
      <c r="AF28" s="13">
        <v>0</v>
      </c>
      <c r="AG28" s="13"/>
      <c r="AH28" s="13">
        <f>(1 - CUSTOS!$M$26)*15.3511</f>
        <v>15.351100000000001</v>
      </c>
      <c r="AI28" s="13">
        <f>(1 - CUSTOS!$M$26)*15.3511</f>
        <v>15.351100000000001</v>
      </c>
      <c r="AJ28" s="13">
        <f ca="1">$N$64*(1-CUSTOS!$M$26)</f>
        <v>0</v>
      </c>
      <c r="AK28" s="13">
        <f t="shared" ca="1" si="0"/>
        <v>0</v>
      </c>
      <c r="AL28" s="13"/>
      <c r="AM28" s="13"/>
      <c r="AP28" s="13">
        <f>IF((1 - CUSTOS!$M$26)&lt;&gt;0,1/(1 - CUSTOS!$M$26),1)</f>
        <v>1</v>
      </c>
    </row>
    <row r="29" spans="1:42" ht="11.25" customHeight="1" x14ac:dyDescent="0.25">
      <c r="A29" s="109"/>
      <c r="B29" s="109"/>
      <c r="C29" s="109"/>
      <c r="D29" s="23" t="s">
        <v>32</v>
      </c>
      <c r="E29" s="23" t="s">
        <v>25</v>
      </c>
      <c r="F29" s="23" t="s">
        <v>25</v>
      </c>
      <c r="G29" s="24" t="s">
        <v>77</v>
      </c>
      <c r="H29" s="24" t="s">
        <v>73</v>
      </c>
      <c r="I29" s="24">
        <f>'MERCADO TUSD'!$U$26</f>
        <v>0</v>
      </c>
      <c r="J29" s="15"/>
      <c r="L29" s="13">
        <v>0</v>
      </c>
      <c r="M2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2.2265564387930983</v>
      </c>
      <c r="N29" s="13">
        <f ca="1">(+M29+O29+R29+U29+V29+W29+X29+Y29+Z29+AA29+AC29+AH29+AI29+AJ29+AK29)*CUSTOS!$M$5</f>
        <v>6.4200465643879302E-12</v>
      </c>
      <c r="O29" s="13">
        <f>1 - CUSTOS!$M$27</f>
        <v>1</v>
      </c>
      <c r="P29" s="13">
        <v>0</v>
      </c>
      <c r="Q29" s="13">
        <v>0</v>
      </c>
      <c r="R29" s="13">
        <v>0</v>
      </c>
      <c r="S29" s="13">
        <f>1 - CUSTOS!$M$27</f>
        <v>1</v>
      </c>
      <c r="T29" s="13"/>
      <c r="U29" s="13">
        <f>TRANSICAO!$U$29*CUSTOS!$T$3</f>
        <v>0</v>
      </c>
      <c r="V29" s="13">
        <f>TRANSICAO!$V$29*CUSTOS!$T$3</f>
        <v>0</v>
      </c>
      <c r="W29" s="13">
        <f>TRANSICAO!$W$29*CUSTOS!$T$3</f>
        <v>0</v>
      </c>
      <c r="X29" s="13">
        <f>TRANSICAO!$X$29*CUSTOS!$T$3</f>
        <v>0</v>
      </c>
      <c r="Y29" s="13">
        <f>TRANSICAO!$Y$29*CUSTOS!$T$3</f>
        <v>124.95650000000001</v>
      </c>
      <c r="Z29" s="13">
        <f>TRANSICAO!$Z$29*CUSTOS!$T$3</f>
        <v>0</v>
      </c>
      <c r="AA29" s="13">
        <f>TRANSICAO!$AA$29*CUSTOS!$T$3</f>
        <v>0</v>
      </c>
      <c r="AB29" s="13">
        <f>TRANSICAO!$AB$29*CUSTOS!$T$3</f>
        <v>0</v>
      </c>
      <c r="AC29" s="13">
        <f>TRANSICAO!$AC$29*CUSTOS!$T$3</f>
        <v>483.11939999999998</v>
      </c>
      <c r="AD29" s="13">
        <f>TRANSICAO!$AD$29*CUSTOS!$T$3</f>
        <v>0</v>
      </c>
      <c r="AE29" s="13">
        <v>0</v>
      </c>
      <c r="AF29" s="13">
        <v>0</v>
      </c>
      <c r="AG29" s="13"/>
      <c r="AH29" s="13">
        <f>(1 - CUSTOS!$M$27)*15.3511</f>
        <v>15.351100000000001</v>
      </c>
      <c r="AI29" s="13">
        <f>(1 - CUSTOS!$M$27)*15.3511</f>
        <v>15.351100000000001</v>
      </c>
      <c r="AJ29" s="13">
        <f ca="1">$N$64*(1-CUSTOS!$M$27)</f>
        <v>0</v>
      </c>
      <c r="AK29" s="13">
        <f t="shared" ca="1" si="0"/>
        <v>0</v>
      </c>
      <c r="AL29" s="13"/>
      <c r="AM29" s="13"/>
      <c r="AP29" s="13">
        <f>IF((1 - CUSTOS!$M$27)&lt;&gt;0,1/(1 - CUSTOS!$M$27),1)</f>
        <v>1</v>
      </c>
    </row>
    <row r="30" spans="1:42" ht="11.25" customHeight="1" x14ac:dyDescent="0.25">
      <c r="A30" s="109" t="s">
        <v>41</v>
      </c>
      <c r="B30" s="109" t="s">
        <v>86</v>
      </c>
      <c r="C30" s="109" t="s">
        <v>42</v>
      </c>
      <c r="D30" s="109" t="s">
        <v>25</v>
      </c>
      <c r="E30" s="109" t="s">
        <v>25</v>
      </c>
      <c r="F30" s="109" t="s">
        <v>25</v>
      </c>
      <c r="G30" s="24" t="s">
        <v>74</v>
      </c>
      <c r="H30" s="24" t="s">
        <v>73</v>
      </c>
      <c r="I30" s="24">
        <f>'MERCADO TUSD'!$U$27</f>
        <v>0</v>
      </c>
      <c r="J30" s="15"/>
      <c r="L30" s="13">
        <f>1*(1 - CUSTOS!$M$28)</f>
        <v>1</v>
      </c>
      <c r="M3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2.2265564387930983</v>
      </c>
      <c r="N30" s="13">
        <f ca="1">(+M30+O30+R30+U30+V30+W30+X30+Y30+Z30+AA30+AC30+AH30+AI30+AJ30+AK30)*CUSTOS!$M$5</f>
        <v>1.6888950564387934E-11</v>
      </c>
      <c r="O30" s="13">
        <f>1 - CUSTOS!$M$28</f>
        <v>1</v>
      </c>
      <c r="P30" s="13">
        <f>1 - CUSTOS!$M$28</f>
        <v>1</v>
      </c>
      <c r="Q30" s="13">
        <f>1*(1 - CUSTOS!$M$28)</f>
        <v>1</v>
      </c>
      <c r="R30" s="13">
        <f>1 - CUSTOS!$M$28</f>
        <v>1</v>
      </c>
      <c r="S30" s="13">
        <f>1 - CUSTOS!$M$28</f>
        <v>1</v>
      </c>
      <c r="T30" s="13"/>
      <c r="U30" s="13">
        <f>TRANSICAO!$U$30*CUSTOS!$T$3</f>
        <v>0</v>
      </c>
      <c r="V30" s="13">
        <f>TRANSICAO!$V$30*CUSTOS!$T$3</f>
        <v>0</v>
      </c>
      <c r="W30" s="13">
        <f>TRANSICAO!$W$30*CUSTOS!$T$3</f>
        <v>0</v>
      </c>
      <c r="X30" s="13">
        <f>TRANSICAO!$X$30*CUSTOS!$T$3</f>
        <v>0</v>
      </c>
      <c r="Y30" s="13">
        <f>TRANSICAO!$Y$30*CUSTOS!$T$3</f>
        <v>339.88159999999999</v>
      </c>
      <c r="Z30" s="13">
        <f>TRANSICAO!$Z$30*CUSTOS!$T$3</f>
        <v>0</v>
      </c>
      <c r="AA30" s="13">
        <f>TRANSICAO!$AA$30*CUSTOS!$T$3</f>
        <v>0</v>
      </c>
      <c r="AB30" s="13">
        <f>TRANSICAO!$AB$30*CUSTOS!$T$3</f>
        <v>0</v>
      </c>
      <c r="AC30" s="13">
        <f>TRANSICAO!$AC$30*CUSTOS!$T$3</f>
        <v>1314.0847000000001</v>
      </c>
      <c r="AD30" s="13">
        <f>TRANSICAO!$AD$30*CUSTOS!$T$3</f>
        <v>0</v>
      </c>
      <c r="AE30" s="13">
        <v>0</v>
      </c>
      <c r="AF30" s="13">
        <v>0</v>
      </c>
      <c r="AG30" s="13"/>
      <c r="AH30" s="13">
        <f>(1 - CUSTOS!$M$28)*15.3511</f>
        <v>15.351100000000001</v>
      </c>
      <c r="AI30" s="13">
        <f>(1 - CUSTOS!$M$28)*15.3511</f>
        <v>15.351100000000001</v>
      </c>
      <c r="AJ30" s="13">
        <f ca="1">$N$64*(1-CUSTOS!$M$28)</f>
        <v>0</v>
      </c>
      <c r="AK30" s="13">
        <f t="shared" ca="1" si="0"/>
        <v>0</v>
      </c>
      <c r="AL30" s="13"/>
      <c r="AM30" s="13"/>
      <c r="AP30" s="13">
        <f>IF((1 - CUSTOS!$M$28)&lt;&gt;0,1/(1 - CUSTOS!$M$28),1)</f>
        <v>1</v>
      </c>
    </row>
    <row r="31" spans="1:42" ht="11.25" customHeight="1" x14ac:dyDescent="0.25">
      <c r="A31" s="109"/>
      <c r="B31" s="109"/>
      <c r="C31" s="109"/>
      <c r="D31" s="109"/>
      <c r="E31" s="109"/>
      <c r="F31" s="109"/>
      <c r="G31" s="24" t="s">
        <v>85</v>
      </c>
      <c r="H31" s="24" t="s">
        <v>73</v>
      </c>
      <c r="I31" s="24">
        <f>'MERCADO TUSD'!$U$28</f>
        <v>0</v>
      </c>
      <c r="J31" s="15"/>
      <c r="L31" s="13">
        <f>1*(1 - CUSTOS!$M$28)</f>
        <v>1</v>
      </c>
      <c r="M3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2.2265564387930983</v>
      </c>
      <c r="N31" s="13">
        <f ca="1">(+M31+O31+R31+U31+V31+W31+X31+Y31+Z31+AA31+AC31+AH31+AI31+AJ31+AK31)*CUSTOS!$M$5</f>
        <v>8.6191195643879318E-12</v>
      </c>
      <c r="O31" s="13">
        <f>1 - CUSTOS!$M$28</f>
        <v>1</v>
      </c>
      <c r="P31" s="13">
        <f>1 - CUSTOS!$M$28</f>
        <v>1</v>
      </c>
      <c r="Q31" s="13">
        <f>1*(1 - CUSTOS!$M$28)</f>
        <v>1</v>
      </c>
      <c r="R31" s="13">
        <f>1 - CUSTOS!$M$28</f>
        <v>1</v>
      </c>
      <c r="S31" s="13">
        <f>1 - CUSTOS!$M$28</f>
        <v>1</v>
      </c>
      <c r="T31" s="13"/>
      <c r="U31" s="13">
        <f>TRANSICAO!$U$31*CUSTOS!$T$3</f>
        <v>0</v>
      </c>
      <c r="V31" s="13">
        <f>TRANSICAO!$V$31*CUSTOS!$T$3</f>
        <v>0</v>
      </c>
      <c r="W31" s="13">
        <f>TRANSICAO!$W$31*CUSTOS!$T$3</f>
        <v>0</v>
      </c>
      <c r="X31" s="13">
        <f>TRANSICAO!$X$31*CUSTOS!$T$3</f>
        <v>0</v>
      </c>
      <c r="Y31" s="13">
        <f>TRANSICAO!$Y$31*CUSTOS!$T$3</f>
        <v>169.9408</v>
      </c>
      <c r="Z31" s="13">
        <f>TRANSICAO!$Z$31*CUSTOS!$T$3</f>
        <v>0</v>
      </c>
      <c r="AA31" s="13">
        <f>TRANSICAO!$AA$31*CUSTOS!$T$3</f>
        <v>0</v>
      </c>
      <c r="AB31" s="13">
        <f>TRANSICAO!$AB$31*CUSTOS!$T$3</f>
        <v>0</v>
      </c>
      <c r="AC31" s="13">
        <f>TRANSICAO!$AC$31*CUSTOS!$T$3</f>
        <v>657.04240000000004</v>
      </c>
      <c r="AD31" s="13">
        <f>TRANSICAO!$AD$31*CUSTOS!$T$3</f>
        <v>0</v>
      </c>
      <c r="AE31" s="13">
        <v>0</v>
      </c>
      <c r="AF31" s="13">
        <v>0</v>
      </c>
      <c r="AG31" s="13"/>
      <c r="AH31" s="13">
        <f>(1 - CUSTOS!$M$28)*15.3511</f>
        <v>15.351100000000001</v>
      </c>
      <c r="AI31" s="13">
        <f>(1 - CUSTOS!$M$28)*15.3511</f>
        <v>15.351100000000001</v>
      </c>
      <c r="AJ31" s="13">
        <f ca="1">$N$64*(1-CUSTOS!$M$28)</f>
        <v>0</v>
      </c>
      <c r="AK31" s="13">
        <f t="shared" ca="1" si="0"/>
        <v>0</v>
      </c>
      <c r="AL31" s="13"/>
      <c r="AM31" s="13"/>
      <c r="AP31" s="13">
        <f>IF((1 - CUSTOS!$M$28)&lt;&gt;0,1/(1 - CUSTOS!$M$28),1)</f>
        <v>1</v>
      </c>
    </row>
    <row r="32" spans="1:42" ht="11.25" customHeight="1" x14ac:dyDescent="0.25">
      <c r="A32" s="109"/>
      <c r="B32" s="109"/>
      <c r="C32" s="109"/>
      <c r="D32" s="109"/>
      <c r="E32" s="109"/>
      <c r="F32" s="109"/>
      <c r="G32" s="24" t="s">
        <v>75</v>
      </c>
      <c r="H32" s="24" t="s">
        <v>73</v>
      </c>
      <c r="I32" s="24">
        <f>'MERCADO TUSD'!$U$29</f>
        <v>0</v>
      </c>
      <c r="J32" s="15"/>
      <c r="L32" s="13">
        <f>1*(1 - CUSTOS!$M$28)</f>
        <v>1</v>
      </c>
      <c r="M3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2.2265564387930983</v>
      </c>
      <c r="N32" s="13">
        <f ca="1">(+M32+O32+R32+U32+V32+W32+X32+Y32+Z32+AA32+AC32+AH32+AI32+AJ32+AK32)*CUSTOS!$M$5</f>
        <v>4.4842035643879305E-12</v>
      </c>
      <c r="O32" s="13">
        <f>1 - CUSTOS!$M$28</f>
        <v>1</v>
      </c>
      <c r="P32" s="13">
        <f>1 - CUSTOS!$M$28</f>
        <v>1</v>
      </c>
      <c r="Q32" s="13">
        <f>1*(1 - CUSTOS!$M$28)</f>
        <v>1</v>
      </c>
      <c r="R32" s="13">
        <f>1 - CUSTOS!$M$28</f>
        <v>1</v>
      </c>
      <c r="S32" s="13">
        <f>1 - CUSTOS!$M$28</f>
        <v>1</v>
      </c>
      <c r="T32" s="13"/>
      <c r="U32" s="13">
        <f>TRANSICAO!$U$32*CUSTOS!$T$3</f>
        <v>0</v>
      </c>
      <c r="V32" s="13">
        <f>TRANSICAO!$V$32*CUSTOS!$T$3</f>
        <v>0</v>
      </c>
      <c r="W32" s="13">
        <f>TRANSICAO!$W$32*CUSTOS!$T$3</f>
        <v>0</v>
      </c>
      <c r="X32" s="13">
        <f>TRANSICAO!$X$32*CUSTOS!$T$3</f>
        <v>0</v>
      </c>
      <c r="Y32" s="13">
        <f>TRANSICAO!$Y$32*CUSTOS!$T$3</f>
        <v>84.970399999999998</v>
      </c>
      <c r="Z32" s="13">
        <f>TRANSICAO!$Z$32*CUSTOS!$T$3</f>
        <v>0</v>
      </c>
      <c r="AA32" s="13">
        <f>TRANSICAO!$AA$32*CUSTOS!$T$3</f>
        <v>0</v>
      </c>
      <c r="AB32" s="13">
        <f>TRANSICAO!$AB$32*CUSTOS!$T$3</f>
        <v>0</v>
      </c>
      <c r="AC32" s="13">
        <f>TRANSICAO!$AC$32*CUSTOS!$T$3</f>
        <v>328.52120000000002</v>
      </c>
      <c r="AD32" s="13">
        <f>TRANSICAO!$AD$32*CUSTOS!$T$3</f>
        <v>0</v>
      </c>
      <c r="AE32" s="13">
        <v>0</v>
      </c>
      <c r="AF32" s="13">
        <v>0</v>
      </c>
      <c r="AG32" s="13"/>
      <c r="AH32" s="13">
        <f>(1 - CUSTOS!$M$28)*15.3511</f>
        <v>15.351100000000001</v>
      </c>
      <c r="AI32" s="13">
        <f>(1 - CUSTOS!$M$28)*15.3511</f>
        <v>15.351100000000001</v>
      </c>
      <c r="AJ32" s="13">
        <f ca="1">$N$64*(1-CUSTOS!$M$28)</f>
        <v>0</v>
      </c>
      <c r="AK32" s="13">
        <f t="shared" ca="1" si="0"/>
        <v>0</v>
      </c>
      <c r="AL32" s="13"/>
      <c r="AM32" s="13"/>
      <c r="AP32" s="13">
        <f>IF((1 - CUSTOS!$M$28)&lt;&gt;0,1/(1 - CUSTOS!$M$28),1)</f>
        <v>1</v>
      </c>
    </row>
    <row r="33" spans="1:42" ht="11.25" customHeight="1" x14ac:dyDescent="0.25">
      <c r="A33" s="109"/>
      <c r="B33" s="23" t="s">
        <v>23</v>
      </c>
      <c r="C33" s="23" t="s">
        <v>42</v>
      </c>
      <c r="D33" s="23" t="s">
        <v>25</v>
      </c>
      <c r="E33" s="23" t="s">
        <v>25</v>
      </c>
      <c r="F33" s="23" t="s">
        <v>25</v>
      </c>
      <c r="G33" s="24" t="s">
        <v>77</v>
      </c>
      <c r="H33" s="24" t="s">
        <v>73</v>
      </c>
      <c r="I33" s="24">
        <f>'MERCADO TUSD'!$U$30</f>
        <v>21333.253999999997</v>
      </c>
      <c r="J33" s="15"/>
      <c r="L33" s="13">
        <f>1*(1 - CUSTOS!$M$28)</f>
        <v>1</v>
      </c>
      <c r="M3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2.2265564387930983</v>
      </c>
      <c r="N33" s="13">
        <f ca="1">(+M33+O33+R33+U33+V33+W33+X33+Y33+Z33+AA33+AC33+AH33+AI33+AJ33+AK33)*CUSTOS!$M$5</f>
        <v>6.4300465643879304E-12</v>
      </c>
      <c r="O33" s="13">
        <f>1 - CUSTOS!$M$28</f>
        <v>1</v>
      </c>
      <c r="P33" s="13">
        <f>1 - CUSTOS!$M$28</f>
        <v>1</v>
      </c>
      <c r="Q33" s="13">
        <f>1*(1 - CUSTOS!$M$28)</f>
        <v>1</v>
      </c>
      <c r="R33" s="13">
        <f>1 - CUSTOS!$M$28</f>
        <v>1</v>
      </c>
      <c r="S33" s="13">
        <f>1 - CUSTOS!$M$28</f>
        <v>1</v>
      </c>
      <c r="T33" s="13"/>
      <c r="U33" s="13">
        <f>TRANSICAO!$U$33*CUSTOS!$T$3</f>
        <v>0</v>
      </c>
      <c r="V33" s="13">
        <f>TRANSICAO!$V$33*CUSTOS!$T$3</f>
        <v>0</v>
      </c>
      <c r="W33" s="13">
        <f>TRANSICAO!$W$33*CUSTOS!$T$3</f>
        <v>0</v>
      </c>
      <c r="X33" s="13">
        <f>TRANSICAO!$X$33*CUSTOS!$T$3</f>
        <v>0</v>
      </c>
      <c r="Y33" s="13">
        <f>TRANSICAO!$Y$33*CUSTOS!$T$3</f>
        <v>124.95650000000001</v>
      </c>
      <c r="Z33" s="13">
        <f>TRANSICAO!$Z$33*CUSTOS!$T$3</f>
        <v>0</v>
      </c>
      <c r="AA33" s="13">
        <f>TRANSICAO!$AA$33*CUSTOS!$T$3</f>
        <v>0</v>
      </c>
      <c r="AB33" s="13">
        <f>TRANSICAO!$AB$33*CUSTOS!$T$3</f>
        <v>0</v>
      </c>
      <c r="AC33" s="13">
        <f>TRANSICAO!$AC$33*CUSTOS!$T$3</f>
        <v>483.11939999999998</v>
      </c>
      <c r="AD33" s="13">
        <f>TRANSICAO!$AD$33*CUSTOS!$T$3</f>
        <v>0</v>
      </c>
      <c r="AE33" s="13">
        <v>0</v>
      </c>
      <c r="AF33" s="13">
        <v>0</v>
      </c>
      <c r="AG33" s="13"/>
      <c r="AH33" s="13">
        <f>(1 - CUSTOS!$M$28)*15.3511</f>
        <v>15.351100000000001</v>
      </c>
      <c r="AI33" s="13">
        <f>(1 - CUSTOS!$M$28)*15.3511</f>
        <v>15.351100000000001</v>
      </c>
      <c r="AJ33" s="13">
        <f ca="1">$N$64*(1-CUSTOS!$M$28)</f>
        <v>0</v>
      </c>
      <c r="AK33" s="13">
        <f t="shared" ca="1" si="0"/>
        <v>0</v>
      </c>
      <c r="AL33" s="13"/>
      <c r="AM33" s="13"/>
      <c r="AP33" s="13">
        <f>IF((1 - CUSTOS!$M$28)&lt;&gt;0,1/(1 - CUSTOS!$M$28),1)</f>
        <v>1</v>
      </c>
    </row>
    <row r="34" spans="1:42" ht="11.25" customHeight="1" x14ac:dyDescent="0.25">
      <c r="A34" s="109"/>
      <c r="B34" s="109" t="s">
        <v>86</v>
      </c>
      <c r="C34" s="109" t="s">
        <v>42</v>
      </c>
      <c r="D34" s="109" t="s">
        <v>89</v>
      </c>
      <c r="E34" s="109" t="s">
        <v>25</v>
      </c>
      <c r="F34" s="109" t="s">
        <v>25</v>
      </c>
      <c r="G34" s="24" t="s">
        <v>74</v>
      </c>
      <c r="H34" s="24" t="s">
        <v>73</v>
      </c>
      <c r="I34" s="24">
        <f>'MERCADO TUSD'!$U$31</f>
        <v>0</v>
      </c>
      <c r="J34" s="15"/>
      <c r="L34" s="13">
        <f>1*(1 - CUSTOS!$M$29)</f>
        <v>1</v>
      </c>
      <c r="M3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2.2265564387930983</v>
      </c>
      <c r="N34" s="13">
        <f ca="1">(+M34+O34+R34+U34+V34+W34+X34+Y34+Z34+AA34+AC34+AH34+AI34+AJ34+AK34)*CUSTOS!$M$5</f>
        <v>1.6888950564387934E-11</v>
      </c>
      <c r="O34" s="13">
        <f>1 - CUSTOS!$M$29</f>
        <v>1</v>
      </c>
      <c r="P34" s="13">
        <f>1 - CUSTOS!$M$29</f>
        <v>1</v>
      </c>
      <c r="Q34" s="13">
        <f>1*(1 - CUSTOS!$M$29)</f>
        <v>1</v>
      </c>
      <c r="R34" s="13">
        <f>1 - CUSTOS!$M$29</f>
        <v>1</v>
      </c>
      <c r="S34" s="13">
        <f>1 - CUSTOS!$M$29</f>
        <v>1</v>
      </c>
      <c r="T34" s="13"/>
      <c r="U34" s="13">
        <f>TRANSICAO!$U$34*CUSTOS!$T$3</f>
        <v>0</v>
      </c>
      <c r="V34" s="13">
        <f>TRANSICAO!$V$34*CUSTOS!$T$3</f>
        <v>0</v>
      </c>
      <c r="W34" s="13">
        <f>TRANSICAO!$W$34*CUSTOS!$T$3</f>
        <v>0</v>
      </c>
      <c r="X34" s="13">
        <f>TRANSICAO!$X$34*CUSTOS!$T$3</f>
        <v>0</v>
      </c>
      <c r="Y34" s="13">
        <f>TRANSICAO!$Y$34*CUSTOS!$T$3</f>
        <v>339.88159999999999</v>
      </c>
      <c r="Z34" s="13">
        <f>TRANSICAO!$Z$34*CUSTOS!$T$3</f>
        <v>0</v>
      </c>
      <c r="AA34" s="13">
        <f>TRANSICAO!$AA$34*CUSTOS!$T$3</f>
        <v>0</v>
      </c>
      <c r="AB34" s="13">
        <f>TRANSICAO!$AB$34*CUSTOS!$T$3</f>
        <v>0</v>
      </c>
      <c r="AC34" s="13">
        <f>TRANSICAO!$AC$34*CUSTOS!$T$3</f>
        <v>1314.0847000000001</v>
      </c>
      <c r="AD34" s="13">
        <f>TRANSICAO!$AD$34*CUSTOS!$T$3</f>
        <v>0</v>
      </c>
      <c r="AE34" s="13">
        <v>0</v>
      </c>
      <c r="AF34" s="13">
        <v>0</v>
      </c>
      <c r="AG34" s="13"/>
      <c r="AH34" s="13">
        <f>(1 - CUSTOS!$M$29)*15.3511</f>
        <v>15.351100000000001</v>
      </c>
      <c r="AI34" s="13">
        <f>(1 - CUSTOS!$M$29)*15.3511</f>
        <v>15.351100000000001</v>
      </c>
      <c r="AJ34" s="13">
        <f ca="1">$N$64*(1-CUSTOS!$M$29)</f>
        <v>0</v>
      </c>
      <c r="AK34" s="13">
        <f t="shared" ca="1" si="0"/>
        <v>0</v>
      </c>
      <c r="AL34" s="13"/>
      <c r="AM34" s="13"/>
      <c r="AP34" s="13">
        <f>IF((1 - CUSTOS!$M$29)&lt;&gt;0,1/(1 - CUSTOS!$M$29),1)</f>
        <v>1</v>
      </c>
    </row>
    <row r="35" spans="1:42" ht="11.25" customHeight="1" x14ac:dyDescent="0.25">
      <c r="A35" s="109"/>
      <c r="B35" s="109"/>
      <c r="C35" s="109"/>
      <c r="D35" s="109"/>
      <c r="E35" s="109"/>
      <c r="F35" s="109"/>
      <c r="G35" s="24" t="s">
        <v>85</v>
      </c>
      <c r="H35" s="24" t="s">
        <v>73</v>
      </c>
      <c r="I35" s="24">
        <f>'MERCADO TUSD'!$U$32</f>
        <v>0</v>
      </c>
      <c r="J35" s="15"/>
      <c r="L35" s="13">
        <f>1*(1 - CUSTOS!$M$29)</f>
        <v>1</v>
      </c>
      <c r="M3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2.2265564387930983</v>
      </c>
      <c r="N35" s="13">
        <f ca="1">(+M35+O35+R35+U35+V35+W35+X35+Y35+Z35+AA35+AC35+AH35+AI35+AJ35+AK35)*CUSTOS!$M$5</f>
        <v>8.6191195643879318E-12</v>
      </c>
      <c r="O35" s="13">
        <f>1 - CUSTOS!$M$29</f>
        <v>1</v>
      </c>
      <c r="P35" s="13">
        <f>1 - CUSTOS!$M$29</f>
        <v>1</v>
      </c>
      <c r="Q35" s="13">
        <f>1*(1 - CUSTOS!$M$29)</f>
        <v>1</v>
      </c>
      <c r="R35" s="13">
        <f>1 - CUSTOS!$M$29</f>
        <v>1</v>
      </c>
      <c r="S35" s="13">
        <f>1 - CUSTOS!$M$29</f>
        <v>1</v>
      </c>
      <c r="T35" s="13"/>
      <c r="U35" s="13">
        <f>TRANSICAO!$U$35*CUSTOS!$T$3</f>
        <v>0</v>
      </c>
      <c r="V35" s="13">
        <f>TRANSICAO!$V$35*CUSTOS!$T$3</f>
        <v>0</v>
      </c>
      <c r="W35" s="13">
        <f>TRANSICAO!$W$35*CUSTOS!$T$3</f>
        <v>0</v>
      </c>
      <c r="X35" s="13">
        <f>TRANSICAO!$X$35*CUSTOS!$T$3</f>
        <v>0</v>
      </c>
      <c r="Y35" s="13">
        <f>TRANSICAO!$Y$35*CUSTOS!$T$3</f>
        <v>169.9408</v>
      </c>
      <c r="Z35" s="13">
        <f>TRANSICAO!$Z$35*CUSTOS!$T$3</f>
        <v>0</v>
      </c>
      <c r="AA35" s="13">
        <f>TRANSICAO!$AA$35*CUSTOS!$T$3</f>
        <v>0</v>
      </c>
      <c r="AB35" s="13">
        <f>TRANSICAO!$AB$35*CUSTOS!$T$3</f>
        <v>0</v>
      </c>
      <c r="AC35" s="13">
        <f>TRANSICAO!$AC$35*CUSTOS!$T$3</f>
        <v>657.04240000000004</v>
      </c>
      <c r="AD35" s="13">
        <f>TRANSICAO!$AD$35*CUSTOS!$T$3</f>
        <v>0</v>
      </c>
      <c r="AE35" s="13">
        <v>0</v>
      </c>
      <c r="AF35" s="13">
        <v>0</v>
      </c>
      <c r="AG35" s="13"/>
      <c r="AH35" s="13">
        <f>(1 - CUSTOS!$M$29)*15.3511</f>
        <v>15.351100000000001</v>
      </c>
      <c r="AI35" s="13">
        <f>(1 - CUSTOS!$M$29)*15.3511</f>
        <v>15.351100000000001</v>
      </c>
      <c r="AJ35" s="13">
        <f ca="1">$N$64*(1-CUSTOS!$M$29)</f>
        <v>0</v>
      </c>
      <c r="AK35" s="13">
        <f t="shared" ca="1" si="0"/>
        <v>0</v>
      </c>
      <c r="AL35" s="13"/>
      <c r="AM35" s="13"/>
      <c r="AP35" s="13">
        <f>IF((1 - CUSTOS!$M$29)&lt;&gt;0,1/(1 - CUSTOS!$M$29),1)</f>
        <v>1</v>
      </c>
    </row>
    <row r="36" spans="1:42" ht="11.25" customHeight="1" x14ac:dyDescent="0.25">
      <c r="A36" s="109"/>
      <c r="B36" s="109"/>
      <c r="C36" s="109"/>
      <c r="D36" s="109"/>
      <c r="E36" s="109"/>
      <c r="F36" s="109"/>
      <c r="G36" s="24" t="s">
        <v>75</v>
      </c>
      <c r="H36" s="24" t="s">
        <v>73</v>
      </c>
      <c r="I36" s="24">
        <f>'MERCADO TUSD'!$U$33</f>
        <v>0</v>
      </c>
      <c r="J36" s="15"/>
      <c r="L36" s="13">
        <f>1*(1 - CUSTOS!$M$29)</f>
        <v>1</v>
      </c>
      <c r="M3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2.2265564387930983</v>
      </c>
      <c r="N36" s="13">
        <f ca="1">(+M36+O36+R36+U36+V36+W36+X36+Y36+Z36+AA36+AC36+AH36+AI36+AJ36+AK36)*CUSTOS!$M$5</f>
        <v>4.4842035643879305E-12</v>
      </c>
      <c r="O36" s="13">
        <f>1 - CUSTOS!$M$29</f>
        <v>1</v>
      </c>
      <c r="P36" s="13">
        <f>1 - CUSTOS!$M$29</f>
        <v>1</v>
      </c>
      <c r="Q36" s="13">
        <f>1*(1 - CUSTOS!$M$29)</f>
        <v>1</v>
      </c>
      <c r="R36" s="13">
        <f>1 - CUSTOS!$M$29</f>
        <v>1</v>
      </c>
      <c r="S36" s="13">
        <f>1 - CUSTOS!$M$29</f>
        <v>1</v>
      </c>
      <c r="T36" s="13"/>
      <c r="U36" s="13">
        <f>TRANSICAO!$U$36*CUSTOS!$T$3</f>
        <v>0</v>
      </c>
      <c r="V36" s="13">
        <f>TRANSICAO!$V$36*CUSTOS!$T$3</f>
        <v>0</v>
      </c>
      <c r="W36" s="13">
        <f>TRANSICAO!$W$36*CUSTOS!$T$3</f>
        <v>0</v>
      </c>
      <c r="X36" s="13">
        <f>TRANSICAO!$X$36*CUSTOS!$T$3</f>
        <v>0</v>
      </c>
      <c r="Y36" s="13">
        <f>TRANSICAO!$Y$36*CUSTOS!$T$3</f>
        <v>84.970399999999998</v>
      </c>
      <c r="Z36" s="13">
        <f>TRANSICAO!$Z$36*CUSTOS!$T$3</f>
        <v>0</v>
      </c>
      <c r="AA36" s="13">
        <f>TRANSICAO!$AA$36*CUSTOS!$T$3</f>
        <v>0</v>
      </c>
      <c r="AB36" s="13">
        <f>TRANSICAO!$AB$36*CUSTOS!$T$3</f>
        <v>0</v>
      </c>
      <c r="AC36" s="13">
        <f>TRANSICAO!$AC$36*CUSTOS!$T$3</f>
        <v>328.52120000000002</v>
      </c>
      <c r="AD36" s="13">
        <f>TRANSICAO!$AD$36*CUSTOS!$T$3</f>
        <v>0</v>
      </c>
      <c r="AE36" s="13">
        <v>0</v>
      </c>
      <c r="AF36" s="13">
        <v>0</v>
      </c>
      <c r="AG36" s="13"/>
      <c r="AH36" s="13">
        <f>(1 - CUSTOS!$M$29)*15.3511</f>
        <v>15.351100000000001</v>
      </c>
      <c r="AI36" s="13">
        <f>(1 - CUSTOS!$M$29)*15.3511</f>
        <v>15.351100000000001</v>
      </c>
      <c r="AJ36" s="13">
        <f ca="1">$N$64*(1-CUSTOS!$M$29)</f>
        <v>0</v>
      </c>
      <c r="AK36" s="13">
        <f t="shared" ca="1" si="0"/>
        <v>0</v>
      </c>
      <c r="AL36" s="13"/>
      <c r="AM36" s="13"/>
      <c r="AP36" s="13">
        <f>IF((1 - CUSTOS!$M$29)&lt;&gt;0,1/(1 - CUSTOS!$M$29),1)</f>
        <v>1</v>
      </c>
    </row>
    <row r="37" spans="1:42" ht="11.25" customHeight="1" x14ac:dyDescent="0.25">
      <c r="A37" s="109"/>
      <c r="B37" s="23" t="s">
        <v>23</v>
      </c>
      <c r="C37" s="23" t="s">
        <v>42</v>
      </c>
      <c r="D37" s="23" t="s">
        <v>89</v>
      </c>
      <c r="E37" s="23" t="s">
        <v>25</v>
      </c>
      <c r="F37" s="23" t="s">
        <v>25</v>
      </c>
      <c r="G37" s="24" t="s">
        <v>77</v>
      </c>
      <c r="H37" s="24" t="s">
        <v>73</v>
      </c>
      <c r="I37" s="24">
        <f>'MERCADO TUSD'!$U$34</f>
        <v>0</v>
      </c>
      <c r="J37" s="15"/>
      <c r="L37" s="13">
        <f>1*(1 - CUSTOS!$M$29)</f>
        <v>1</v>
      </c>
      <c r="M3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2.2265564387930983</v>
      </c>
      <c r="N37" s="13">
        <f ca="1">(+M37+O37+R37+U37+V37+W37+X37+Y37+Z37+AA37+AC37+AH37+AI37+AJ37+AK37)*CUSTOS!$M$5</f>
        <v>6.4300465643879304E-12</v>
      </c>
      <c r="O37" s="13">
        <f>1 - CUSTOS!$M$29</f>
        <v>1</v>
      </c>
      <c r="P37" s="13">
        <f>1 - CUSTOS!$M$29</f>
        <v>1</v>
      </c>
      <c r="Q37" s="13">
        <f>1*(1 - CUSTOS!$M$29)</f>
        <v>1</v>
      </c>
      <c r="R37" s="13">
        <f>1 - CUSTOS!$M$29</f>
        <v>1</v>
      </c>
      <c r="S37" s="13">
        <f>1 - CUSTOS!$M$29</f>
        <v>1</v>
      </c>
      <c r="T37" s="13"/>
      <c r="U37" s="13">
        <f>TRANSICAO!$U$37*CUSTOS!$T$3</f>
        <v>0</v>
      </c>
      <c r="V37" s="13">
        <f>TRANSICAO!$V$37*CUSTOS!$T$3</f>
        <v>0</v>
      </c>
      <c r="W37" s="13">
        <f>TRANSICAO!$W$37*CUSTOS!$T$3</f>
        <v>0</v>
      </c>
      <c r="X37" s="13">
        <f>TRANSICAO!$X$37*CUSTOS!$T$3</f>
        <v>0</v>
      </c>
      <c r="Y37" s="13">
        <f>TRANSICAO!$Y$37*CUSTOS!$T$3</f>
        <v>124.95650000000001</v>
      </c>
      <c r="Z37" s="13">
        <f>TRANSICAO!$Z$37*CUSTOS!$T$3</f>
        <v>0</v>
      </c>
      <c r="AA37" s="13">
        <f>TRANSICAO!$AA$37*CUSTOS!$T$3</f>
        <v>0</v>
      </c>
      <c r="AB37" s="13">
        <f>TRANSICAO!$AB$37*CUSTOS!$T$3</f>
        <v>0</v>
      </c>
      <c r="AC37" s="13">
        <f>TRANSICAO!$AC$37*CUSTOS!$T$3</f>
        <v>483.11939999999998</v>
      </c>
      <c r="AD37" s="13">
        <f>TRANSICAO!$AD$37*CUSTOS!$T$3</f>
        <v>0</v>
      </c>
      <c r="AE37" s="13">
        <v>0</v>
      </c>
      <c r="AF37" s="13">
        <v>0</v>
      </c>
      <c r="AG37" s="13"/>
      <c r="AH37" s="13">
        <f>(1 - CUSTOS!$M$29)*15.3511</f>
        <v>15.351100000000001</v>
      </c>
      <c r="AI37" s="13">
        <f>(1 - CUSTOS!$M$29)*15.3511</f>
        <v>15.351100000000001</v>
      </c>
      <c r="AJ37" s="13">
        <f ca="1">$N$64*(1-CUSTOS!$M$29)</f>
        <v>0</v>
      </c>
      <c r="AK37" s="13">
        <f t="shared" ca="1" si="0"/>
        <v>0</v>
      </c>
      <c r="AL37" s="13"/>
      <c r="AM37" s="13"/>
      <c r="AP37" s="13">
        <f>IF((1 - CUSTOS!$M$29)&lt;&gt;0,1/(1 - CUSTOS!$M$29),1)</f>
        <v>1</v>
      </c>
    </row>
    <row r="38" spans="1:42" ht="11.25" customHeight="1" x14ac:dyDescent="0.25">
      <c r="A38" s="109"/>
      <c r="B38" s="109" t="s">
        <v>86</v>
      </c>
      <c r="C38" s="109" t="s">
        <v>42</v>
      </c>
      <c r="D38" s="109" t="s">
        <v>90</v>
      </c>
      <c r="E38" s="109" t="s">
        <v>25</v>
      </c>
      <c r="F38" s="109" t="s">
        <v>25</v>
      </c>
      <c r="G38" s="24" t="s">
        <v>74</v>
      </c>
      <c r="H38" s="24" t="s">
        <v>73</v>
      </c>
      <c r="I38" s="24">
        <f>'MERCADO TUSD'!$U$35</f>
        <v>0</v>
      </c>
      <c r="J38" s="15"/>
      <c r="L38" s="13">
        <f>1*(1 - CUSTOS!$M$30)</f>
        <v>1</v>
      </c>
      <c r="M3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2.2265564387930983</v>
      </c>
      <c r="N38" s="13">
        <f ca="1">(+M38+O38+R38+U38+V38+W38+X38+Y38+Z38+AA38+AC38+AH38+AI38+AJ38+AK38)*CUSTOS!$M$5</f>
        <v>1.6888950564387934E-11</v>
      </c>
      <c r="O38" s="13">
        <f>1 - CUSTOS!$M$30</f>
        <v>1</v>
      </c>
      <c r="P38" s="13">
        <f>1 - CUSTOS!$M$30</f>
        <v>1</v>
      </c>
      <c r="Q38" s="13">
        <f>1*(1 - CUSTOS!$M$30)</f>
        <v>1</v>
      </c>
      <c r="R38" s="13">
        <f>1 - CUSTOS!$M$30</f>
        <v>1</v>
      </c>
      <c r="S38" s="13">
        <f>1 - CUSTOS!$M$30</f>
        <v>1</v>
      </c>
      <c r="T38" s="13"/>
      <c r="U38" s="13">
        <f>TRANSICAO!$U$38*CUSTOS!$T$3</f>
        <v>0</v>
      </c>
      <c r="V38" s="13">
        <f>TRANSICAO!$V$38*CUSTOS!$T$3</f>
        <v>0</v>
      </c>
      <c r="W38" s="13">
        <f>TRANSICAO!$W$38*CUSTOS!$T$3</f>
        <v>0</v>
      </c>
      <c r="X38" s="13">
        <f>TRANSICAO!$X$38*CUSTOS!$T$3</f>
        <v>0</v>
      </c>
      <c r="Y38" s="13">
        <f>TRANSICAO!$Y$38*CUSTOS!$T$3</f>
        <v>339.88159999999999</v>
      </c>
      <c r="Z38" s="13">
        <f>TRANSICAO!$Z$38*CUSTOS!$T$3</f>
        <v>0</v>
      </c>
      <c r="AA38" s="13">
        <f>TRANSICAO!$AA$38*CUSTOS!$T$3</f>
        <v>0</v>
      </c>
      <c r="AB38" s="13">
        <f>TRANSICAO!$AB$38*CUSTOS!$T$3</f>
        <v>0</v>
      </c>
      <c r="AC38" s="13">
        <f>TRANSICAO!$AC$38*CUSTOS!$T$3</f>
        <v>1314.0847000000001</v>
      </c>
      <c r="AD38" s="13">
        <f>TRANSICAO!$AD$38*CUSTOS!$T$3</f>
        <v>0</v>
      </c>
      <c r="AE38" s="13">
        <v>0</v>
      </c>
      <c r="AF38" s="13">
        <v>0</v>
      </c>
      <c r="AG38" s="13"/>
      <c r="AH38" s="13">
        <f>(1 - CUSTOS!$M$30)*15.3511</f>
        <v>15.351100000000001</v>
      </c>
      <c r="AI38" s="13">
        <f>(1 - CUSTOS!$M$30)*15.3511</f>
        <v>15.351100000000001</v>
      </c>
      <c r="AJ38" s="13">
        <f ca="1">$N$64*(1-CUSTOS!$M$30)</f>
        <v>0</v>
      </c>
      <c r="AK38" s="13">
        <f t="shared" ca="1" si="0"/>
        <v>0</v>
      </c>
      <c r="AL38" s="13"/>
      <c r="AM38" s="13"/>
      <c r="AP38" s="13">
        <f>IF((1 - CUSTOS!$M$30)&lt;&gt;0,1/(1 - CUSTOS!$M$30),1)</f>
        <v>1</v>
      </c>
    </row>
    <row r="39" spans="1:42" ht="11.25" customHeight="1" x14ac:dyDescent="0.25">
      <c r="A39" s="109"/>
      <c r="B39" s="109"/>
      <c r="C39" s="109"/>
      <c r="D39" s="109"/>
      <c r="E39" s="109"/>
      <c r="F39" s="109"/>
      <c r="G39" s="24" t="s">
        <v>85</v>
      </c>
      <c r="H39" s="24" t="s">
        <v>73</v>
      </c>
      <c r="I39" s="24">
        <f>'MERCADO TUSD'!$U$36</f>
        <v>0</v>
      </c>
      <c r="J39" s="15"/>
      <c r="L39" s="13">
        <f>1*(1 - CUSTOS!$M$30)</f>
        <v>1</v>
      </c>
      <c r="M3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2.2265564387930983</v>
      </c>
      <c r="N39" s="13">
        <f ca="1">(+M39+O39+R39+U39+V39+W39+X39+Y39+Z39+AA39+AC39+AH39+AI39+AJ39+AK39)*CUSTOS!$M$5</f>
        <v>8.6191195643879318E-12</v>
      </c>
      <c r="O39" s="13">
        <f>1 - CUSTOS!$M$30</f>
        <v>1</v>
      </c>
      <c r="P39" s="13">
        <f>1 - CUSTOS!$M$30</f>
        <v>1</v>
      </c>
      <c r="Q39" s="13">
        <f>1*(1 - CUSTOS!$M$30)</f>
        <v>1</v>
      </c>
      <c r="R39" s="13">
        <f>1 - CUSTOS!$M$30</f>
        <v>1</v>
      </c>
      <c r="S39" s="13">
        <f>1 - CUSTOS!$M$30</f>
        <v>1</v>
      </c>
      <c r="T39" s="13"/>
      <c r="U39" s="13">
        <f>TRANSICAO!$U$39*CUSTOS!$T$3</f>
        <v>0</v>
      </c>
      <c r="V39" s="13">
        <f>TRANSICAO!$V$39*CUSTOS!$T$3</f>
        <v>0</v>
      </c>
      <c r="W39" s="13">
        <f>TRANSICAO!$W$39*CUSTOS!$T$3</f>
        <v>0</v>
      </c>
      <c r="X39" s="13">
        <f>TRANSICAO!$X$39*CUSTOS!$T$3</f>
        <v>0</v>
      </c>
      <c r="Y39" s="13">
        <f>TRANSICAO!$Y$39*CUSTOS!$T$3</f>
        <v>169.9408</v>
      </c>
      <c r="Z39" s="13">
        <f>TRANSICAO!$Z$39*CUSTOS!$T$3</f>
        <v>0</v>
      </c>
      <c r="AA39" s="13">
        <f>TRANSICAO!$AA$39*CUSTOS!$T$3</f>
        <v>0</v>
      </c>
      <c r="AB39" s="13">
        <f>TRANSICAO!$AB$39*CUSTOS!$T$3</f>
        <v>0</v>
      </c>
      <c r="AC39" s="13">
        <f>TRANSICAO!$AC$39*CUSTOS!$T$3</f>
        <v>657.04240000000004</v>
      </c>
      <c r="AD39" s="13">
        <f>TRANSICAO!$AD$39*CUSTOS!$T$3</f>
        <v>0</v>
      </c>
      <c r="AE39" s="13">
        <v>0</v>
      </c>
      <c r="AF39" s="13">
        <v>0</v>
      </c>
      <c r="AG39" s="13"/>
      <c r="AH39" s="13">
        <f>(1 - CUSTOS!$M$30)*15.3511</f>
        <v>15.351100000000001</v>
      </c>
      <c r="AI39" s="13">
        <f>(1 - CUSTOS!$M$30)*15.3511</f>
        <v>15.351100000000001</v>
      </c>
      <c r="AJ39" s="13">
        <f ca="1">$N$64*(1-CUSTOS!$M$30)</f>
        <v>0</v>
      </c>
      <c r="AK39" s="13">
        <f t="shared" ca="1" si="0"/>
        <v>0</v>
      </c>
      <c r="AL39" s="13"/>
      <c r="AM39" s="13"/>
      <c r="AP39" s="13">
        <f>IF((1 - CUSTOS!$M$30)&lt;&gt;0,1/(1 - CUSTOS!$M$30),1)</f>
        <v>1</v>
      </c>
    </row>
    <row r="40" spans="1:42" ht="11.25" customHeight="1" x14ac:dyDescent="0.25">
      <c r="A40" s="109"/>
      <c r="B40" s="109"/>
      <c r="C40" s="109"/>
      <c r="D40" s="109"/>
      <c r="E40" s="109"/>
      <c r="F40" s="109"/>
      <c r="G40" s="24" t="s">
        <v>75</v>
      </c>
      <c r="H40" s="24" t="s">
        <v>73</v>
      </c>
      <c r="I40" s="24">
        <f>'MERCADO TUSD'!$U$37</f>
        <v>0</v>
      </c>
      <c r="J40" s="15"/>
      <c r="L40" s="13">
        <f>1*(1 - CUSTOS!$M$30)</f>
        <v>1</v>
      </c>
      <c r="M4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2.2265564387930983</v>
      </c>
      <c r="N40" s="13">
        <f ca="1">(+M40+O40+R40+U40+V40+W40+X40+Y40+Z40+AA40+AC40+AH40+AI40+AJ40+AK40)*CUSTOS!$M$5</f>
        <v>4.4842035643879305E-12</v>
      </c>
      <c r="O40" s="13">
        <f>1 - CUSTOS!$M$30</f>
        <v>1</v>
      </c>
      <c r="P40" s="13">
        <f>1 - CUSTOS!$M$30</f>
        <v>1</v>
      </c>
      <c r="Q40" s="13">
        <f>1*(1 - CUSTOS!$M$30)</f>
        <v>1</v>
      </c>
      <c r="R40" s="13">
        <f>1 - CUSTOS!$M$30</f>
        <v>1</v>
      </c>
      <c r="S40" s="13">
        <f>1 - CUSTOS!$M$30</f>
        <v>1</v>
      </c>
      <c r="T40" s="13"/>
      <c r="U40" s="13">
        <f>TRANSICAO!$U$40*CUSTOS!$T$3</f>
        <v>0</v>
      </c>
      <c r="V40" s="13">
        <f>TRANSICAO!$V$40*CUSTOS!$T$3</f>
        <v>0</v>
      </c>
      <c r="W40" s="13">
        <f>TRANSICAO!$W$40*CUSTOS!$T$3</f>
        <v>0</v>
      </c>
      <c r="X40" s="13">
        <f>TRANSICAO!$X$40*CUSTOS!$T$3</f>
        <v>0</v>
      </c>
      <c r="Y40" s="13">
        <f>TRANSICAO!$Y$40*CUSTOS!$T$3</f>
        <v>84.970399999999998</v>
      </c>
      <c r="Z40" s="13">
        <f>TRANSICAO!$Z$40*CUSTOS!$T$3</f>
        <v>0</v>
      </c>
      <c r="AA40" s="13">
        <f>TRANSICAO!$AA$40*CUSTOS!$T$3</f>
        <v>0</v>
      </c>
      <c r="AB40" s="13">
        <f>TRANSICAO!$AB$40*CUSTOS!$T$3</f>
        <v>0</v>
      </c>
      <c r="AC40" s="13">
        <f>TRANSICAO!$AC$40*CUSTOS!$T$3</f>
        <v>328.52120000000002</v>
      </c>
      <c r="AD40" s="13">
        <f>TRANSICAO!$AD$40*CUSTOS!$T$3</f>
        <v>0</v>
      </c>
      <c r="AE40" s="13">
        <v>0</v>
      </c>
      <c r="AF40" s="13">
        <v>0</v>
      </c>
      <c r="AG40" s="13"/>
      <c r="AH40" s="13">
        <f>(1 - CUSTOS!$M$30)*15.3511</f>
        <v>15.351100000000001</v>
      </c>
      <c r="AI40" s="13">
        <f>(1 - CUSTOS!$M$30)*15.3511</f>
        <v>15.351100000000001</v>
      </c>
      <c r="AJ40" s="13">
        <f ca="1">$N$64*(1-CUSTOS!$M$30)</f>
        <v>0</v>
      </c>
      <c r="AK40" s="13">
        <f t="shared" ca="1" si="0"/>
        <v>0</v>
      </c>
      <c r="AL40" s="13"/>
      <c r="AM40" s="13"/>
      <c r="AP40" s="13">
        <f>IF((1 - CUSTOS!$M$30)&lt;&gt;0,1/(1 - CUSTOS!$M$30),1)</f>
        <v>1</v>
      </c>
    </row>
    <row r="41" spans="1:42" ht="11.25" customHeight="1" x14ac:dyDescent="0.25">
      <c r="A41" s="109"/>
      <c r="B41" s="23" t="s">
        <v>23</v>
      </c>
      <c r="C41" s="23" t="s">
        <v>42</v>
      </c>
      <c r="D41" s="23" t="s">
        <v>90</v>
      </c>
      <c r="E41" s="23" t="s">
        <v>25</v>
      </c>
      <c r="F41" s="23" t="s">
        <v>25</v>
      </c>
      <c r="G41" s="24" t="s">
        <v>77</v>
      </c>
      <c r="H41" s="24" t="s">
        <v>73</v>
      </c>
      <c r="I41" s="24">
        <f>'MERCADO TUSD'!$U$38</f>
        <v>0</v>
      </c>
      <c r="J41" s="15"/>
      <c r="L41" s="13">
        <f>1*(1 - CUSTOS!$M$30)</f>
        <v>1</v>
      </c>
      <c r="M4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2.2265564387930983</v>
      </c>
      <c r="N41" s="13">
        <f ca="1">(+M41+O41+R41+U41+V41+W41+X41+Y41+Z41+AA41+AC41+AH41+AI41+AJ41+AK41)*CUSTOS!$M$5</f>
        <v>6.4300465643879304E-12</v>
      </c>
      <c r="O41" s="13">
        <f>1 - CUSTOS!$M$30</f>
        <v>1</v>
      </c>
      <c r="P41" s="13">
        <f>1 - CUSTOS!$M$30</f>
        <v>1</v>
      </c>
      <c r="Q41" s="13">
        <f>1*(1 - CUSTOS!$M$30)</f>
        <v>1</v>
      </c>
      <c r="R41" s="13">
        <f>1 - CUSTOS!$M$30</f>
        <v>1</v>
      </c>
      <c r="S41" s="13">
        <f>1 - CUSTOS!$M$30</f>
        <v>1</v>
      </c>
      <c r="T41" s="13"/>
      <c r="U41" s="13">
        <f>TRANSICAO!$U$41*CUSTOS!$T$3</f>
        <v>0</v>
      </c>
      <c r="V41" s="13">
        <f>TRANSICAO!$V$41*CUSTOS!$T$3</f>
        <v>0</v>
      </c>
      <c r="W41" s="13">
        <f>TRANSICAO!$W$41*CUSTOS!$T$3</f>
        <v>0</v>
      </c>
      <c r="X41" s="13">
        <f>TRANSICAO!$X$41*CUSTOS!$T$3</f>
        <v>0</v>
      </c>
      <c r="Y41" s="13">
        <f>TRANSICAO!$Y$41*CUSTOS!$T$3</f>
        <v>124.95650000000001</v>
      </c>
      <c r="Z41" s="13">
        <f>TRANSICAO!$Z$41*CUSTOS!$T$3</f>
        <v>0</v>
      </c>
      <c r="AA41" s="13">
        <f>TRANSICAO!$AA$41*CUSTOS!$T$3</f>
        <v>0</v>
      </c>
      <c r="AB41" s="13">
        <f>TRANSICAO!$AB$41*CUSTOS!$T$3</f>
        <v>0</v>
      </c>
      <c r="AC41" s="13">
        <f>TRANSICAO!$AC$41*CUSTOS!$T$3</f>
        <v>483.11939999999998</v>
      </c>
      <c r="AD41" s="13">
        <f>TRANSICAO!$AD$41*CUSTOS!$T$3</f>
        <v>0</v>
      </c>
      <c r="AE41" s="13">
        <v>0</v>
      </c>
      <c r="AF41" s="13">
        <v>0</v>
      </c>
      <c r="AG41" s="13"/>
      <c r="AH41" s="13">
        <f>(1 - CUSTOS!$M$30)*15.3511</f>
        <v>15.351100000000001</v>
      </c>
      <c r="AI41" s="13">
        <f>(1 - CUSTOS!$M$30)*15.3511</f>
        <v>15.351100000000001</v>
      </c>
      <c r="AJ41" s="13">
        <f ca="1">$N$64*(1-CUSTOS!$M$30)</f>
        <v>0</v>
      </c>
      <c r="AK41" s="13">
        <f t="shared" ca="1" si="0"/>
        <v>0</v>
      </c>
      <c r="AL41" s="13"/>
      <c r="AM41" s="13"/>
      <c r="AP41" s="13">
        <f>IF((1 - CUSTOS!$M$30)&lt;&gt;0,1/(1 - CUSTOS!$M$30),1)</f>
        <v>1</v>
      </c>
    </row>
    <row r="42" spans="1:42" ht="11.25" customHeight="1" x14ac:dyDescent="0.25">
      <c r="A42" s="109"/>
      <c r="B42" s="109" t="s">
        <v>88</v>
      </c>
      <c r="C42" s="109" t="s">
        <v>42</v>
      </c>
      <c r="D42" s="23" t="s">
        <v>25</v>
      </c>
      <c r="E42" s="23" t="s">
        <v>25</v>
      </c>
      <c r="F42" s="23" t="s">
        <v>25</v>
      </c>
      <c r="G42" s="24" t="s">
        <v>77</v>
      </c>
      <c r="H42" s="24" t="s">
        <v>73</v>
      </c>
      <c r="I42" s="24">
        <f>'MERCADO TUSD'!$U$39</f>
        <v>0</v>
      </c>
      <c r="J42" s="15"/>
      <c r="L42" s="13">
        <f>1*(1 - CUSTOS!$M$28)</f>
        <v>1</v>
      </c>
      <c r="M4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2.2265564387930983</v>
      </c>
      <c r="N42" s="13">
        <f ca="1">(+M42+O42+R42+U42+V42+W42+X42+Y42+Z42+AA42+AC42+AH42+AI42+AJ42+AK42)*CUSTOS!$M$5</f>
        <v>6.4300465643879304E-12</v>
      </c>
      <c r="O42" s="13">
        <f>1 - CUSTOS!$M$28</f>
        <v>1</v>
      </c>
      <c r="P42" s="13">
        <f>1 - CUSTOS!$M$28</f>
        <v>1</v>
      </c>
      <c r="Q42" s="13">
        <f>1*(1 - CUSTOS!$M$28)</f>
        <v>1</v>
      </c>
      <c r="R42" s="13">
        <f>1 - CUSTOS!$M$28</f>
        <v>1</v>
      </c>
      <c r="S42" s="13">
        <f>1 - CUSTOS!$M$28</f>
        <v>1</v>
      </c>
      <c r="T42" s="13"/>
      <c r="U42" s="13">
        <f>TRANSICAO!$U$42*CUSTOS!$T$3</f>
        <v>0</v>
      </c>
      <c r="V42" s="13">
        <f>TRANSICAO!$V$42*CUSTOS!$T$3</f>
        <v>0</v>
      </c>
      <c r="W42" s="13">
        <f>TRANSICAO!$W$42*CUSTOS!$T$3</f>
        <v>0</v>
      </c>
      <c r="X42" s="13">
        <f>TRANSICAO!$X$42*CUSTOS!$T$3</f>
        <v>0</v>
      </c>
      <c r="Y42" s="13">
        <f>TRANSICAO!$Y$42*CUSTOS!$T$3</f>
        <v>124.95650000000001</v>
      </c>
      <c r="Z42" s="13">
        <f>TRANSICAO!$Z$42*CUSTOS!$T$3</f>
        <v>0</v>
      </c>
      <c r="AA42" s="13">
        <f>TRANSICAO!$AA$42*CUSTOS!$T$3</f>
        <v>0</v>
      </c>
      <c r="AB42" s="13">
        <f>TRANSICAO!$AB$42*CUSTOS!$T$3</f>
        <v>0</v>
      </c>
      <c r="AC42" s="13">
        <f>TRANSICAO!$AC$42*CUSTOS!$T$3</f>
        <v>483.11939999999998</v>
      </c>
      <c r="AD42" s="13">
        <f>TRANSICAO!$AD$42*CUSTOS!$T$3</f>
        <v>0</v>
      </c>
      <c r="AE42" s="13">
        <v>0</v>
      </c>
      <c r="AF42" s="13">
        <v>0</v>
      </c>
      <c r="AG42" s="13"/>
      <c r="AH42" s="13">
        <f>(1 - CUSTOS!$M$28)*15.3511</f>
        <v>15.351100000000001</v>
      </c>
      <c r="AI42" s="13">
        <f>(1 - CUSTOS!$M$28)*15.3511</f>
        <v>15.351100000000001</v>
      </c>
      <c r="AJ42" s="13">
        <f ca="1">$N$64*(1-CUSTOS!$M$28)</f>
        <v>0</v>
      </c>
      <c r="AK42" s="13">
        <f t="shared" ca="1" si="0"/>
        <v>0</v>
      </c>
      <c r="AL42" s="13"/>
      <c r="AM42" s="13"/>
      <c r="AP42" s="13">
        <f>IF((1 - CUSTOS!$M$28)&lt;&gt;0,1/(1 - CUSTOS!$M$28),1)</f>
        <v>1</v>
      </c>
    </row>
    <row r="43" spans="1:42" ht="11.25" customHeight="1" x14ac:dyDescent="0.25">
      <c r="A43" s="109"/>
      <c r="B43" s="109"/>
      <c r="C43" s="109"/>
      <c r="D43" s="23" t="s">
        <v>89</v>
      </c>
      <c r="E43" s="23" t="s">
        <v>25</v>
      </c>
      <c r="F43" s="23" t="s">
        <v>25</v>
      </c>
      <c r="G43" s="24" t="s">
        <v>77</v>
      </c>
      <c r="H43" s="24" t="s">
        <v>73</v>
      </c>
      <c r="I43" s="24">
        <f>'MERCADO TUSD'!$U$40</f>
        <v>0</v>
      </c>
      <c r="J43" s="15"/>
      <c r="L43" s="13">
        <f>1*(1 - CUSTOS!$M$29)</f>
        <v>1</v>
      </c>
      <c r="M4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2.2265564387930983</v>
      </c>
      <c r="N43" s="13">
        <f ca="1">(+M43+O43+R43+U43+V43+W43+X43+Y43+Z43+AA43+AC43+AH43+AI43+AJ43+AK43)*CUSTOS!$M$5</f>
        <v>6.4300465643879304E-12</v>
      </c>
      <c r="O43" s="13">
        <f>1 - CUSTOS!$M$29</f>
        <v>1</v>
      </c>
      <c r="P43" s="13">
        <f>1 - CUSTOS!$M$29</f>
        <v>1</v>
      </c>
      <c r="Q43" s="13">
        <f>1*(1 - CUSTOS!$M$29)</f>
        <v>1</v>
      </c>
      <c r="R43" s="13">
        <f>1 - CUSTOS!$M$29</f>
        <v>1</v>
      </c>
      <c r="S43" s="13">
        <f>1 - CUSTOS!$M$29</f>
        <v>1</v>
      </c>
      <c r="T43" s="13"/>
      <c r="U43" s="13">
        <f>TRANSICAO!$U$43*CUSTOS!$T$3</f>
        <v>0</v>
      </c>
      <c r="V43" s="13">
        <f>TRANSICAO!$V$43*CUSTOS!$T$3</f>
        <v>0</v>
      </c>
      <c r="W43" s="13">
        <f>TRANSICAO!$W$43*CUSTOS!$T$3</f>
        <v>0</v>
      </c>
      <c r="X43" s="13">
        <f>TRANSICAO!$X$43*CUSTOS!$T$3</f>
        <v>0</v>
      </c>
      <c r="Y43" s="13">
        <f>TRANSICAO!$Y$43*CUSTOS!$T$3</f>
        <v>124.95650000000001</v>
      </c>
      <c r="Z43" s="13">
        <f>TRANSICAO!$Z$43*CUSTOS!$T$3</f>
        <v>0</v>
      </c>
      <c r="AA43" s="13">
        <f>TRANSICAO!$AA$43*CUSTOS!$T$3</f>
        <v>0</v>
      </c>
      <c r="AB43" s="13">
        <f>TRANSICAO!$AB$43*CUSTOS!$T$3</f>
        <v>0</v>
      </c>
      <c r="AC43" s="13">
        <f>TRANSICAO!$AC$43*CUSTOS!$T$3</f>
        <v>483.11939999999998</v>
      </c>
      <c r="AD43" s="13">
        <f>TRANSICAO!$AD$43*CUSTOS!$T$3</f>
        <v>0</v>
      </c>
      <c r="AE43" s="13">
        <v>0</v>
      </c>
      <c r="AF43" s="13">
        <v>0</v>
      </c>
      <c r="AG43" s="13"/>
      <c r="AH43" s="13">
        <f>(1 - CUSTOS!$M$29)*15.3511</f>
        <v>15.351100000000001</v>
      </c>
      <c r="AI43" s="13">
        <f>(1 - CUSTOS!$M$29)*15.3511</f>
        <v>15.351100000000001</v>
      </c>
      <c r="AJ43" s="13">
        <f ca="1">$N$64*(1-CUSTOS!$M$29)</f>
        <v>0</v>
      </c>
      <c r="AK43" s="13">
        <f t="shared" ca="1" si="0"/>
        <v>0</v>
      </c>
      <c r="AL43" s="13"/>
      <c r="AM43" s="13"/>
      <c r="AP43" s="13">
        <f>IF((1 - CUSTOS!$M$29)&lt;&gt;0,1/(1 - CUSTOS!$M$29),1)</f>
        <v>1</v>
      </c>
    </row>
    <row r="44" spans="1:42" ht="11.25" customHeight="1" x14ac:dyDescent="0.25">
      <c r="A44" s="109"/>
      <c r="B44" s="109"/>
      <c r="C44" s="109"/>
      <c r="D44" s="23" t="s">
        <v>90</v>
      </c>
      <c r="E44" s="23" t="s">
        <v>25</v>
      </c>
      <c r="F44" s="23" t="s">
        <v>25</v>
      </c>
      <c r="G44" s="24" t="s">
        <v>77</v>
      </c>
      <c r="H44" s="24" t="s">
        <v>73</v>
      </c>
      <c r="I44" s="24">
        <f>'MERCADO TUSD'!$U$41</f>
        <v>0</v>
      </c>
      <c r="J44" s="15"/>
      <c r="L44" s="13">
        <f>1*(1 - CUSTOS!$M$30)</f>
        <v>1</v>
      </c>
      <c r="M4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2.2265564387930983</v>
      </c>
      <c r="N44" s="13">
        <f ca="1">(+M44+O44+R44+U44+V44+W44+X44+Y44+Z44+AA44+AC44+AH44+AI44+AJ44+AK44)*CUSTOS!$M$5</f>
        <v>6.4300465643879304E-12</v>
      </c>
      <c r="O44" s="13">
        <f>1 - CUSTOS!$M$30</f>
        <v>1</v>
      </c>
      <c r="P44" s="13">
        <f>1 - CUSTOS!$M$30</f>
        <v>1</v>
      </c>
      <c r="Q44" s="13">
        <f>1*(1 - CUSTOS!$M$30)</f>
        <v>1</v>
      </c>
      <c r="R44" s="13">
        <f>1 - CUSTOS!$M$30</f>
        <v>1</v>
      </c>
      <c r="S44" s="13">
        <f>1 - CUSTOS!$M$30</f>
        <v>1</v>
      </c>
      <c r="T44" s="13"/>
      <c r="U44" s="13">
        <f>TRANSICAO!$U$44*CUSTOS!$T$3</f>
        <v>0</v>
      </c>
      <c r="V44" s="13">
        <f>TRANSICAO!$V$44*CUSTOS!$T$3</f>
        <v>0</v>
      </c>
      <c r="W44" s="13">
        <f>TRANSICAO!$W$44*CUSTOS!$T$3</f>
        <v>0</v>
      </c>
      <c r="X44" s="13">
        <f>TRANSICAO!$X$44*CUSTOS!$T$3</f>
        <v>0</v>
      </c>
      <c r="Y44" s="13">
        <f>TRANSICAO!$Y$44*CUSTOS!$T$3</f>
        <v>124.95650000000001</v>
      </c>
      <c r="Z44" s="13">
        <f>TRANSICAO!$Z$44*CUSTOS!$T$3</f>
        <v>0</v>
      </c>
      <c r="AA44" s="13">
        <f>TRANSICAO!$AA$44*CUSTOS!$T$3</f>
        <v>0</v>
      </c>
      <c r="AB44" s="13">
        <f>TRANSICAO!$AB$44*CUSTOS!$T$3</f>
        <v>0</v>
      </c>
      <c r="AC44" s="13">
        <f>TRANSICAO!$AC$44*CUSTOS!$T$3</f>
        <v>483.11939999999998</v>
      </c>
      <c r="AD44" s="13">
        <f>TRANSICAO!$AD$44*CUSTOS!$T$3</f>
        <v>0</v>
      </c>
      <c r="AE44" s="13">
        <v>0</v>
      </c>
      <c r="AF44" s="13">
        <v>0</v>
      </c>
      <c r="AG44" s="13"/>
      <c r="AH44" s="13">
        <f>(1 - CUSTOS!$M$30)*15.3511</f>
        <v>15.351100000000001</v>
      </c>
      <c r="AI44" s="13">
        <f>(1 - CUSTOS!$M$30)*15.3511</f>
        <v>15.351100000000001</v>
      </c>
      <c r="AJ44" s="13">
        <f ca="1">$N$64*(1-CUSTOS!$M$30)</f>
        <v>0</v>
      </c>
      <c r="AK44" s="13">
        <f t="shared" ca="1" si="0"/>
        <v>0</v>
      </c>
      <c r="AL44" s="13"/>
      <c r="AM44" s="13"/>
      <c r="AP44" s="13">
        <f>IF((1 - CUSTOS!$M$30)&lt;&gt;0,1/(1 - CUSTOS!$M$30),1)</f>
        <v>1</v>
      </c>
    </row>
    <row r="45" spans="1:42" ht="11.25" customHeight="1" x14ac:dyDescent="0.25">
      <c r="A45" s="109" t="s">
        <v>33</v>
      </c>
      <c r="B45" s="109" t="s">
        <v>86</v>
      </c>
      <c r="C45" s="109" t="s">
        <v>25</v>
      </c>
      <c r="D45" s="109" t="s">
        <v>25</v>
      </c>
      <c r="E45" s="109" t="s">
        <v>25</v>
      </c>
      <c r="F45" s="109" t="s">
        <v>25</v>
      </c>
      <c r="G45" s="24" t="s">
        <v>74</v>
      </c>
      <c r="H45" s="24" t="s">
        <v>73</v>
      </c>
      <c r="I45" s="24">
        <f>'MERCADO TUSD'!$U$42</f>
        <v>0</v>
      </c>
      <c r="J45" s="15"/>
      <c r="L45" s="13">
        <f>1*(1 - CUSTOS!$M$31)</f>
        <v>1</v>
      </c>
      <c r="M4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2.2265564387930983</v>
      </c>
      <c r="N45" s="13">
        <f ca="1">(+M45+O45+R45+U45+V45+W45+X45+Y45+Z45+AA45+AC45+AH45+AI45+AJ45+AK45)*CUSTOS!$M$5</f>
        <v>2.0111753564387933E-11</v>
      </c>
      <c r="O45" s="13">
        <f>1 - CUSTOS!$M$31</f>
        <v>1</v>
      </c>
      <c r="P45" s="13">
        <f>1 - CUSTOS!$M$31</f>
        <v>1</v>
      </c>
      <c r="Q45" s="13">
        <f>1*(1 - CUSTOS!$M$31)</f>
        <v>1</v>
      </c>
      <c r="R45" s="13">
        <f>1 - CUSTOS!$M$31</f>
        <v>1</v>
      </c>
      <c r="S45" s="13">
        <f>1 - CUSTOS!$M$31</f>
        <v>1</v>
      </c>
      <c r="T45" s="13"/>
      <c r="U45" s="13">
        <f>TRANSICAO!$U$45*CUSTOS!$T$3</f>
        <v>0</v>
      </c>
      <c r="V45" s="13">
        <f>TRANSICAO!$V$45*CUSTOS!$T$3</f>
        <v>0</v>
      </c>
      <c r="W45" s="13">
        <f>TRANSICAO!$W$45*CUSTOS!$T$3</f>
        <v>0</v>
      </c>
      <c r="X45" s="13">
        <f>TRANSICAO!$X$45*CUSTOS!$T$3</f>
        <v>0</v>
      </c>
      <c r="Y45" s="13">
        <f>TRANSICAO!$Y$45*CUSTOS!$T$3</f>
        <v>406.10860000000002</v>
      </c>
      <c r="Z45" s="13">
        <f>TRANSICAO!$Z$45*CUSTOS!$T$3</f>
        <v>0</v>
      </c>
      <c r="AA45" s="13">
        <f>TRANSICAO!$AA$45*CUSTOS!$T$3</f>
        <v>0</v>
      </c>
      <c r="AB45" s="13">
        <f>TRANSICAO!$AB$45*CUSTOS!$T$3</f>
        <v>0</v>
      </c>
      <c r="AC45" s="13">
        <f>TRANSICAO!$AC$45*CUSTOS!$T$3</f>
        <v>1570.1379999999999</v>
      </c>
      <c r="AD45" s="13">
        <f>TRANSICAO!$AD$45*CUSTOS!$T$3</f>
        <v>0</v>
      </c>
      <c r="AE45" s="13">
        <v>0</v>
      </c>
      <c r="AF45" s="13">
        <v>0</v>
      </c>
      <c r="AG45" s="13"/>
      <c r="AH45" s="13">
        <f>(1 - CUSTOS!$M$31)*15.3511</f>
        <v>15.351100000000001</v>
      </c>
      <c r="AI45" s="13">
        <f>(1 - CUSTOS!$M$31)*15.3511</f>
        <v>15.351100000000001</v>
      </c>
      <c r="AJ45" s="13">
        <f ca="1">$N$64*(1-CUSTOS!$M$31)</f>
        <v>0</v>
      </c>
      <c r="AK45" s="13">
        <f t="shared" ca="1" si="0"/>
        <v>0</v>
      </c>
      <c r="AL45" s="13"/>
      <c r="AM45" s="13"/>
      <c r="AP45" s="13">
        <f>IF((1 - CUSTOS!$M$31)&lt;&gt;0,1/(1 - CUSTOS!$M$31),1)</f>
        <v>1</v>
      </c>
    </row>
    <row r="46" spans="1:42" ht="11.25" customHeight="1" x14ac:dyDescent="0.25">
      <c r="A46" s="109"/>
      <c r="B46" s="109"/>
      <c r="C46" s="109"/>
      <c r="D46" s="109"/>
      <c r="E46" s="109"/>
      <c r="F46" s="109"/>
      <c r="G46" s="24" t="s">
        <v>85</v>
      </c>
      <c r="H46" s="24" t="s">
        <v>73</v>
      </c>
      <c r="I46" s="24">
        <f>'MERCADO TUSD'!$U$43</f>
        <v>0</v>
      </c>
      <c r="J46" s="15"/>
      <c r="L46" s="13">
        <f>1*(1 - CUSTOS!$M$31)</f>
        <v>1</v>
      </c>
      <c r="M4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2.2265564387930983</v>
      </c>
      <c r="N46" s="13">
        <f ca="1">(+M46+O46+R46+U46+V46+W46+X46+Y46+Z46+AA46+AC46+AH46+AI46+AJ46+AK46)*CUSTOS!$M$5</f>
        <v>1.2206766564387933E-11</v>
      </c>
      <c r="O46" s="13">
        <f>1 - CUSTOS!$M$31</f>
        <v>1</v>
      </c>
      <c r="P46" s="13">
        <f>1 - CUSTOS!$M$31</f>
        <v>1</v>
      </c>
      <c r="Q46" s="13">
        <f>1*(1 - CUSTOS!$M$31)</f>
        <v>1</v>
      </c>
      <c r="R46" s="13">
        <f>1 - CUSTOS!$M$31</f>
        <v>1</v>
      </c>
      <c r="S46" s="13">
        <f>1 - CUSTOS!$M$31</f>
        <v>1</v>
      </c>
      <c r="T46" s="13"/>
      <c r="U46" s="13">
        <f>TRANSICAO!$U$46*CUSTOS!$T$3</f>
        <v>0</v>
      </c>
      <c r="V46" s="13">
        <f>TRANSICAO!$V$46*CUSTOS!$T$3</f>
        <v>0</v>
      </c>
      <c r="W46" s="13">
        <f>TRANSICAO!$W$46*CUSTOS!$T$3</f>
        <v>0</v>
      </c>
      <c r="X46" s="13">
        <f>TRANSICAO!$X$46*CUSTOS!$T$3</f>
        <v>0</v>
      </c>
      <c r="Y46" s="13">
        <f>TRANSICAO!$Y$46*CUSTOS!$T$3</f>
        <v>243.6651</v>
      </c>
      <c r="Z46" s="13">
        <f>TRANSICAO!$Z$46*CUSTOS!$T$3</f>
        <v>0</v>
      </c>
      <c r="AA46" s="13">
        <f>TRANSICAO!$AA$46*CUSTOS!$T$3</f>
        <v>0</v>
      </c>
      <c r="AB46" s="13">
        <f>TRANSICAO!$AB$46*CUSTOS!$T$3</f>
        <v>0</v>
      </c>
      <c r="AC46" s="13">
        <f>TRANSICAO!$AC$46*CUSTOS!$T$3</f>
        <v>942.08280000000002</v>
      </c>
      <c r="AD46" s="13">
        <f>TRANSICAO!$AD$46*CUSTOS!$T$3</f>
        <v>0</v>
      </c>
      <c r="AE46" s="13">
        <v>0</v>
      </c>
      <c r="AF46" s="13">
        <v>0</v>
      </c>
      <c r="AG46" s="13"/>
      <c r="AH46" s="13">
        <f>(1 - CUSTOS!$M$31)*15.3511</f>
        <v>15.351100000000001</v>
      </c>
      <c r="AI46" s="13">
        <f>(1 - CUSTOS!$M$31)*15.3511</f>
        <v>15.351100000000001</v>
      </c>
      <c r="AJ46" s="13">
        <f ca="1">$N$64*(1-CUSTOS!$M$31)</f>
        <v>0</v>
      </c>
      <c r="AK46" s="13">
        <f t="shared" ca="1" si="0"/>
        <v>0</v>
      </c>
      <c r="AL46" s="13"/>
      <c r="AM46" s="13"/>
      <c r="AP46" s="13">
        <f>IF((1 - CUSTOS!$M$31)&lt;&gt;0,1/(1 - CUSTOS!$M$31),1)</f>
        <v>1</v>
      </c>
    </row>
    <row r="47" spans="1:42" ht="11.25" customHeight="1" x14ac:dyDescent="0.25">
      <c r="A47" s="109"/>
      <c r="B47" s="109"/>
      <c r="C47" s="109"/>
      <c r="D47" s="109"/>
      <c r="E47" s="109"/>
      <c r="F47" s="109"/>
      <c r="G47" s="24" t="s">
        <v>75</v>
      </c>
      <c r="H47" s="24" t="s">
        <v>73</v>
      </c>
      <c r="I47" s="24">
        <f>'MERCADO TUSD'!$U$44</f>
        <v>0</v>
      </c>
      <c r="J47" s="15"/>
      <c r="L47" s="13">
        <f>1*(1 - CUSTOS!$M$31)</f>
        <v>1</v>
      </c>
      <c r="M4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2.2265564387930983</v>
      </c>
      <c r="N47" s="13">
        <f ca="1">(+M47+O47+R47+U47+V47+W47+X47+Y47+Z47+AA47+AC47+AH47+AI47+AJ47+AK47)*CUSTOS!$M$5</f>
        <v>4.3017805643879305E-12</v>
      </c>
      <c r="O47" s="13">
        <f>1 - CUSTOS!$M$31</f>
        <v>1</v>
      </c>
      <c r="P47" s="13">
        <f>1 - CUSTOS!$M$31</f>
        <v>1</v>
      </c>
      <c r="Q47" s="13">
        <f>1*(1 - CUSTOS!$M$31)</f>
        <v>1</v>
      </c>
      <c r="R47" s="13">
        <f>1 - CUSTOS!$M$31</f>
        <v>1</v>
      </c>
      <c r="S47" s="13">
        <f>1 - CUSTOS!$M$31</f>
        <v>1</v>
      </c>
      <c r="T47" s="13"/>
      <c r="U47" s="13">
        <f>TRANSICAO!$U$47*CUSTOS!$T$3</f>
        <v>0</v>
      </c>
      <c r="V47" s="13">
        <f>TRANSICAO!$V$47*CUSTOS!$T$3</f>
        <v>0</v>
      </c>
      <c r="W47" s="13">
        <f>TRANSICAO!$W$47*CUSTOS!$T$3</f>
        <v>0</v>
      </c>
      <c r="X47" s="13">
        <f>TRANSICAO!$X$47*CUSTOS!$T$3</f>
        <v>0</v>
      </c>
      <c r="Y47" s="13">
        <f>TRANSICAO!$Y$47*CUSTOS!$T$3</f>
        <v>81.221699999999998</v>
      </c>
      <c r="Z47" s="13">
        <f>TRANSICAO!$Z$47*CUSTOS!$T$3</f>
        <v>0</v>
      </c>
      <c r="AA47" s="13">
        <f>TRANSICAO!$AA$47*CUSTOS!$T$3</f>
        <v>0</v>
      </c>
      <c r="AB47" s="13">
        <f>TRANSICAO!$AB$47*CUSTOS!$T$3</f>
        <v>0</v>
      </c>
      <c r="AC47" s="13">
        <f>TRANSICAO!$AC$47*CUSTOS!$T$3</f>
        <v>314.02760000000001</v>
      </c>
      <c r="AD47" s="13">
        <f>TRANSICAO!$AD$47*CUSTOS!$T$3</f>
        <v>0</v>
      </c>
      <c r="AE47" s="13">
        <v>0</v>
      </c>
      <c r="AF47" s="13">
        <v>0</v>
      </c>
      <c r="AG47" s="13"/>
      <c r="AH47" s="13">
        <f>(1 - CUSTOS!$M$31)*15.3511</f>
        <v>15.351100000000001</v>
      </c>
      <c r="AI47" s="13">
        <f>(1 - CUSTOS!$M$31)*15.3511</f>
        <v>15.351100000000001</v>
      </c>
      <c r="AJ47" s="13">
        <f ca="1">$N$64*(1-CUSTOS!$M$31)</f>
        <v>0</v>
      </c>
      <c r="AK47" s="13">
        <f t="shared" ca="1" si="0"/>
        <v>0</v>
      </c>
      <c r="AL47" s="13"/>
      <c r="AM47" s="13"/>
      <c r="AP47" s="13">
        <f>IF((1 - CUSTOS!$M$31)&lt;&gt;0,1/(1 - CUSTOS!$M$31),1)</f>
        <v>1</v>
      </c>
    </row>
    <row r="48" spans="1:42" ht="11.25" customHeight="1" x14ac:dyDescent="0.25">
      <c r="A48" s="109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77</v>
      </c>
      <c r="H48" s="24" t="s">
        <v>73</v>
      </c>
      <c r="I48" s="24">
        <f>'MERCADO TUSD'!$U$45</f>
        <v>3162.4160000000002</v>
      </c>
      <c r="J48" s="15"/>
      <c r="L48" s="13">
        <f>1*(1 - CUSTOS!$M$31)</f>
        <v>1</v>
      </c>
      <c r="M4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2.2265564387930983</v>
      </c>
      <c r="N48" s="13">
        <f ca="1">(+M48+O48+R48+U48+V48+W48+X48+Y48+Z48+AA48+AC48+AH48+AI48+AJ48+AK48)*CUSTOS!$M$5</f>
        <v>6.4300465643879304E-12</v>
      </c>
      <c r="O48" s="13">
        <f>1 - CUSTOS!$M$31</f>
        <v>1</v>
      </c>
      <c r="P48" s="13">
        <f>1 - CUSTOS!$M$31</f>
        <v>1</v>
      </c>
      <c r="Q48" s="13">
        <f>1*(1 - CUSTOS!$M$31)</f>
        <v>1</v>
      </c>
      <c r="R48" s="13">
        <f>1 - CUSTOS!$M$31</f>
        <v>1</v>
      </c>
      <c r="S48" s="13">
        <f>1 - CUSTOS!$M$31</f>
        <v>1</v>
      </c>
      <c r="T48" s="13"/>
      <c r="U48" s="13">
        <f>TRANSICAO!$U$48*CUSTOS!$T$3</f>
        <v>0</v>
      </c>
      <c r="V48" s="13">
        <f>TRANSICAO!$V$48*CUSTOS!$T$3</f>
        <v>0</v>
      </c>
      <c r="W48" s="13">
        <f>TRANSICAO!$W$48*CUSTOS!$T$3</f>
        <v>0</v>
      </c>
      <c r="X48" s="13">
        <f>TRANSICAO!$X$48*CUSTOS!$T$3</f>
        <v>0</v>
      </c>
      <c r="Y48" s="13">
        <f>TRANSICAO!$Y$48*CUSTOS!$T$3</f>
        <v>124.95650000000001</v>
      </c>
      <c r="Z48" s="13">
        <f>TRANSICAO!$Z$48*CUSTOS!$T$3</f>
        <v>0</v>
      </c>
      <c r="AA48" s="13">
        <f>TRANSICAO!$AA$48*CUSTOS!$T$3</f>
        <v>0</v>
      </c>
      <c r="AB48" s="13">
        <f>TRANSICAO!$AB$48*CUSTOS!$T$3</f>
        <v>0</v>
      </c>
      <c r="AC48" s="13">
        <f>TRANSICAO!$AC$48*CUSTOS!$T$3</f>
        <v>483.11939999999998</v>
      </c>
      <c r="AD48" s="13">
        <f>TRANSICAO!$AD$48*CUSTOS!$T$3</f>
        <v>0</v>
      </c>
      <c r="AE48" s="13">
        <v>0</v>
      </c>
      <c r="AF48" s="13">
        <v>0</v>
      </c>
      <c r="AG48" s="13"/>
      <c r="AH48" s="13">
        <f>(1 - CUSTOS!$M$31)*15.3511</f>
        <v>15.351100000000001</v>
      </c>
      <c r="AI48" s="13">
        <f>(1 - CUSTOS!$M$31)*15.3511</f>
        <v>15.351100000000001</v>
      </c>
      <c r="AJ48" s="13">
        <f ca="1">$N$64*(1-CUSTOS!$M$31)</f>
        <v>0</v>
      </c>
      <c r="AK48" s="13">
        <f t="shared" ca="1" si="0"/>
        <v>0</v>
      </c>
      <c r="AL48" s="13"/>
      <c r="AM48" s="13"/>
      <c r="AP48" s="13">
        <f>IF((1 - CUSTOS!$M$31)&lt;&gt;0,1/(1 - CUSTOS!$M$31),1)</f>
        <v>1</v>
      </c>
    </row>
    <row r="49" spans="1:42" ht="11.25" customHeight="1" x14ac:dyDescent="0.25">
      <c r="A49" s="109"/>
      <c r="B49" s="23" t="s">
        <v>88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77</v>
      </c>
      <c r="H49" s="24" t="s">
        <v>73</v>
      </c>
      <c r="I49" s="24">
        <f>'MERCADO TUSD'!$U$46</f>
        <v>0</v>
      </c>
      <c r="J49" s="15"/>
      <c r="L49" s="13">
        <f>1*(1 - CUSTOS!$M$31)</f>
        <v>1</v>
      </c>
      <c r="M4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2.2265564387930983</v>
      </c>
      <c r="N49" s="13">
        <f ca="1">(+M49+O49+R49+U49+V49+W49+X49+Y49+Z49+AA49+AC49+AH49+AI49+AJ49+AK49)*CUSTOS!$M$5</f>
        <v>6.4300465643879304E-12</v>
      </c>
      <c r="O49" s="13">
        <f>1 - CUSTOS!$M$31</f>
        <v>1</v>
      </c>
      <c r="P49" s="13">
        <f>1 - CUSTOS!$M$31</f>
        <v>1</v>
      </c>
      <c r="Q49" s="13">
        <f>1*(1 - CUSTOS!$M$31)</f>
        <v>1</v>
      </c>
      <c r="R49" s="13">
        <f>1 - CUSTOS!$M$31</f>
        <v>1</v>
      </c>
      <c r="S49" s="13">
        <f>1 - CUSTOS!$M$31</f>
        <v>1</v>
      </c>
      <c r="T49" s="13"/>
      <c r="U49" s="13">
        <f>TRANSICAO!$U$49*CUSTOS!$T$3</f>
        <v>0</v>
      </c>
      <c r="V49" s="13">
        <f>TRANSICAO!$V$49*CUSTOS!$T$3</f>
        <v>0</v>
      </c>
      <c r="W49" s="13">
        <f>TRANSICAO!$W$49*CUSTOS!$T$3</f>
        <v>0</v>
      </c>
      <c r="X49" s="13">
        <f>TRANSICAO!$X$49*CUSTOS!$T$3</f>
        <v>0</v>
      </c>
      <c r="Y49" s="13">
        <f>TRANSICAO!$Y$49*CUSTOS!$T$3</f>
        <v>124.95650000000001</v>
      </c>
      <c r="Z49" s="13">
        <f>TRANSICAO!$Z$49*CUSTOS!$T$3</f>
        <v>0</v>
      </c>
      <c r="AA49" s="13">
        <f>TRANSICAO!$AA$49*CUSTOS!$T$3</f>
        <v>0</v>
      </c>
      <c r="AB49" s="13">
        <f>TRANSICAO!$AB$49*CUSTOS!$T$3</f>
        <v>0</v>
      </c>
      <c r="AC49" s="13">
        <f>TRANSICAO!$AC$49*CUSTOS!$T$3</f>
        <v>483.11939999999998</v>
      </c>
      <c r="AD49" s="13">
        <f>TRANSICAO!$AD$49*CUSTOS!$T$3</f>
        <v>0</v>
      </c>
      <c r="AE49" s="13">
        <v>0</v>
      </c>
      <c r="AF49" s="13">
        <v>0</v>
      </c>
      <c r="AG49" s="13"/>
      <c r="AH49" s="13">
        <f>(1 - CUSTOS!$M$31)*15.3511</f>
        <v>15.351100000000001</v>
      </c>
      <c r="AI49" s="13">
        <f>(1 - CUSTOS!$M$31)*15.3511</f>
        <v>15.351100000000001</v>
      </c>
      <c r="AJ49" s="13">
        <f ca="1">$N$64*(1-CUSTOS!$M$31)</f>
        <v>0</v>
      </c>
      <c r="AK49" s="13">
        <f t="shared" ca="1" si="0"/>
        <v>0</v>
      </c>
      <c r="AL49" s="13"/>
      <c r="AM49" s="13"/>
      <c r="AP49" s="13">
        <f>IF((1 - CUSTOS!$M$31)&lt;&gt;0,1/(1 - CUSTOS!$M$31),1)</f>
        <v>1</v>
      </c>
    </row>
    <row r="50" spans="1:42" ht="11.25" customHeight="1" x14ac:dyDescent="0.25">
      <c r="A50" s="109" t="s">
        <v>44</v>
      </c>
      <c r="B50" s="109" t="s">
        <v>23</v>
      </c>
      <c r="C50" s="109" t="s">
        <v>45</v>
      </c>
      <c r="D50" s="23" t="s">
        <v>46</v>
      </c>
      <c r="E50" s="23" t="s">
        <v>25</v>
      </c>
      <c r="F50" s="23" t="s">
        <v>25</v>
      </c>
      <c r="G50" s="24" t="s">
        <v>77</v>
      </c>
      <c r="H50" s="24" t="s">
        <v>73</v>
      </c>
      <c r="I50" s="24">
        <f>'MERCADO TUSD'!$U$47</f>
        <v>905.86099999999999</v>
      </c>
      <c r="J50" s="15"/>
      <c r="L50" s="13">
        <f>1*(1 - CUSTOS!$M$32)</f>
        <v>0.55000000000000004</v>
      </c>
      <c r="M5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1.2246060413362041</v>
      </c>
      <c r="N50" s="13">
        <f ca="1">(+M50+O50+R50+U50+V50+W50+X50+Y50+Z50+AA50+AC50+AH50+AI50+AJ50+AK50)*CUSTOS!$M$5</f>
        <v>3.5365256104133617E-12</v>
      </c>
      <c r="O50" s="13">
        <f>1 - CUSTOS!$M$32</f>
        <v>0.55000000000000004</v>
      </c>
      <c r="P50" s="13">
        <f>1 - CUSTOS!$M$32</f>
        <v>0.55000000000000004</v>
      </c>
      <c r="Q50" s="13">
        <f>1*(1 - CUSTOS!$M$32)</f>
        <v>0.55000000000000004</v>
      </c>
      <c r="R50" s="13">
        <f>1 - CUSTOS!$M$32</f>
        <v>0.55000000000000004</v>
      </c>
      <c r="S50" s="13">
        <f>1 - CUSTOS!$M$32</f>
        <v>0.55000000000000004</v>
      </c>
      <c r="T50" s="13"/>
      <c r="U50" s="13">
        <f>TRANSICAO!$U$50*CUSTOS!$T$3</f>
        <v>0</v>
      </c>
      <c r="V50" s="13">
        <f>TRANSICAO!$V$50*CUSTOS!$T$3</f>
        <v>0</v>
      </c>
      <c r="W50" s="13">
        <f>TRANSICAO!$W$50*CUSTOS!$T$3</f>
        <v>0</v>
      </c>
      <c r="X50" s="13">
        <f>TRANSICAO!$X$50*CUSTOS!$T$3</f>
        <v>0</v>
      </c>
      <c r="Y50" s="13">
        <f>TRANSICAO!$Y$50*CUSTOS!$T$3</f>
        <v>68.726075000000009</v>
      </c>
      <c r="Z50" s="13">
        <f>TRANSICAO!$Z$50*CUSTOS!$T$3</f>
        <v>0</v>
      </c>
      <c r="AA50" s="13">
        <f>TRANSICAO!$AA$50*CUSTOS!$T$3</f>
        <v>0</v>
      </c>
      <c r="AB50" s="13">
        <f>TRANSICAO!$AB$50*CUSTOS!$T$3</f>
        <v>0</v>
      </c>
      <c r="AC50" s="13">
        <f>TRANSICAO!$AC$50*CUSTOS!$T$3</f>
        <v>265.71566999999999</v>
      </c>
      <c r="AD50" s="13">
        <f>TRANSICAO!$AD$50*CUSTOS!$T$3</f>
        <v>0</v>
      </c>
      <c r="AE50" s="13">
        <v>0</v>
      </c>
      <c r="AF50" s="13">
        <v>0</v>
      </c>
      <c r="AG50" s="13"/>
      <c r="AH50" s="13">
        <f>(1 - CUSTOS!$M$32)*15.3511</f>
        <v>8.443105000000001</v>
      </c>
      <c r="AI50" s="13">
        <f>(1 - CUSTOS!$M$32)*15.3511</f>
        <v>8.443105000000001</v>
      </c>
      <c r="AJ50" s="13">
        <f ca="1">$N$64*(1-CUSTOS!$M$32)</f>
        <v>0</v>
      </c>
      <c r="AK50" s="13">
        <f t="shared" ca="1" si="0"/>
        <v>0</v>
      </c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25">
      <c r="A51" s="109"/>
      <c r="B51" s="109"/>
      <c r="C51" s="109"/>
      <c r="D51" s="24" t="s">
        <v>91</v>
      </c>
      <c r="E51" s="24" t="s">
        <v>25</v>
      </c>
      <c r="F51" s="24" t="s">
        <v>25</v>
      </c>
      <c r="G51" s="24" t="s">
        <v>77</v>
      </c>
      <c r="H51" s="24" t="s">
        <v>73</v>
      </c>
      <c r="I51" s="24">
        <f>'MERCADO TUSD'!$U$48</f>
        <v>0</v>
      </c>
      <c r="J51" s="15"/>
      <c r="L51" s="13">
        <f>1*(1 - CUSTOS!$M$33)</f>
        <v>0.6</v>
      </c>
      <c r="M5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1.3359338632758588</v>
      </c>
      <c r="N51" s="13">
        <f ca="1">(+M51+O51+R51+U51+V51+W51+X51+Y51+Z51+AA51+AC51+AH51+AI51+AJ51+AK51)*CUSTOS!$M$5</f>
        <v>3.8580279386327587E-12</v>
      </c>
      <c r="O51" s="13">
        <f>1 - CUSTOS!$M$33</f>
        <v>0.6</v>
      </c>
      <c r="P51" s="13">
        <f>1 - CUSTOS!$M$33</f>
        <v>0.6</v>
      </c>
      <c r="Q51" s="13">
        <f>1*(1 - CUSTOS!$M$33)</f>
        <v>0.6</v>
      </c>
      <c r="R51" s="13">
        <f>1 - CUSTOS!$M$33</f>
        <v>0.6</v>
      </c>
      <c r="S51" s="13">
        <f>1 - CUSTOS!$M$33</f>
        <v>0.6</v>
      </c>
      <c r="T51" s="13"/>
      <c r="U51" s="13">
        <f>TRANSICAO!$U$51*CUSTOS!$T$3</f>
        <v>0</v>
      </c>
      <c r="V51" s="13">
        <f>TRANSICAO!$V$51*CUSTOS!$T$3</f>
        <v>0</v>
      </c>
      <c r="W51" s="13">
        <f>TRANSICAO!$W$51*CUSTOS!$T$3</f>
        <v>0</v>
      </c>
      <c r="X51" s="13">
        <f>TRANSICAO!$X$51*CUSTOS!$T$3</f>
        <v>0</v>
      </c>
      <c r="Y51" s="13">
        <f>TRANSICAO!$Y$51*CUSTOS!$T$3</f>
        <v>74.9739</v>
      </c>
      <c r="Z51" s="13">
        <f>TRANSICAO!$Z$51*CUSTOS!$T$3</f>
        <v>0</v>
      </c>
      <c r="AA51" s="13">
        <f>TRANSICAO!$AA$51*CUSTOS!$T$3</f>
        <v>0</v>
      </c>
      <c r="AB51" s="13">
        <f>TRANSICAO!$AB$51*CUSTOS!$T$3</f>
        <v>0</v>
      </c>
      <c r="AC51" s="13">
        <f>TRANSICAO!$AC$51*CUSTOS!$T$3</f>
        <v>289.87163999999996</v>
      </c>
      <c r="AD51" s="13">
        <f>TRANSICAO!$AD$51*CUSTOS!$T$3</f>
        <v>0</v>
      </c>
      <c r="AE51" s="13">
        <v>0</v>
      </c>
      <c r="AF51" s="13">
        <v>0</v>
      </c>
      <c r="AG51" s="13"/>
      <c r="AH51" s="13">
        <f>(1 - CUSTOS!$M$33)*15.3511</f>
        <v>9.2106600000000007</v>
      </c>
      <c r="AI51" s="13">
        <f>(1 - CUSTOS!$M$33)*15.3511</f>
        <v>9.2106600000000007</v>
      </c>
      <c r="AJ51" s="13">
        <f ca="1">$N$64*(1-CUSTOS!$M$33)</f>
        <v>0</v>
      </c>
      <c r="AK51" s="13">
        <f t="shared" ca="1" si="0"/>
        <v>0</v>
      </c>
      <c r="AL51" s="13"/>
      <c r="AM51" s="13"/>
      <c r="AP51" s="13">
        <f>IF((1 - CUSTOS!$M$33)&lt;&gt;0,1/(1 - CUSTOS!$M$33),1)</f>
        <v>1.6666666666666667</v>
      </c>
    </row>
    <row r="53" spans="1:42" ht="11.25" customHeight="1" x14ac:dyDescent="0.25">
      <c r="K53" s="16" t="s">
        <v>491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42" ht="11.25" customHeight="1" x14ac:dyDescent="0.25">
      <c r="K54" s="16" t="s">
        <v>492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42" ht="11.25" customHeight="1" x14ac:dyDescent="0.25">
      <c r="K55" s="16" t="s">
        <v>493</v>
      </c>
      <c r="L55" s="13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64821.256789999992</v>
      </c>
      <c r="M55" s="13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117331.71178656205</v>
      </c>
      <c r="N55" s="13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8227.1040002096506</v>
      </c>
      <c r="O55" s="13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71620.394549999983</v>
      </c>
      <c r="P55" s="13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71492.402549999984</v>
      </c>
      <c r="Q55" s="13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64821.256789999992</v>
      </c>
      <c r="R55" s="13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71492.402549999984</v>
      </c>
      <c r="S55" s="13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71620.394549999983</v>
      </c>
      <c r="T55" s="13"/>
      <c r="U55" s="13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3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3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3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3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9142965.4849985763</v>
      </c>
      <c r="Z55" s="13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3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3"/>
      <c r="AC55" s="13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25157212.685235489</v>
      </c>
      <c r="AD55" s="13"/>
      <c r="AE55" s="13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3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3"/>
      <c r="AH55" s="13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578210.203751105</v>
      </c>
      <c r="AI55" s="13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578210.203751105</v>
      </c>
      <c r="AJ55" s="13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13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13"/>
      <c r="AM55" s="13"/>
    </row>
    <row r="56" spans="1:42" ht="11.25" customHeight="1" x14ac:dyDescent="0.25">
      <c r="K56" s="16" t="s">
        <v>429</v>
      </c>
      <c r="L56" s="13">
        <f>CUSTOS!$D$2</f>
        <v>0</v>
      </c>
      <c r="M56" s="13">
        <f>CUSTOS!$D$3</f>
        <v>114961.70757555132</v>
      </c>
      <c r="N56" s="13">
        <f>CUSTOS!$D$4</f>
        <v>0</v>
      </c>
      <c r="O56" s="13">
        <f>CUSTOS!$D$5</f>
        <v>0</v>
      </c>
      <c r="P56" s="13">
        <f>CUSTOS!$D$6</f>
        <v>0</v>
      </c>
      <c r="Q56" s="13">
        <f>CUSTOS!$D$7</f>
        <v>5828451.8683099989</v>
      </c>
      <c r="R56" s="13">
        <f>CUSTOS!$D$8</f>
        <v>1015947.5651999997</v>
      </c>
      <c r="S56" s="13">
        <f>CUSTOS!$D$9</f>
        <v>0</v>
      </c>
      <c r="T56" s="13">
        <f>CUSTOS!$D$10</f>
        <v>6959361.1410855502</v>
      </c>
      <c r="U56" s="13">
        <f>CUSTOS!$D$11</f>
        <v>0</v>
      </c>
      <c r="V56" s="13">
        <f>IF(SUM(V53:V55)&lt;&gt;0,CUSTOS!$D$12+CUSTOS!$D$16+CUSTOS!$D$17-'TR TUSD'!$Z$54-'TR TUSD'!$AA$54,0)</f>
        <v>0</v>
      </c>
      <c r="W56" s="13">
        <f>CUSTOS!$D$13</f>
        <v>0</v>
      </c>
      <c r="X56" s="13">
        <f>CUSTOS!$D$14</f>
        <v>0</v>
      </c>
      <c r="Y56" s="13">
        <f>IF(SUM(V53:V55)=0,CUSTOS!$D$15+CUSTOS!$D$16+CUSTOS!$D$17-'TR TUSD'!$Z$54-'TR TUSD'!$AA$54,CUSTOS!$D$15)</f>
        <v>10103829.776398001</v>
      </c>
      <c r="Z56" s="13">
        <f>Z54</f>
        <v>0</v>
      </c>
      <c r="AA56" s="13">
        <f>AA54</f>
        <v>0</v>
      </c>
      <c r="AB56" s="13">
        <f>CUSTOS!$D$18</f>
        <v>10103829.776398001</v>
      </c>
      <c r="AC56" s="13">
        <f>CUSTOS!$D$19</f>
        <v>24944453.093539529</v>
      </c>
      <c r="AD56" s="13">
        <f>CUSTOS!$D$20</f>
        <v>24944453.093539529</v>
      </c>
      <c r="AE56" s="13">
        <f>CUSTOS!$D$21</f>
        <v>0</v>
      </c>
      <c r="AF56" s="13">
        <f>CUSTOS!$D$22</f>
        <v>0</v>
      </c>
      <c r="AG56" s="13">
        <f>CUSTOS!$D$23</f>
        <v>0</v>
      </c>
      <c r="AH56" s="13">
        <f>CUSTOS!$D$24</f>
        <v>1064395.2640595178</v>
      </c>
      <c r="AI56" s="13">
        <f>CUSTOS!$D$25</f>
        <v>37339.676806569471</v>
      </c>
      <c r="AJ56" s="13">
        <f>CUSTOS!$D$26</f>
        <v>0</v>
      </c>
      <c r="AK56" s="13">
        <f>CUSTOS!$D$27</f>
        <v>0</v>
      </c>
      <c r="AL56" s="13">
        <f>CUSTOS!$D$28</f>
        <v>1101734.9408660873</v>
      </c>
      <c r="AM56" s="13">
        <f>CUSTOS!$D$29</f>
        <v>43109378.951889172</v>
      </c>
    </row>
    <row r="57" spans="1:42" ht="11.25" customHeight="1" x14ac:dyDescent="0.25">
      <c r="K57" s="16" t="s">
        <v>430</v>
      </c>
      <c r="L57" s="13">
        <f>CUSTOS!$E$2</f>
        <v>0</v>
      </c>
      <c r="M57" s="13">
        <f>CUSTOS!$E$3</f>
        <v>1046.1611809446795</v>
      </c>
      <c r="N57" s="13">
        <f>CUSTOS!$E$4</f>
        <v>0</v>
      </c>
      <c r="O57" s="13">
        <f>CUSTOS!$E$5</f>
        <v>0</v>
      </c>
      <c r="P57" s="13">
        <f>CUSTOS!$E$6</f>
        <v>0</v>
      </c>
      <c r="Q57" s="13">
        <f>CUSTOS!$E$7</f>
        <v>-1148.2595915282764</v>
      </c>
      <c r="R57" s="13">
        <f>CUSTOS!$E$8</f>
        <v>-1845.0275000651886</v>
      </c>
      <c r="S57" s="13">
        <f>CUSTOS!$E$9</f>
        <v>0</v>
      </c>
      <c r="T57" s="13">
        <f>CUSTOS!$E$10</f>
        <v>-1947.1259106487855</v>
      </c>
      <c r="U57" s="13">
        <f>CUSTOS!$E$11</f>
        <v>0</v>
      </c>
      <c r="V57" s="13">
        <f>CUSTOS!$E$12</f>
        <v>0</v>
      </c>
      <c r="W57" s="13">
        <f>CUSTOS!$E$13</f>
        <v>0</v>
      </c>
      <c r="X57" s="13">
        <f>CUSTOS!$E$14</f>
        <v>0</v>
      </c>
      <c r="Y57" s="13">
        <f>CUSTOS!$E$15</f>
        <v>323043.48155103542</v>
      </c>
      <c r="Z57" s="13">
        <f>CUSTOS!$E$16</f>
        <v>0</v>
      </c>
      <c r="AA57" s="13">
        <f>CUSTOS!$E$17</f>
        <v>0</v>
      </c>
      <c r="AB57" s="13">
        <f>CUSTOS!$E$18</f>
        <v>323043.48155103542</v>
      </c>
      <c r="AC57" s="13">
        <f>CUSTOS!$E$19</f>
        <v>-9818529.1917725932</v>
      </c>
      <c r="AD57" s="13">
        <f>CUSTOS!$E$20</f>
        <v>-9818529.1917725932</v>
      </c>
      <c r="AE57" s="13">
        <f>CUSTOS!$E$21</f>
        <v>0</v>
      </c>
      <c r="AF57" s="13">
        <f>CUSTOS!$E$22</f>
        <v>0</v>
      </c>
      <c r="AG57" s="13">
        <f>CUSTOS!$E$23</f>
        <v>0</v>
      </c>
      <c r="AH57" s="13">
        <f>CUSTOS!$E$24</f>
        <v>86278.914960153372</v>
      </c>
      <c r="AI57" s="13">
        <f>CUSTOS!$E$25</f>
        <v>3026.7203440445551</v>
      </c>
      <c r="AJ57" s="13">
        <f>CUSTOS!$E$26</f>
        <v>0</v>
      </c>
      <c r="AK57" s="13">
        <f>CUSTOS!$E$27</f>
        <v>0</v>
      </c>
      <c r="AL57" s="13">
        <f>CUSTOS!$E$28</f>
        <v>89305.635304197931</v>
      </c>
      <c r="AM57" s="13">
        <f>CUSTOS!$E$29</f>
        <v>-9408127.2008280084</v>
      </c>
    </row>
    <row r="58" spans="1:42" ht="11.25" customHeight="1" x14ac:dyDescent="0.25">
      <c r="K58" s="16" t="s">
        <v>431</v>
      </c>
      <c r="L58" s="13">
        <f>CUSTOS!$F$2</f>
        <v>0</v>
      </c>
      <c r="M58" s="13">
        <f>CUSTOS!$F$3</f>
        <v>0</v>
      </c>
      <c r="N58" s="13">
        <f>CUSTOS!$F$4</f>
        <v>0</v>
      </c>
      <c r="O58" s="13">
        <f>CUSTOS!$F$5</f>
        <v>0</v>
      </c>
      <c r="P58" s="13">
        <f>CUSTOS!$F$6</f>
        <v>0</v>
      </c>
      <c r="Q58" s="13">
        <f>CUSTOS!$F$7</f>
        <v>0</v>
      </c>
      <c r="R58" s="13">
        <f>CUSTOS!$F$8</f>
        <v>0</v>
      </c>
      <c r="S58" s="13">
        <f>CUSTOS!$F$9</f>
        <v>0</v>
      </c>
      <c r="T58" s="13">
        <f>CUSTOS!$F$10</f>
        <v>0</v>
      </c>
      <c r="U58" s="13">
        <f>CUSTOS!$F$11</f>
        <v>0</v>
      </c>
      <c r="V58" s="13">
        <f>CUSTOS!$F$12</f>
        <v>0</v>
      </c>
      <c r="W58" s="13">
        <f>CUSTOS!$F$13</f>
        <v>0</v>
      </c>
      <c r="X58" s="13">
        <f>CUSTOS!$F$14</f>
        <v>0</v>
      </c>
      <c r="Y58" s="13">
        <f>CUSTOS!$F$15</f>
        <v>0</v>
      </c>
      <c r="Z58" s="13">
        <f>CUSTOS!$F$16</f>
        <v>0</v>
      </c>
      <c r="AA58" s="13">
        <f>CUSTOS!$F$17</f>
        <v>0</v>
      </c>
      <c r="AB58" s="13">
        <f>CUSTOS!$F$18</f>
        <v>0</v>
      </c>
      <c r="AC58" s="13">
        <f>CUSTOS!$F$19</f>
        <v>0</v>
      </c>
      <c r="AD58" s="13">
        <f>CUSTOS!$F$20</f>
        <v>0</v>
      </c>
      <c r="AE58" s="13">
        <f>CUSTOS!$F$21</f>
        <v>0</v>
      </c>
      <c r="AF58" s="13">
        <f>CUSTOS!$F$22</f>
        <v>0</v>
      </c>
      <c r="AG58" s="13">
        <f>CUSTOS!$F$23</f>
        <v>0</v>
      </c>
      <c r="AH58" s="13">
        <f>CUSTOS!$F$24</f>
        <v>0</v>
      </c>
      <c r="AI58" s="13">
        <f>CUSTOS!$F$25</f>
        <v>0</v>
      </c>
      <c r="AJ58" s="13">
        <f>CUSTOS!$F$26</f>
        <v>0</v>
      </c>
      <c r="AK58" s="13">
        <f>CUSTOS!$F$27</f>
        <v>0</v>
      </c>
      <c r="AL58" s="13">
        <f>CUSTOS!$F$28</f>
        <v>0</v>
      </c>
      <c r="AM58" s="13">
        <f>CUSTOS!$F$29</f>
        <v>0</v>
      </c>
    </row>
    <row r="59" spans="1:42" ht="11.25" customHeight="1" x14ac:dyDescent="0.25">
      <c r="K59" s="16" t="s">
        <v>494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/>
      <c r="AC59" s="13">
        <v>0</v>
      </c>
      <c r="AD59" s="13"/>
      <c r="AE59" s="13">
        <v>0</v>
      </c>
      <c r="AF59" s="13">
        <v>0</v>
      </c>
      <c r="AG59" s="13"/>
      <c r="AH59" s="13">
        <v>0</v>
      </c>
      <c r="AI59" s="13">
        <v>0</v>
      </c>
      <c r="AJ59" s="13">
        <v>0</v>
      </c>
      <c r="AK59" s="13">
        <v>0</v>
      </c>
      <c r="AL59" s="13"/>
      <c r="AM59" s="13"/>
    </row>
    <row r="60" spans="1:42" ht="11.25" customHeight="1" x14ac:dyDescent="0.25">
      <c r="K60" s="16" t="s">
        <v>495</v>
      </c>
      <c r="L60" s="13">
        <f t="shared" ref="L60:S60" si="1">IF((L55+L53)&lt;&gt;0,(L56-L54-L59)/(L55+L53),0)</f>
        <v>0</v>
      </c>
      <c r="M60" s="13">
        <f t="shared" si="1"/>
        <v>0.97980082132167301</v>
      </c>
      <c r="N60" s="13">
        <f t="shared" ca="1" si="1"/>
        <v>0</v>
      </c>
      <c r="O60" s="13">
        <f t="shared" si="1"/>
        <v>0</v>
      </c>
      <c r="P60" s="13">
        <f t="shared" si="1"/>
        <v>0</v>
      </c>
      <c r="Q60" s="13">
        <f t="shared" si="1"/>
        <v>89.915749199252758</v>
      </c>
      <c r="R60" s="13">
        <f t="shared" si="1"/>
        <v>14.2105668429519</v>
      </c>
      <c r="S60" s="13">
        <f t="shared" si="1"/>
        <v>0</v>
      </c>
      <c r="T60" s="13"/>
      <c r="U60" s="13">
        <f>IF(U55&lt;&gt;0,(U56-U54-U53-U59)/U55,0)</f>
        <v>0</v>
      </c>
      <c r="V60" s="13">
        <f>IF(V55&lt;&gt;0,(V56-V54-V53-V59)/V55,0)</f>
        <v>0</v>
      </c>
      <c r="W60" s="13">
        <f>IF(W55&lt;&gt;0,(W56-W54-W53-W59)/W55,0)</f>
        <v>0</v>
      </c>
      <c r="X60" s="13">
        <f>IF(X55&lt;&gt;0,(X56-X54-X53-X59)/X55,0)</f>
        <v>0</v>
      </c>
      <c r="Y60" s="13">
        <f>IF(Y55&lt;&gt;0,(Y56-Y54-Y53-Y59)/Y55,0)</f>
        <v>1.1050932865245935</v>
      </c>
      <c r="Z60" s="13"/>
      <c r="AA60" s="13"/>
      <c r="AB60" s="13"/>
      <c r="AC60" s="13">
        <f>IF(AC55&lt;&gt;0,(AC56-AC54-AC53-AC59)/AC55,0)</f>
        <v>0.99154279950016777</v>
      </c>
      <c r="AD60" s="13"/>
      <c r="AE60" s="13">
        <f>IF((AE55+AE53)&lt;&gt;0,(AE56-AE54-AE59)/(AE55+AE53),0)</f>
        <v>0</v>
      </c>
      <c r="AF60" s="13">
        <f>IF((AF55+AF53)&lt;&gt;0,(AF56-AF54-AF59)/(AF55+AF53),0)</f>
        <v>0</v>
      </c>
      <c r="AG60" s="13"/>
      <c r="AH60" s="13">
        <f>IF(AH55&lt;&gt;0,(AH56-AH54-AH53-AH59)/AH55,0)</f>
        <v>1.8408448297078044</v>
      </c>
      <c r="AI60" s="13">
        <f>IF(AI55&lt;&gt;0,(AI56-AI54-AI53-AI59)/AI55,0)</f>
        <v>6.4578031595309962E-2</v>
      </c>
      <c r="AJ60" s="13">
        <f ca="1">IF((AJ55+AJ53)&lt;&gt;0,(AJ56-AJ54-AJ59)/(AJ55+AJ53),0)</f>
        <v>0</v>
      </c>
      <c r="AK60" s="13">
        <f ca="1">IF((AK55+AK53)&lt;&gt;0,(AK56-AK54-AK59)/(AK55+AK53),0)</f>
        <v>0</v>
      </c>
      <c r="AL60" s="13"/>
      <c r="AM60" s="13"/>
    </row>
    <row r="62" spans="1:42" ht="11.25" customHeight="1" x14ac:dyDescent="0.25">
      <c r="K62" s="25" t="s">
        <v>499</v>
      </c>
      <c r="L62" s="25" t="s">
        <v>500</v>
      </c>
      <c r="M62" s="25" t="s">
        <v>501</v>
      </c>
      <c r="N62" s="25" t="s">
        <v>502</v>
      </c>
      <c r="O62" s="25" t="s">
        <v>503</v>
      </c>
      <c r="P62" s="25" t="s">
        <v>504</v>
      </c>
    </row>
    <row r="63" spans="1:42" ht="11.25" customHeight="1" x14ac:dyDescent="0.25">
      <c r="K63" s="24" t="s">
        <v>35</v>
      </c>
      <c r="L63" s="24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20188749.258126017</v>
      </c>
      <c r="M63" s="24">
        <f>+'TUSD BE'!$I$7+'TUSD BE'!$I$8+'TUSD BE'!$I$11+'TUSD BE'!$I$12+'TUSD BE'!$I$13+'TUSD BE'!$I$14</f>
        <v>41694.661</v>
      </c>
      <c r="N63" s="24">
        <f ca="1">IF(AND($L$70&lt;&gt;0,M63&lt;&gt;0),(L63/$L$70*$AJ$56)/M63,0)</f>
        <v>0</v>
      </c>
      <c r="O63" s="24"/>
      <c r="P63" s="24"/>
    </row>
    <row r="64" spans="1:42" ht="11.25" customHeight="1" x14ac:dyDescent="0.25">
      <c r="K64" s="24" t="s">
        <v>82</v>
      </c>
      <c r="L64" s="24">
        <f ca="1">+$L$65+$L$66+$L$67+$L$68+$L$69</f>
        <v>22511185.355743539</v>
      </c>
      <c r="M64" s="24">
        <f>+$M$65+$M$66+$M$67+$M$68+$M$69</f>
        <v>30333.370999999999</v>
      </c>
      <c r="N64" s="24">
        <f ca="1">IF(AND($L$70&lt;&gt;0,M64&lt;&gt;0),(L64/$L$70*$AJ$56)/M64,0)</f>
        <v>0</v>
      </c>
      <c r="O64" s="24"/>
      <c r="P64" s="24"/>
    </row>
    <row r="65" spans="11:16" ht="11.25" customHeight="1" x14ac:dyDescent="0.25">
      <c r="K65" s="24" t="s">
        <v>82</v>
      </c>
      <c r="L65" s="24"/>
      <c r="M65" s="24"/>
      <c r="N65" s="24">
        <f ca="1">IF(AND($L$70&lt;&gt;0,M65&lt;&gt;0),(L65/$L$70*$AJ$56)/M65,0)</f>
        <v>0</v>
      </c>
      <c r="O65" s="24"/>
      <c r="P65" s="24"/>
    </row>
    <row r="66" spans="11:16" ht="11.25" customHeight="1" x14ac:dyDescent="0.25">
      <c r="K66" s="24" t="s">
        <v>22</v>
      </c>
      <c r="L66" s="24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3698771.901332587</v>
      </c>
      <c r="M66" s="24">
        <f>+'TUSD BE'!$I$17+'TUSD BE'!$I$18+'TUSD BE'!$I$19+'TUSD BE'!$I$20+'TUSD BE'!$I$21+'TUSD BE'!$I$22+'TUSD BE'!$I$23+'TUSD BE'!$I$24+'TUSD BE'!$I$25+'TUSD BE'!$I$26+'TUSD BE'!$I$27+'TUSD BE'!$I$28+'TUSD BE'!$I$29</f>
        <v>4931.8399999999992</v>
      </c>
      <c r="N66" s="24"/>
      <c r="O66" s="24"/>
      <c r="P66" s="24"/>
    </row>
    <row r="67" spans="11:16" ht="11.25" customHeight="1" x14ac:dyDescent="0.25">
      <c r="K67" s="24" t="s">
        <v>41</v>
      </c>
      <c r="L67" s="24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16057121.863510786</v>
      </c>
      <c r="M67" s="24">
        <f>+'TUSD BE'!$I$30+'TUSD BE'!$I$31+'TUSD BE'!$I$32+'TUSD BE'!$I$33+'TUSD BE'!$I$34+'TUSD BE'!$I$35+'TUSD BE'!$I$36+'TUSD BE'!$I$37+'TUSD BE'!$I$38+'TUSD BE'!$I$39+'TUSD BE'!$I$40+'TUSD BE'!$I$41+'TUSD BE'!$I$42+'TUSD BE'!$I$43+'TUSD BE'!$I$44</f>
        <v>21333.253999999997</v>
      </c>
      <c r="N67" s="24"/>
      <c r="O67" s="24"/>
      <c r="P67" s="24"/>
    </row>
    <row r="68" spans="11:16" ht="11.25" customHeight="1" x14ac:dyDescent="0.25">
      <c r="K68" s="24" t="s">
        <v>33</v>
      </c>
      <c r="L68" s="24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2380288.4967814256</v>
      </c>
      <c r="M68" s="24">
        <f>+'TUSD BE'!$I$45+'TUSD BE'!$I$46+'TUSD BE'!$I$47+'TUSD BE'!$I$48+'TUSD BE'!$I$49</f>
        <v>3162.4160000000002</v>
      </c>
      <c r="N68" s="24"/>
      <c r="O68" s="24"/>
      <c r="P68" s="24"/>
    </row>
    <row r="69" spans="11:16" ht="11.25" customHeight="1" x14ac:dyDescent="0.25">
      <c r="K69" s="24" t="s">
        <v>44</v>
      </c>
      <c r="L69" s="24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375003.09411873878</v>
      </c>
      <c r="M69" s="24">
        <f>+'TUSD BE'!$I$50+'TUSD BE'!$I$51</f>
        <v>905.86099999999999</v>
      </c>
      <c r="N69" s="24"/>
      <c r="O69" s="24"/>
      <c r="P69" s="24"/>
    </row>
    <row r="70" spans="11:16" ht="11.25" customHeight="1" x14ac:dyDescent="0.25">
      <c r="K70" s="24"/>
      <c r="L70" s="24">
        <f ca="1">SUM($L$63:$L$69,-$L$64)</f>
        <v>42699934.613869548</v>
      </c>
      <c r="M70" s="24">
        <f>SUM($M$63:$M$69,-$M$64)</f>
        <v>72028.032000000007</v>
      </c>
      <c r="N70" s="24"/>
      <c r="O70" s="24"/>
      <c r="P70" s="24"/>
    </row>
  </sheetData>
  <mergeCells count="73"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  <mergeCell ref="A1:A4"/>
    <mergeCell ref="B1:B4"/>
    <mergeCell ref="C1:C4"/>
    <mergeCell ref="D1:D4"/>
    <mergeCell ref="E1:E4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370C-298B-43D7-AD9E-13185858BE18}">
  <dimension ref="A1:AP58"/>
  <sheetViews>
    <sheetView showGridLines="0" topLeftCell="X1" workbookViewId="0">
      <selection activeCell="AK54" sqref="AK54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5" width="4.140625" style="9" bestFit="1" customWidth="1"/>
    <col min="16" max="16" width="4.42578125" style="9" bestFit="1" customWidth="1"/>
    <col min="17" max="18" width="10" style="9" bestFit="1" customWidth="1"/>
    <col min="19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10" t="s">
        <v>63</v>
      </c>
      <c r="B1" s="110" t="s">
        <v>64</v>
      </c>
      <c r="C1" s="110" t="s">
        <v>65</v>
      </c>
      <c r="D1" s="110" t="s">
        <v>66</v>
      </c>
      <c r="E1" s="110" t="s">
        <v>67</v>
      </c>
      <c r="F1" s="110" t="s">
        <v>15</v>
      </c>
      <c r="G1" s="110" t="s">
        <v>69</v>
      </c>
      <c r="H1" s="110" t="s">
        <v>70</v>
      </c>
      <c r="I1" s="110" t="s">
        <v>488</v>
      </c>
      <c r="J1" s="98"/>
      <c r="L1" s="111" t="s">
        <v>496</v>
      </c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P1" s="111" t="s">
        <v>490</v>
      </c>
    </row>
    <row r="2" spans="1:42" ht="11.25" customHeight="1" x14ac:dyDescent="0.25">
      <c r="A2" s="110"/>
      <c r="B2" s="110"/>
      <c r="C2" s="110"/>
      <c r="D2" s="110"/>
      <c r="E2" s="110"/>
      <c r="F2" s="110"/>
      <c r="G2" s="110"/>
      <c r="H2" s="110"/>
      <c r="I2" s="110"/>
      <c r="J2" s="98"/>
      <c r="L2" s="111" t="s">
        <v>387</v>
      </c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P2" s="112"/>
    </row>
    <row r="3" spans="1:42" ht="11.25" customHeight="1" x14ac:dyDescent="0.25">
      <c r="A3" s="110"/>
      <c r="B3" s="110"/>
      <c r="C3" s="110"/>
      <c r="D3" s="110"/>
      <c r="E3" s="110"/>
      <c r="F3" s="110"/>
      <c r="G3" s="110"/>
      <c r="H3" s="110"/>
      <c r="I3" s="110"/>
      <c r="J3" s="98"/>
      <c r="L3" s="111" t="s">
        <v>388</v>
      </c>
      <c r="M3" s="111"/>
      <c r="N3" s="111"/>
      <c r="O3" s="111"/>
      <c r="P3" s="111"/>
      <c r="Q3" s="111"/>
      <c r="R3" s="111"/>
      <c r="S3" s="111"/>
      <c r="T3" s="111"/>
      <c r="U3" s="111" t="s">
        <v>397</v>
      </c>
      <c r="V3" s="111"/>
      <c r="W3" s="111"/>
      <c r="X3" s="111"/>
      <c r="Y3" s="111"/>
      <c r="Z3" s="111"/>
      <c r="AA3" s="111"/>
      <c r="AB3" s="111"/>
      <c r="AC3" s="111" t="s">
        <v>405</v>
      </c>
      <c r="AD3" s="111"/>
      <c r="AE3" s="111" t="s">
        <v>407</v>
      </c>
      <c r="AF3" s="111"/>
      <c r="AG3" s="111"/>
      <c r="AH3" s="111" t="s">
        <v>410</v>
      </c>
      <c r="AI3" s="111"/>
      <c r="AJ3" s="111"/>
      <c r="AK3" s="111"/>
      <c r="AL3" s="111"/>
      <c r="AM3" s="111" t="s">
        <v>396</v>
      </c>
      <c r="AP3" s="112"/>
    </row>
    <row r="4" spans="1:42" ht="11.25" customHeight="1" x14ac:dyDescent="0.25">
      <c r="A4" s="110"/>
      <c r="B4" s="110"/>
      <c r="C4" s="110"/>
      <c r="D4" s="110"/>
      <c r="E4" s="110"/>
      <c r="F4" s="110"/>
      <c r="G4" s="110"/>
      <c r="H4" s="110"/>
      <c r="I4" s="110"/>
      <c r="J4" s="98"/>
      <c r="L4" s="10" t="s">
        <v>473</v>
      </c>
      <c r="M4" s="10" t="s">
        <v>389</v>
      </c>
      <c r="N4" s="10" t="s">
        <v>390</v>
      </c>
      <c r="O4" s="10" t="s">
        <v>391</v>
      </c>
      <c r="P4" s="10" t="s">
        <v>392</v>
      </c>
      <c r="Q4" s="10" t="s">
        <v>393</v>
      </c>
      <c r="R4" s="10" t="s">
        <v>394</v>
      </c>
      <c r="S4" s="10" t="s">
        <v>395</v>
      </c>
      <c r="T4" s="10" t="s">
        <v>396</v>
      </c>
      <c r="U4" s="10" t="s">
        <v>398</v>
      </c>
      <c r="V4" s="10" t="s">
        <v>399</v>
      </c>
      <c r="W4" s="10" t="s">
        <v>400</v>
      </c>
      <c r="X4" s="10" t="s">
        <v>401</v>
      </c>
      <c r="Y4" s="10" t="s">
        <v>402</v>
      </c>
      <c r="Z4" s="10" t="s">
        <v>403</v>
      </c>
      <c r="AA4" s="10" t="s">
        <v>404</v>
      </c>
      <c r="AB4" s="10" t="s">
        <v>396</v>
      </c>
      <c r="AC4" s="10" t="s">
        <v>406</v>
      </c>
      <c r="AD4" s="10" t="s">
        <v>396</v>
      </c>
      <c r="AE4" s="10" t="s">
        <v>408</v>
      </c>
      <c r="AF4" s="10" t="s">
        <v>409</v>
      </c>
      <c r="AG4" s="10" t="s">
        <v>396</v>
      </c>
      <c r="AH4" s="10" t="s">
        <v>411</v>
      </c>
      <c r="AI4" s="10" t="s">
        <v>412</v>
      </c>
      <c r="AJ4" s="10" t="s">
        <v>413</v>
      </c>
      <c r="AK4" s="10" t="s">
        <v>414</v>
      </c>
      <c r="AL4" s="10" t="s">
        <v>396</v>
      </c>
      <c r="AM4" s="113"/>
      <c r="AP4" s="112"/>
    </row>
    <row r="5" spans="1:42" ht="11.25" customHeight="1" x14ac:dyDescent="0.25">
      <c r="A5" s="109" t="s">
        <v>35</v>
      </c>
      <c r="B5" s="109" t="s">
        <v>36</v>
      </c>
      <c r="C5" s="109" t="s">
        <v>25</v>
      </c>
      <c r="D5" s="109" t="s">
        <v>25</v>
      </c>
      <c r="E5" s="109" t="s">
        <v>25</v>
      </c>
      <c r="F5" s="109" t="s">
        <v>25</v>
      </c>
      <c r="G5" s="24" t="s">
        <v>79</v>
      </c>
      <c r="H5" s="24" t="s">
        <v>78</v>
      </c>
      <c r="I5" s="24">
        <f>'MERCADO TUSD'!$U$2</f>
        <v>60365</v>
      </c>
      <c r="J5" s="15"/>
      <c r="L5" s="13">
        <f>'TR TUSD'!$L$5*'TR TUSD'!$L$60</f>
        <v>0</v>
      </c>
      <c r="M5" s="13">
        <f>'TR TUSD'!$M$5*'TR TUSD'!$M$60</f>
        <v>0</v>
      </c>
      <c r="N5" s="13">
        <f ca="1">'TR TUSD'!$N$5*'TR TUSD'!$N$60</f>
        <v>0</v>
      </c>
      <c r="O5" s="13">
        <f>'TR TUSD'!$O$5*'TR TUSD'!$O$60</f>
        <v>0</v>
      </c>
      <c r="P5" s="13">
        <f>'TR TUSD'!$P$5*'TR TUSD'!$P$60</f>
        <v>0</v>
      </c>
      <c r="Q5" s="13">
        <f>'TR TUSD'!$Q$5*'TR TUSD'!$Q$60</f>
        <v>0</v>
      </c>
      <c r="R5" s="13">
        <f>'TR TUSD'!$R$5*'TR TUSD'!$R$60</f>
        <v>0</v>
      </c>
      <c r="S5" s="13">
        <f>'TR TUSD'!$S$5*'TR TUSD'!$S$60</f>
        <v>0</v>
      </c>
      <c r="T5" s="13">
        <f ca="1">SUM($L$5:$S$5)</f>
        <v>0</v>
      </c>
      <c r="U5" s="13">
        <f>'TR TUSD'!$U$5*'TR TUSD'!$U$60</f>
        <v>0</v>
      </c>
      <c r="V5" s="13">
        <f>'TR TUSD'!$V$5*'TR TUSD'!$V$60</f>
        <v>0</v>
      </c>
      <c r="W5" s="13">
        <f>'TR TUSD'!$W$5*'TR TUSD'!$W$60</f>
        <v>0</v>
      </c>
      <c r="X5" s="13">
        <f>'TR TUSD'!$X$5*'TR TUSD'!$X$60</f>
        <v>0</v>
      </c>
      <c r="Y5" s="13">
        <f>'TR TUSD'!$Y$5*'TR TUSD'!$Y$60</f>
        <v>42.209259097464155</v>
      </c>
      <c r="Z5" s="13">
        <f>'TR TUSD'!$Z$5</f>
        <v>0</v>
      </c>
      <c r="AA5" s="13">
        <f>'TR TUSD'!$AA$5</f>
        <v>0</v>
      </c>
      <c r="AB5" s="13">
        <f>SUM($U$5:$AA$5)</f>
        <v>42.209259097464155</v>
      </c>
      <c r="AC5" s="13">
        <f>'TR TUSD'!$AC$5*'TR TUSD'!$AC$60</f>
        <v>78.165599433037073</v>
      </c>
      <c r="AD5" s="13">
        <f>SUM($AC$5:$AC$5)</f>
        <v>78.165599433037073</v>
      </c>
      <c r="AE5" s="13">
        <v>0</v>
      </c>
      <c r="AF5" s="13">
        <v>0</v>
      </c>
      <c r="AG5" s="13">
        <f>SUM($AE$5:$AF$5)</f>
        <v>0</v>
      </c>
      <c r="AH5" s="13">
        <f>'TR TUSD'!$AH$5*'TR TUSD'!$AH$60</f>
        <v>0</v>
      </c>
      <c r="AI5" s="13">
        <f>'TR TUSD'!$AI$5*'TR TUSD'!$AI$60</f>
        <v>0</v>
      </c>
      <c r="AJ5" s="13">
        <f ca="1">'TR TUSD'!$AJ$5*'TR TUSD'!$AJ$60</f>
        <v>0</v>
      </c>
      <c r="AK5" s="13">
        <f ca="1">'TR TUSD'!$AK$5*'TR TUSD'!$AK$60</f>
        <v>0</v>
      </c>
      <c r="AL5" s="13">
        <f ca="1">SUM($AH$5:$AK$5)</f>
        <v>0</v>
      </c>
      <c r="AM5" s="13">
        <f ca="1">SUMIF($L$4:$AL$4,"SUBTOTAL",$L$5:$AL$5)</f>
        <v>120.37485853050123</v>
      </c>
      <c r="AP5" s="13">
        <v>1</v>
      </c>
    </row>
    <row r="6" spans="1:42" ht="11.25" customHeight="1" x14ac:dyDescent="0.25">
      <c r="A6" s="109"/>
      <c r="B6" s="109"/>
      <c r="C6" s="109"/>
      <c r="D6" s="109"/>
      <c r="E6" s="109"/>
      <c r="F6" s="109"/>
      <c r="G6" s="24" t="s">
        <v>80</v>
      </c>
      <c r="H6" s="24" t="s">
        <v>78</v>
      </c>
      <c r="I6" s="24">
        <f>'MERCADO TUSD'!$U$3</f>
        <v>65979</v>
      </c>
      <c r="J6" s="15"/>
      <c r="L6" s="13">
        <f>'TR TUSD'!$L$6*'TR TUSD'!$L$60</f>
        <v>0</v>
      </c>
      <c r="M6" s="13">
        <f>'TR TUSD'!$M$6*'TR TUSD'!$M$60</f>
        <v>0</v>
      </c>
      <c r="N6" s="13">
        <f ca="1">'TR TUSD'!$N$6*'TR TUSD'!$N$60</f>
        <v>0</v>
      </c>
      <c r="O6" s="13">
        <f>'TR TUSD'!$O$6*'TR TUSD'!$O$60</f>
        <v>0</v>
      </c>
      <c r="P6" s="13">
        <f>'TR TUSD'!$P$6*'TR TUSD'!$P$60</f>
        <v>0</v>
      </c>
      <c r="Q6" s="13">
        <f>'TR TUSD'!$Q$6*'TR TUSD'!$Q$60</f>
        <v>0</v>
      </c>
      <c r="R6" s="13">
        <f>'TR TUSD'!$R$6*'TR TUSD'!$R$60</f>
        <v>0</v>
      </c>
      <c r="S6" s="13">
        <f>'TR TUSD'!$S$6*'TR TUSD'!$S$60</f>
        <v>0</v>
      </c>
      <c r="T6" s="13">
        <f ca="1">SUM($L$6:$S$6)</f>
        <v>0</v>
      </c>
      <c r="U6" s="13">
        <f>'TR TUSD'!$U$6*'TR TUSD'!$U$60</f>
        <v>0</v>
      </c>
      <c r="V6" s="13">
        <f>'TR TUSD'!$V$6*'TR TUSD'!$V$60</f>
        <v>0</v>
      </c>
      <c r="W6" s="13">
        <f>'TR TUSD'!$W$6*'TR TUSD'!$W$60</f>
        <v>0</v>
      </c>
      <c r="X6" s="13">
        <f>'TR TUSD'!$X$6*'TR TUSD'!$X$60</f>
        <v>0</v>
      </c>
      <c r="Y6" s="13">
        <f>'TR TUSD'!$Y$6*'TR TUSD'!$Y$60</f>
        <v>22.287742421285305</v>
      </c>
      <c r="Z6" s="13">
        <f>'TR TUSD'!$Z$6</f>
        <v>0</v>
      </c>
      <c r="AA6" s="13">
        <f>'TR TUSD'!$AA$6</f>
        <v>0</v>
      </c>
      <c r="AB6" s="13">
        <f>SUM($U$6:$AA$6)</f>
        <v>22.287742421285305</v>
      </c>
      <c r="AC6" s="13">
        <f>'TR TUSD'!$AC$6*'TR TUSD'!$AC$60</f>
        <v>35.051831196570532</v>
      </c>
      <c r="AD6" s="13">
        <f>SUM($AC$6:$AC$6)</f>
        <v>35.051831196570532</v>
      </c>
      <c r="AE6" s="13">
        <v>0</v>
      </c>
      <c r="AF6" s="13">
        <v>0</v>
      </c>
      <c r="AG6" s="13">
        <f>SUM($AE$6:$AF$6)</f>
        <v>0</v>
      </c>
      <c r="AH6" s="13">
        <f>'TR TUSD'!$AH$6*'TR TUSD'!$AH$60</f>
        <v>0</v>
      </c>
      <c r="AI6" s="13">
        <f>'TR TUSD'!$AI$6*'TR TUSD'!$AI$60</f>
        <v>0</v>
      </c>
      <c r="AJ6" s="13">
        <f ca="1">'TR TUSD'!$AJ$6*'TR TUSD'!$AJ$60</f>
        <v>0</v>
      </c>
      <c r="AK6" s="13">
        <f ca="1">'TR TUSD'!$AK$6*'TR TUSD'!$AK$60</f>
        <v>0</v>
      </c>
      <c r="AL6" s="13">
        <f ca="1">SUM($AH$6:$AK$6)</f>
        <v>0</v>
      </c>
      <c r="AM6" s="13">
        <f ca="1">SUMIF($L$4:$AL$4,"SUBTOTAL",$L$6:$AL$6)</f>
        <v>57.339573617855834</v>
      </c>
      <c r="AP6" s="13">
        <v>1</v>
      </c>
    </row>
    <row r="7" spans="1:42" ht="11.25" customHeight="1" x14ac:dyDescent="0.25">
      <c r="A7" s="109"/>
      <c r="B7" s="109"/>
      <c r="C7" s="109"/>
      <c r="D7" s="109"/>
      <c r="E7" s="109"/>
      <c r="F7" s="109"/>
      <c r="G7" s="24" t="s">
        <v>77</v>
      </c>
      <c r="H7" s="24" t="s">
        <v>73</v>
      </c>
      <c r="I7" s="24">
        <f>'MERCADO TUSD'!$U$4</f>
        <v>25979.914000000001</v>
      </c>
      <c r="J7" s="15"/>
      <c r="L7" s="13">
        <f>'TR TUSD'!$L$7*'TR TUSD'!$L$60</f>
        <v>0</v>
      </c>
      <c r="M7" s="13">
        <f>'TR TUSD'!$M$7*'TR TUSD'!$M$60</f>
        <v>1.1144075392341655</v>
      </c>
      <c r="N7" s="13">
        <f ca="1">'TR TUSD'!$N$7*'TR TUSD'!$N$60</f>
        <v>0</v>
      </c>
      <c r="O7" s="13">
        <f>'TR TUSD'!$O$7*'TR TUSD'!$O$60</f>
        <v>0</v>
      </c>
      <c r="P7" s="13">
        <f>'TR TUSD'!$P$7*'TR TUSD'!$P$60</f>
        <v>0</v>
      </c>
      <c r="Q7" s="13">
        <f>'TR TUSD'!$Q$7*'TR TUSD'!$Q$60</f>
        <v>75.52922932737232</v>
      </c>
      <c r="R7" s="13">
        <f>'TR TUSD'!$R$7*'TR TUSD'!$R$60</f>
        <v>14.2105668429519</v>
      </c>
      <c r="S7" s="13">
        <f>'TR TUSD'!$S$7*'TR TUSD'!$S$60</f>
        <v>0</v>
      </c>
      <c r="T7" s="13">
        <f ca="1">SUM($L$7:$S$7)</f>
        <v>90.854203709558391</v>
      </c>
      <c r="U7" s="13">
        <f>'TR TUSD'!$U$7*'TR TUSD'!$U$60</f>
        <v>0</v>
      </c>
      <c r="V7" s="13">
        <f>'TR TUSD'!$V$7*'TR TUSD'!$V$60</f>
        <v>0</v>
      </c>
      <c r="W7" s="13">
        <f>'TR TUSD'!$W$7*'TR TUSD'!$W$60</f>
        <v>0</v>
      </c>
      <c r="X7" s="13">
        <f>'TR TUSD'!$X$7*'TR TUSD'!$X$60</f>
        <v>0</v>
      </c>
      <c r="Y7" s="13">
        <f>'TR TUSD'!$Y$7*'TR TUSD'!$Y$60</f>
        <v>0</v>
      </c>
      <c r="Z7" s="13">
        <f>'TR TUSD'!$Z$7</f>
        <v>0</v>
      </c>
      <c r="AA7" s="13">
        <f>'TR TUSD'!$AA$7</f>
        <v>0</v>
      </c>
      <c r="AB7" s="13">
        <f>SUM($U$7:$AA$7)</f>
        <v>0</v>
      </c>
      <c r="AC7" s="13">
        <f>'TR TUSD'!$AC$7*'TR TUSD'!$AC$60</f>
        <v>0</v>
      </c>
      <c r="AD7" s="13">
        <f>SUM($AC$7:$AC$7)</f>
        <v>0</v>
      </c>
      <c r="AE7" s="13">
        <v>0</v>
      </c>
      <c r="AF7" s="13">
        <v>0</v>
      </c>
      <c r="AG7" s="13">
        <f>SUM($AE$7:$AF$7)</f>
        <v>0</v>
      </c>
      <c r="AH7" s="13">
        <f>'TR TUSD'!$AH$7*'TR TUSD'!$AH$60</f>
        <v>5.2458555112183296</v>
      </c>
      <c r="AI7" s="13">
        <f>'TR TUSD'!$AI$7*'TR TUSD'!$AI$60</f>
        <v>0.18402801663715479</v>
      </c>
      <c r="AJ7" s="13">
        <f ca="1">'TR TUSD'!$AJ$7*'TR TUSD'!$AJ$60</f>
        <v>0</v>
      </c>
      <c r="AK7" s="13">
        <f ca="1">'TR TUSD'!$AK$7*'TR TUSD'!$AK$60</f>
        <v>0</v>
      </c>
      <c r="AL7" s="13">
        <f ca="1">SUM($AH$7:$AK$7)</f>
        <v>5.429883527855484</v>
      </c>
      <c r="AM7" s="13">
        <f ca="1">SUMIF($L$4:$AL$4,"SUBTOTAL",$L$7:$AL$7)</f>
        <v>96.284087237413871</v>
      </c>
      <c r="AP7" s="13">
        <v>1</v>
      </c>
    </row>
    <row r="8" spans="1:42" ht="11.25" customHeight="1" x14ac:dyDescent="0.25">
      <c r="A8" s="109"/>
      <c r="B8" s="109"/>
      <c r="C8" s="109"/>
      <c r="D8" s="109"/>
      <c r="E8" s="23" t="s">
        <v>81</v>
      </c>
      <c r="F8" s="23" t="s">
        <v>25</v>
      </c>
      <c r="G8" s="24" t="s">
        <v>77</v>
      </c>
      <c r="H8" s="24" t="s">
        <v>73</v>
      </c>
      <c r="I8" s="24">
        <f>'MERCADO TUSD'!$U$5</f>
        <v>0</v>
      </c>
      <c r="J8" s="15"/>
      <c r="L8" s="13">
        <f>'TR TUSD'!$L$8*'TR TUSD'!$L$60</f>
        <v>0</v>
      </c>
      <c r="M8" s="13">
        <f>'TR TUSD'!$M$8*'TR TUSD'!$M$60</f>
        <v>1.1144075392341655</v>
      </c>
      <c r="N8" s="13">
        <f ca="1">'TR TUSD'!$N$8*'TR TUSD'!$N$60</f>
        <v>0</v>
      </c>
      <c r="O8" s="13">
        <f>'TR TUSD'!$O$8*'TR TUSD'!$O$60</f>
        <v>0</v>
      </c>
      <c r="P8" s="13">
        <f>'TR TUSD'!$P$8*'TR TUSD'!$P$60</f>
        <v>0</v>
      </c>
      <c r="Q8" s="13">
        <f>'TR TUSD'!$Q$8*'TR TUSD'!$Q$60</f>
        <v>0</v>
      </c>
      <c r="R8" s="13">
        <f>'TR TUSD'!$R$8*'TR TUSD'!$R$60</f>
        <v>0</v>
      </c>
      <c r="S8" s="13">
        <f>'TR TUSD'!$S$8*'TR TUSD'!$S$60</f>
        <v>0</v>
      </c>
      <c r="T8" s="13">
        <f ca="1">SUM($L$8:$S$8)</f>
        <v>1.1144075392341655</v>
      </c>
      <c r="U8" s="13">
        <f>'TR TUSD'!$U$8*'TR TUSD'!$U$60</f>
        <v>0</v>
      </c>
      <c r="V8" s="13">
        <f>'TR TUSD'!$V$8*'TR TUSD'!$V$60</f>
        <v>0</v>
      </c>
      <c r="W8" s="13">
        <f>'TR TUSD'!$W$8*'TR TUSD'!$W$60</f>
        <v>0</v>
      </c>
      <c r="X8" s="13">
        <f>'TR TUSD'!$X$8*'TR TUSD'!$X$60</f>
        <v>0</v>
      </c>
      <c r="Y8" s="13">
        <f>'TR TUSD'!$Y$8*'TR TUSD'!$Y$60</f>
        <v>0</v>
      </c>
      <c r="Z8" s="13">
        <f>'TR TUSD'!$Z$8</f>
        <v>0</v>
      </c>
      <c r="AA8" s="13">
        <f>'TR TUSD'!$AA$8</f>
        <v>0</v>
      </c>
      <c r="AB8" s="13">
        <f>SUM($U$8:$AA$8)</f>
        <v>0</v>
      </c>
      <c r="AC8" s="13">
        <f>'TR TUSD'!$AC$8*'TR TUSD'!$AC$60</f>
        <v>0</v>
      </c>
      <c r="AD8" s="13">
        <f>SUM($AC$8:$AC$8)</f>
        <v>0</v>
      </c>
      <c r="AE8" s="13">
        <v>0</v>
      </c>
      <c r="AF8" s="13">
        <v>0</v>
      </c>
      <c r="AG8" s="13">
        <f>SUM($AE$8:$AF$8)</f>
        <v>0</v>
      </c>
      <c r="AH8" s="13">
        <f>'TR TUSD'!$AH$8*'TR TUSD'!$AH$60</f>
        <v>5.2458555112183296</v>
      </c>
      <c r="AI8" s="13">
        <f>'TR TUSD'!$AI$8*'TR TUSD'!$AI$60</f>
        <v>0.18402801663715479</v>
      </c>
      <c r="AJ8" s="13">
        <f ca="1">'TR TUSD'!$AJ$8*'TR TUSD'!$AJ$60</f>
        <v>0</v>
      </c>
      <c r="AK8" s="13">
        <f ca="1">'TR TUSD'!$AK$8*'TR TUSD'!$AK$60</f>
        <v>0</v>
      </c>
      <c r="AL8" s="13">
        <f ca="1">SUM($AH$8:$AK$8)</f>
        <v>5.429883527855484</v>
      </c>
      <c r="AM8" s="13">
        <f ca="1">SUMIF($L$4:$AL$4,"SUBTOTAL",$L$8:$AL$8)</f>
        <v>6.5442910670896497</v>
      </c>
      <c r="AP8" s="13">
        <v>1</v>
      </c>
    </row>
    <row r="9" spans="1:42" ht="11.25" customHeight="1" x14ac:dyDescent="0.25">
      <c r="A9" s="109"/>
      <c r="B9" s="23" t="s">
        <v>53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78</v>
      </c>
      <c r="I9" s="24">
        <f>'MERCADO TUSD'!$U$6</f>
        <v>20640</v>
      </c>
      <c r="J9" s="15"/>
      <c r="L9" s="13">
        <f>'TR TUSD'!$L$9*'TR TUSD'!$L$60</f>
        <v>0</v>
      </c>
      <c r="M9" s="13">
        <f>'TR TUSD'!$M$9*'TR TUSD'!$M$60</f>
        <v>0.15559237042588167</v>
      </c>
      <c r="N9" s="13">
        <f ca="1">'TR TUSD'!$N$9*'TR TUSD'!$N$60</f>
        <v>0</v>
      </c>
      <c r="O9" s="13">
        <f>'TR TUSD'!$O$9*'TR TUSD'!$O$60</f>
        <v>0</v>
      </c>
      <c r="P9" s="13">
        <f>'TR TUSD'!$P$9*'TR TUSD'!$P$60</f>
        <v>0</v>
      </c>
      <c r="Q9" s="13">
        <f>'TR TUSD'!$Q$9*'TR TUSD'!$Q$60</f>
        <v>0</v>
      </c>
      <c r="R9" s="13">
        <f>'TR TUSD'!$R$9*'TR TUSD'!$R$60</f>
        <v>0</v>
      </c>
      <c r="S9" s="13">
        <f>'TR TUSD'!$S$9*'TR TUSD'!$S$60</f>
        <v>0</v>
      </c>
      <c r="T9" s="13">
        <f ca="1">SUM($L$9:$S$9)</f>
        <v>0.15559237042588167</v>
      </c>
      <c r="U9" s="13">
        <f>'TR TUSD'!$U$9*'TR TUSD'!$U$60</f>
        <v>0</v>
      </c>
      <c r="V9" s="13">
        <f>'TR TUSD'!$V$9*'TR TUSD'!$V$60</f>
        <v>0</v>
      </c>
      <c r="W9" s="13">
        <f>'TR TUSD'!$W$9*'TR TUSD'!$W$60</f>
        <v>0</v>
      </c>
      <c r="X9" s="13">
        <f>'TR TUSD'!$X$9*'TR TUSD'!$X$60</f>
        <v>0</v>
      </c>
      <c r="Y9" s="13">
        <f>'TR TUSD'!$Y$9*'TR TUSD'!$Y$60</f>
        <v>0</v>
      </c>
      <c r="Z9" s="13">
        <f>'TR TUSD'!$Z$9*'TR TUSD'!$Z$60</f>
        <v>0</v>
      </c>
      <c r="AA9" s="13">
        <f>'TR TUSD'!$AA$9*'TR TUSD'!$AA$60</f>
        <v>0</v>
      </c>
      <c r="AB9" s="13">
        <f>SUM($U$9:$AA$9)</f>
        <v>0</v>
      </c>
      <c r="AC9" s="13">
        <f>'TR TUSD'!$AC$9*'TR TUSD'!$AC$60</f>
        <v>19.68182710723848</v>
      </c>
      <c r="AD9" s="13">
        <f>SUM($AC$9:$AC$9)</f>
        <v>19.68182710723848</v>
      </c>
      <c r="AE9" s="13">
        <v>0</v>
      </c>
      <c r="AF9" s="13">
        <v>0</v>
      </c>
      <c r="AG9" s="13">
        <f>SUM($AE$9:$AF$9)</f>
        <v>0</v>
      </c>
      <c r="AH9" s="13">
        <f>'TR TUSD'!$AH$9*'TR TUSD'!$AH$60</f>
        <v>0</v>
      </c>
      <c r="AI9" s="13">
        <f>'TR TUSD'!$AI$9*'TR TUSD'!$AI$60</f>
        <v>0</v>
      </c>
      <c r="AJ9" s="13">
        <f ca="1">'TR TUSD'!$AJ$9*'TR TUSD'!$AJ$60</f>
        <v>0</v>
      </c>
      <c r="AK9" s="13">
        <f ca="1">'TR TUSD'!$AK$9*'TR TUSD'!$AK$60</f>
        <v>0</v>
      </c>
      <c r="AL9" s="13">
        <f ca="1">SUM($AH$9:$AK$9)</f>
        <v>0</v>
      </c>
      <c r="AM9" s="13">
        <f ca="1">SUMIF($L$4:$AL$4,"SUBTOTAL",$L$9:$AL$9)</f>
        <v>19.837419477664362</v>
      </c>
      <c r="AP9" s="13"/>
    </row>
    <row r="10" spans="1:42" ht="11.25" customHeight="1" x14ac:dyDescent="0.25">
      <c r="A10" s="109"/>
      <c r="B10" s="109" t="s">
        <v>39</v>
      </c>
      <c r="C10" s="109" t="s">
        <v>25</v>
      </c>
      <c r="D10" s="109" t="s">
        <v>25</v>
      </c>
      <c r="E10" s="109" t="s">
        <v>25</v>
      </c>
      <c r="F10" s="109" t="s">
        <v>25</v>
      </c>
      <c r="G10" s="24" t="s">
        <v>9</v>
      </c>
      <c r="H10" s="24" t="s">
        <v>78</v>
      </c>
      <c r="I10" s="24">
        <f>'MERCADO TUSD'!$U$7</f>
        <v>71511</v>
      </c>
      <c r="J10" s="15"/>
      <c r="L10" s="13">
        <f>'TR TUSD'!$L$10*'TR TUSD'!$L$60</f>
        <v>0</v>
      </c>
      <c r="M10" s="13">
        <f>'TR TUSD'!$M$10*'TR TUSD'!$M$60</f>
        <v>0</v>
      </c>
      <c r="N10" s="13">
        <f ca="1">'TR TUSD'!$N$10*'TR TUSD'!$N$60</f>
        <v>0</v>
      </c>
      <c r="O10" s="13">
        <f>'TR TUSD'!$O$10*'TR TUSD'!$O$60</f>
        <v>0</v>
      </c>
      <c r="P10" s="13">
        <f>'TR TUSD'!$P$10*'TR TUSD'!$P$60</f>
        <v>0</v>
      </c>
      <c r="Q10" s="13">
        <f>'TR TUSD'!$Q$10*'TR TUSD'!$Q$60</f>
        <v>0</v>
      </c>
      <c r="R10" s="13">
        <f>'TR TUSD'!$R$10*'TR TUSD'!$R$60</f>
        <v>0</v>
      </c>
      <c r="S10" s="13">
        <f>'TR TUSD'!$S$10*'TR TUSD'!$S$60</f>
        <v>0</v>
      </c>
      <c r="T10" s="13">
        <f ca="1">SUM($L$10:$S$10)</f>
        <v>0</v>
      </c>
      <c r="U10" s="13">
        <f>'TR TUSD'!$U$10*'TR TUSD'!$U$60</f>
        <v>0</v>
      </c>
      <c r="V10" s="13">
        <f>'TR TUSD'!$V$10*'TR TUSD'!$V$60</f>
        <v>0</v>
      </c>
      <c r="W10" s="13">
        <f>'TR TUSD'!$W$10*'TR TUSD'!$W$60</f>
        <v>0</v>
      </c>
      <c r="X10" s="13">
        <f>'TR TUSD'!$X$10*'TR TUSD'!$X$60</f>
        <v>0</v>
      </c>
      <c r="Y10" s="13">
        <f>'TR TUSD'!$Y$10*'TR TUSD'!$Y$60</f>
        <v>22.287742421285305</v>
      </c>
      <c r="Z10" s="13">
        <f>'TR TUSD'!$Z$10</f>
        <v>0</v>
      </c>
      <c r="AA10" s="13">
        <f>'TR TUSD'!$AA$10</f>
        <v>0</v>
      </c>
      <c r="AB10" s="13">
        <f>SUM($U$10:$AA$10)</f>
        <v>22.287742421285305</v>
      </c>
      <c r="AC10" s="13">
        <f>'TR TUSD'!$AC$10*'TR TUSD'!$AC$60</f>
        <v>35.051831196570532</v>
      </c>
      <c r="AD10" s="13">
        <f>SUM($AC$10:$AC$10)</f>
        <v>35.051831196570532</v>
      </c>
      <c r="AE10" s="13">
        <v>0</v>
      </c>
      <c r="AF10" s="13">
        <v>0</v>
      </c>
      <c r="AG10" s="13">
        <f>SUM($AE$10:$AF$10)</f>
        <v>0</v>
      </c>
      <c r="AH10" s="13">
        <f>'TR TUSD'!$AH$10*'TR TUSD'!$AH$60</f>
        <v>0</v>
      </c>
      <c r="AI10" s="13">
        <f>'TR TUSD'!$AI$10*'TR TUSD'!$AI$60</f>
        <v>0</v>
      </c>
      <c r="AJ10" s="13">
        <f ca="1">'TR TUSD'!$AJ$10*'TR TUSD'!$AJ$60</f>
        <v>0</v>
      </c>
      <c r="AK10" s="13">
        <f ca="1">'TR TUSD'!$AK$10*'TR TUSD'!$AK$60</f>
        <v>0</v>
      </c>
      <c r="AL10" s="13">
        <f ca="1">SUM($AH$10:$AK$10)</f>
        <v>0</v>
      </c>
      <c r="AM10" s="13">
        <f ca="1">SUMIF($L$4:$AL$4,"SUBTOTAL",$L$10:$AL$10)</f>
        <v>57.339573617855834</v>
      </c>
      <c r="AP10" s="13">
        <v>1</v>
      </c>
    </row>
    <row r="11" spans="1:42" ht="11.25" customHeight="1" x14ac:dyDescent="0.25">
      <c r="A11" s="109"/>
      <c r="B11" s="109"/>
      <c r="C11" s="109"/>
      <c r="D11" s="109"/>
      <c r="E11" s="109"/>
      <c r="F11" s="109"/>
      <c r="G11" s="24" t="s">
        <v>74</v>
      </c>
      <c r="H11" s="24" t="s">
        <v>73</v>
      </c>
      <c r="I11" s="24">
        <f>'MERCADO TUSD'!$U$8</f>
        <v>353.77000000000004</v>
      </c>
      <c r="J11" s="15"/>
      <c r="L11" s="13">
        <f>'TR TUSD'!$L$11*'TR TUSD'!$L$60</f>
        <v>0</v>
      </c>
      <c r="M11" s="13">
        <f>'TR TUSD'!$M$11*'TR TUSD'!$M$60</f>
        <v>1.1144075392341655</v>
      </c>
      <c r="N11" s="13">
        <f ca="1">'TR TUSD'!$N$11*'TR TUSD'!$N$60</f>
        <v>0</v>
      </c>
      <c r="O11" s="13">
        <f>'TR TUSD'!$O$11*'TR TUSD'!$O$60</f>
        <v>0</v>
      </c>
      <c r="P11" s="13">
        <f>'TR TUSD'!$P$11*'TR TUSD'!$P$60</f>
        <v>0</v>
      </c>
      <c r="Q11" s="13">
        <f>'TR TUSD'!$Q$11*'TR TUSD'!$Q$60</f>
        <v>75.52922932737232</v>
      </c>
      <c r="R11" s="13">
        <f>'TR TUSD'!$R$11*'TR TUSD'!$R$60</f>
        <v>14.2105668429519</v>
      </c>
      <c r="S11" s="13">
        <f>'TR TUSD'!$S$11*'TR TUSD'!$S$60</f>
        <v>0</v>
      </c>
      <c r="T11" s="13">
        <f ca="1">SUM($L$11:$S$11)</f>
        <v>90.854203709558391</v>
      </c>
      <c r="U11" s="13">
        <f>'TR TUSD'!$U$11*'TR TUSD'!$U$60</f>
        <v>0</v>
      </c>
      <c r="V11" s="13">
        <f>'TR TUSD'!$V$11*'TR TUSD'!$V$60</f>
        <v>0</v>
      </c>
      <c r="W11" s="13">
        <f>'TR TUSD'!$W$11*'TR TUSD'!$W$60</f>
        <v>0</v>
      </c>
      <c r="X11" s="13">
        <f>'TR TUSD'!$X$11*'TR TUSD'!$X$60</f>
        <v>0</v>
      </c>
      <c r="Y11" s="13">
        <f>'TR TUSD'!$Y$11*'TR TUSD'!$Y$60</f>
        <v>1015.1336095723736</v>
      </c>
      <c r="Z11" s="13">
        <f>'TR TUSD'!$Z$11</f>
        <v>0</v>
      </c>
      <c r="AA11" s="13">
        <f>'TR TUSD'!$AA$11</f>
        <v>0</v>
      </c>
      <c r="AB11" s="13">
        <f>SUM($U$11:$AA$11)</f>
        <v>1015.1336095723736</v>
      </c>
      <c r="AC11" s="13">
        <f>'TR TUSD'!$AC$11*'TR TUSD'!$AC$60</f>
        <v>1879.8845354227187</v>
      </c>
      <c r="AD11" s="13">
        <f>SUM($AC$11:$AC$11)</f>
        <v>1879.8845354227187</v>
      </c>
      <c r="AE11" s="13">
        <v>0</v>
      </c>
      <c r="AF11" s="13">
        <v>0</v>
      </c>
      <c r="AG11" s="13">
        <f>SUM($AE$11:$AF$11)</f>
        <v>0</v>
      </c>
      <c r="AH11" s="13">
        <f>'TR TUSD'!$AH$11*'TR TUSD'!$AH$60</f>
        <v>5.2458555112183296</v>
      </c>
      <c r="AI11" s="13">
        <f>'TR TUSD'!$AI$11*'TR TUSD'!$AI$60</f>
        <v>0.18402801663715479</v>
      </c>
      <c r="AJ11" s="13">
        <f ca="1">'TR TUSD'!$AJ$11*'TR TUSD'!$AJ$60</f>
        <v>0</v>
      </c>
      <c r="AK11" s="13">
        <f ca="1">'TR TUSD'!$AK$11*'TR TUSD'!$AK$60</f>
        <v>0</v>
      </c>
      <c r="AL11" s="13">
        <f ca="1">SUM($AH$11:$AK$11)</f>
        <v>5.429883527855484</v>
      </c>
      <c r="AM11" s="13">
        <f ca="1">SUMIF($L$4:$AL$4,"SUBTOTAL",$L$11:$AL$11)</f>
        <v>2991.3022322325064</v>
      </c>
      <c r="AP11" s="13">
        <v>1</v>
      </c>
    </row>
    <row r="12" spans="1:42" ht="11.25" customHeight="1" x14ac:dyDescent="0.25">
      <c r="A12" s="109"/>
      <c r="B12" s="109"/>
      <c r="C12" s="109"/>
      <c r="D12" s="109"/>
      <c r="E12" s="109"/>
      <c r="F12" s="109"/>
      <c r="G12" s="24" t="s">
        <v>75</v>
      </c>
      <c r="H12" s="24" t="s">
        <v>73</v>
      </c>
      <c r="I12" s="24">
        <f>'MERCADO TUSD'!$U$9</f>
        <v>15360.976999999999</v>
      </c>
      <c r="J12" s="15"/>
      <c r="L12" s="13">
        <f>'TR TUSD'!$L$12*'TR TUSD'!$L$60</f>
        <v>0</v>
      </c>
      <c r="M12" s="13">
        <f>'TR TUSD'!$M$12*'TR TUSD'!$M$60</f>
        <v>1.1144075392341655</v>
      </c>
      <c r="N12" s="13">
        <f ca="1">'TR TUSD'!$N$12*'TR TUSD'!$N$60</f>
        <v>0</v>
      </c>
      <c r="O12" s="13">
        <f>'TR TUSD'!$O$12*'TR TUSD'!$O$60</f>
        <v>0</v>
      </c>
      <c r="P12" s="13">
        <f>'TR TUSD'!$P$12*'TR TUSD'!$P$60</f>
        <v>0</v>
      </c>
      <c r="Q12" s="13">
        <f>'TR TUSD'!$Q$12*'TR TUSD'!$Q$60</f>
        <v>75.52922932737232</v>
      </c>
      <c r="R12" s="13">
        <f>'TR TUSD'!$R$12*'TR TUSD'!$R$60</f>
        <v>14.2105668429519</v>
      </c>
      <c r="S12" s="13">
        <f>'TR TUSD'!$S$12*'TR TUSD'!$S$60</f>
        <v>0</v>
      </c>
      <c r="T12" s="13">
        <f ca="1">SUM($L$12:$S$12)</f>
        <v>90.854203709558391</v>
      </c>
      <c r="U12" s="13">
        <f>'TR TUSD'!$U$12*'TR TUSD'!$U$60</f>
        <v>0</v>
      </c>
      <c r="V12" s="13">
        <f>'TR TUSD'!$V$12*'TR TUSD'!$V$60</f>
        <v>0</v>
      </c>
      <c r="W12" s="13">
        <f>'TR TUSD'!$W$12*'TR TUSD'!$W$60</f>
        <v>0</v>
      </c>
      <c r="X12" s="13">
        <f>'TR TUSD'!$X$12*'TR TUSD'!$X$60</f>
        <v>0</v>
      </c>
      <c r="Y12" s="13">
        <f>'TR TUSD'!$Y$12*'TR TUSD'!$Y$60</f>
        <v>0</v>
      </c>
      <c r="Z12" s="13">
        <f>'TR TUSD'!$Z$12</f>
        <v>0</v>
      </c>
      <c r="AA12" s="13">
        <f>'TR TUSD'!$AA$12</f>
        <v>0</v>
      </c>
      <c r="AB12" s="13">
        <f>SUM($U$12:$AA$12)</f>
        <v>0</v>
      </c>
      <c r="AC12" s="13">
        <f>'TR TUSD'!$AC$12*'TR TUSD'!$AC$60</f>
        <v>0</v>
      </c>
      <c r="AD12" s="13">
        <f>SUM($AC$12:$AC$12)</f>
        <v>0</v>
      </c>
      <c r="AE12" s="13">
        <v>0</v>
      </c>
      <c r="AF12" s="13">
        <v>0</v>
      </c>
      <c r="AG12" s="13">
        <f>SUM($AE$12:$AF$12)</f>
        <v>0</v>
      </c>
      <c r="AH12" s="13">
        <f>'TR TUSD'!$AH$12*'TR TUSD'!$AH$60</f>
        <v>5.2458555112183296</v>
      </c>
      <c r="AI12" s="13">
        <f>'TR TUSD'!$AI$12*'TR TUSD'!$AI$60</f>
        <v>0.18402801663715479</v>
      </c>
      <c r="AJ12" s="13">
        <f ca="1">'TR TUSD'!$AJ$12*'TR TUSD'!$AJ$60</f>
        <v>0</v>
      </c>
      <c r="AK12" s="13">
        <f ca="1">'TR TUSD'!$AK$12*'TR TUSD'!$AK$60</f>
        <v>0</v>
      </c>
      <c r="AL12" s="13">
        <f ca="1">SUM($AH$12:$AK$12)</f>
        <v>5.429883527855484</v>
      </c>
      <c r="AM12" s="13">
        <f ca="1">SUMIF($L$4:$AL$4,"SUBTOTAL",$L$12:$AL$12)</f>
        <v>96.284087237413871</v>
      </c>
      <c r="AP12" s="13">
        <v>1</v>
      </c>
    </row>
    <row r="13" spans="1:42" ht="11.25" customHeight="1" x14ac:dyDescent="0.25">
      <c r="A13" s="109"/>
      <c r="B13" s="109"/>
      <c r="C13" s="109"/>
      <c r="D13" s="109"/>
      <c r="E13" s="109" t="s">
        <v>81</v>
      </c>
      <c r="F13" s="109" t="s">
        <v>25</v>
      </c>
      <c r="G13" s="24" t="s">
        <v>74</v>
      </c>
      <c r="H13" s="24" t="s">
        <v>73</v>
      </c>
      <c r="I13" s="24">
        <f>'MERCADO TUSD'!$U$10</f>
        <v>0</v>
      </c>
      <c r="J13" s="15"/>
      <c r="L13" s="13">
        <f>'TR TUSD'!$L$13*'TR TUSD'!$L$60</f>
        <v>0</v>
      </c>
      <c r="M13" s="13">
        <f>'TR TUSD'!$M$13*'TR TUSD'!$M$60</f>
        <v>1.1144075392341655</v>
      </c>
      <c r="N13" s="13">
        <f ca="1">'TR TUSD'!$N$13*'TR TUSD'!$N$60</f>
        <v>0</v>
      </c>
      <c r="O13" s="13">
        <f>'TR TUSD'!$O$13*'TR TUSD'!$O$60</f>
        <v>0</v>
      </c>
      <c r="P13" s="13">
        <f>'TR TUSD'!$P$13*'TR TUSD'!$P$60</f>
        <v>0</v>
      </c>
      <c r="Q13" s="13">
        <f>'TR TUSD'!$Q$13*'TR TUSD'!$Q$60</f>
        <v>0</v>
      </c>
      <c r="R13" s="13">
        <f>'TR TUSD'!$R$13*'TR TUSD'!$R$60</f>
        <v>0</v>
      </c>
      <c r="S13" s="13">
        <f>'TR TUSD'!$S$13*'TR TUSD'!$S$60</f>
        <v>0</v>
      </c>
      <c r="T13" s="13">
        <f ca="1">SUM($L$13:$S$13)</f>
        <v>1.1144075392341655</v>
      </c>
      <c r="U13" s="13">
        <f>'TR TUSD'!$U$13*'TR TUSD'!$U$60</f>
        <v>0</v>
      </c>
      <c r="V13" s="13">
        <f>'TR TUSD'!$V$13*'TR TUSD'!$V$60</f>
        <v>0</v>
      </c>
      <c r="W13" s="13">
        <f>'TR TUSD'!$W$13*'TR TUSD'!$W$60</f>
        <v>0</v>
      </c>
      <c r="X13" s="13">
        <f>'TR TUSD'!$X$13*'TR TUSD'!$X$60</f>
        <v>0</v>
      </c>
      <c r="Y13" s="13">
        <f>'TR TUSD'!$Y$13*'TR TUSD'!$Y$60</f>
        <v>1015.1336095723736</v>
      </c>
      <c r="Z13" s="13">
        <f>'TR TUSD'!$Z$13</f>
        <v>0</v>
      </c>
      <c r="AA13" s="13">
        <f>'TR TUSD'!$AA$13</f>
        <v>0</v>
      </c>
      <c r="AB13" s="13">
        <f>SUM($U$13:$AA$13)</f>
        <v>1015.1336095723736</v>
      </c>
      <c r="AC13" s="13">
        <f>'TR TUSD'!$AC$13*'TR TUSD'!$AC$60</f>
        <v>1879.8845354227187</v>
      </c>
      <c r="AD13" s="13">
        <f>SUM($AC$13:$AC$13)</f>
        <v>1879.8845354227187</v>
      </c>
      <c r="AE13" s="13">
        <v>0</v>
      </c>
      <c r="AF13" s="13">
        <v>0</v>
      </c>
      <c r="AG13" s="13">
        <f>SUM($AE$13:$AF$13)</f>
        <v>0</v>
      </c>
      <c r="AH13" s="13">
        <f>'TR TUSD'!$AH$13*'TR TUSD'!$AH$60</f>
        <v>5.2458555112183296</v>
      </c>
      <c r="AI13" s="13">
        <f>'TR TUSD'!$AI$13*'TR TUSD'!$AI$60</f>
        <v>0.18402801663715479</v>
      </c>
      <c r="AJ13" s="13">
        <f ca="1">'TR TUSD'!$AJ$13*'TR TUSD'!$AJ$60</f>
        <v>0</v>
      </c>
      <c r="AK13" s="13">
        <f ca="1">'TR TUSD'!$AK$13*'TR TUSD'!$AK$60</f>
        <v>0</v>
      </c>
      <c r="AL13" s="13">
        <f ca="1">SUM($AH$13:$AK$13)</f>
        <v>5.429883527855484</v>
      </c>
      <c r="AM13" s="13">
        <f ca="1">SUMIF($L$4:$AL$4,"SUBTOTAL",$L$13:$AL$13)</f>
        <v>2901.5624360621819</v>
      </c>
      <c r="AP13" s="13">
        <v>1</v>
      </c>
    </row>
    <row r="14" spans="1:42" ht="11.25" customHeight="1" x14ac:dyDescent="0.25">
      <c r="A14" s="109"/>
      <c r="B14" s="109"/>
      <c r="C14" s="109"/>
      <c r="D14" s="109"/>
      <c r="E14" s="109"/>
      <c r="F14" s="109"/>
      <c r="G14" s="24" t="s">
        <v>75</v>
      </c>
      <c r="H14" s="24" t="s">
        <v>73</v>
      </c>
      <c r="I14" s="24">
        <f>'MERCADO TUSD'!$U$11</f>
        <v>0</v>
      </c>
      <c r="J14" s="15"/>
      <c r="L14" s="13">
        <f>'TR TUSD'!$L$14*'TR TUSD'!$L$60</f>
        <v>0</v>
      </c>
      <c r="M14" s="13">
        <f>'TR TUSD'!$M$14*'TR TUSD'!$M$60</f>
        <v>1.1144075392341655</v>
      </c>
      <c r="N14" s="13">
        <f ca="1">'TR TUSD'!$N$14*'TR TUSD'!$N$60</f>
        <v>0</v>
      </c>
      <c r="O14" s="13">
        <f>'TR TUSD'!$O$14*'TR TUSD'!$O$60</f>
        <v>0</v>
      </c>
      <c r="P14" s="13">
        <f>'TR TUSD'!$P$14*'TR TUSD'!$P$60</f>
        <v>0</v>
      </c>
      <c r="Q14" s="13">
        <f>'TR TUSD'!$Q$14*'TR TUSD'!$Q$60</f>
        <v>0</v>
      </c>
      <c r="R14" s="13">
        <f>'TR TUSD'!$R$14*'TR TUSD'!$R$60</f>
        <v>0</v>
      </c>
      <c r="S14" s="13">
        <f>'TR TUSD'!$S$14*'TR TUSD'!$S$60</f>
        <v>0</v>
      </c>
      <c r="T14" s="13">
        <f ca="1">SUM($L$14:$S$14)</f>
        <v>1.1144075392341655</v>
      </c>
      <c r="U14" s="13">
        <f>'TR TUSD'!$U$14*'TR TUSD'!$U$60</f>
        <v>0</v>
      </c>
      <c r="V14" s="13">
        <f>'TR TUSD'!$V$14*'TR TUSD'!$V$60</f>
        <v>0</v>
      </c>
      <c r="W14" s="13">
        <f>'TR TUSD'!$W$14*'TR TUSD'!$W$60</f>
        <v>0</v>
      </c>
      <c r="X14" s="13">
        <f>'TR TUSD'!$X$14*'TR TUSD'!$X$60</f>
        <v>0</v>
      </c>
      <c r="Y14" s="13">
        <f>'TR TUSD'!$Y$14*'TR TUSD'!$Y$60</f>
        <v>0</v>
      </c>
      <c r="Z14" s="13">
        <f>'TR TUSD'!$Z$14</f>
        <v>0</v>
      </c>
      <c r="AA14" s="13">
        <f>'TR TUSD'!$AA$14</f>
        <v>0</v>
      </c>
      <c r="AB14" s="13">
        <f>SUM($U$14:$AA$14)</f>
        <v>0</v>
      </c>
      <c r="AC14" s="13">
        <f>'TR TUSD'!$AC$14*'TR TUSD'!$AC$60</f>
        <v>0</v>
      </c>
      <c r="AD14" s="13">
        <f>SUM($AC$14:$AC$14)</f>
        <v>0</v>
      </c>
      <c r="AE14" s="13">
        <v>0</v>
      </c>
      <c r="AF14" s="13">
        <v>0</v>
      </c>
      <c r="AG14" s="13">
        <f>SUM($AE$14:$AF$14)</f>
        <v>0</v>
      </c>
      <c r="AH14" s="13">
        <f>'TR TUSD'!$AH$14*'TR TUSD'!$AH$60</f>
        <v>5.2458555112183296</v>
      </c>
      <c r="AI14" s="13">
        <f>'TR TUSD'!$AI$14*'TR TUSD'!$AI$60</f>
        <v>0.18402801663715479</v>
      </c>
      <c r="AJ14" s="13">
        <f ca="1">'TR TUSD'!$AJ$14*'TR TUSD'!$AJ$60</f>
        <v>0</v>
      </c>
      <c r="AK14" s="13">
        <f ca="1">'TR TUSD'!$AK$14*'TR TUSD'!$AK$60</f>
        <v>0</v>
      </c>
      <c r="AL14" s="13">
        <f ca="1">SUM($AH$14:$AK$14)</f>
        <v>5.429883527855484</v>
      </c>
      <c r="AM14" s="13">
        <f ca="1">SUMIF($L$4:$AL$4,"SUBTOTAL",$L$14:$AL$14)</f>
        <v>6.5442910670896497</v>
      </c>
      <c r="AP14" s="13">
        <v>1</v>
      </c>
    </row>
    <row r="15" spans="1:42" ht="11.25" customHeight="1" x14ac:dyDescent="0.25">
      <c r="A15" s="109" t="s">
        <v>82</v>
      </c>
      <c r="B15" s="109" t="s">
        <v>53</v>
      </c>
      <c r="C15" s="109" t="s">
        <v>25</v>
      </c>
      <c r="D15" s="109" t="s">
        <v>25</v>
      </c>
      <c r="E15" s="23" t="s">
        <v>83</v>
      </c>
      <c r="F15" s="23" t="s">
        <v>25</v>
      </c>
      <c r="G15" s="24" t="s">
        <v>9</v>
      </c>
      <c r="H15" s="24" t="s">
        <v>78</v>
      </c>
      <c r="I15" s="24">
        <f>'MERCADO TUSD'!$U$12+0.00000001</f>
        <v>1E-8</v>
      </c>
      <c r="J15" s="15"/>
      <c r="L15" s="13">
        <f>'TR TUSD'!$L$15*'TR TUSD'!$L$60</f>
        <v>0</v>
      </c>
      <c r="M15" s="13">
        <f>'TR TUSD'!$M$15*'TR TUSD'!$M$60</f>
        <v>7.0055758724499609E-2</v>
      </c>
      <c r="N15" s="13">
        <f ca="1">'TR TUSD'!$N$15*'TR TUSD'!$N$60</f>
        <v>0</v>
      </c>
      <c r="O15" s="13">
        <f>'TR TUSD'!$O$15*'TR TUSD'!$O$60</f>
        <v>0</v>
      </c>
      <c r="P15" s="13">
        <f>'TR TUSD'!$P$15*'TR TUSD'!$P$60</f>
        <v>0</v>
      </c>
      <c r="Q15" s="13">
        <f>'TR TUSD'!$Q$15*'TR TUSD'!$Q$60</f>
        <v>0</v>
      </c>
      <c r="R15" s="13">
        <f>'TR TUSD'!$R$15*'TR TUSD'!$R$60</f>
        <v>0</v>
      </c>
      <c r="S15" s="13">
        <f>'TR TUSD'!$S$15*'TR TUSD'!$S$60</f>
        <v>0</v>
      </c>
      <c r="T15" s="13">
        <f ca="1">SUM($L$15:$S$15)</f>
        <v>7.0055758724499609E-2</v>
      </c>
      <c r="U15" s="13">
        <f>'TR TUSD'!$U$15*'TR TUSD'!$U$60</f>
        <v>0</v>
      </c>
      <c r="V15" s="13">
        <f>'TR TUSD'!$V$15*'TR TUSD'!$V$60</f>
        <v>0</v>
      </c>
      <c r="W15" s="13">
        <f>'TR TUSD'!$W$15*'TR TUSD'!$W$60</f>
        <v>0</v>
      </c>
      <c r="X15" s="13">
        <f>'TR TUSD'!$X$15*'TR TUSD'!$X$60</f>
        <v>0</v>
      </c>
      <c r="Y15" s="13">
        <f>'TR TUSD'!$Y$15*'TR TUSD'!$Y$60</f>
        <v>0</v>
      </c>
      <c r="Z15" s="13">
        <f>'TR TUSD'!$Z$15*'TR TUSD'!$Z$60</f>
        <v>0</v>
      </c>
      <c r="AA15" s="13">
        <f>'TR TUSD'!$AA$15*'TR TUSD'!$AA$60</f>
        <v>0</v>
      </c>
      <c r="AB15" s="13">
        <f>SUM($U$15:$AA$15)</f>
        <v>0</v>
      </c>
      <c r="AC15" s="13">
        <f>'TR TUSD'!$AC$15*'TR TUSD'!$AC$60</f>
        <v>17.718076592828396</v>
      </c>
      <c r="AD15" s="13">
        <f>SUM($AC$15:$AC$15)</f>
        <v>17.718076592828396</v>
      </c>
      <c r="AE15" s="13">
        <v>0</v>
      </c>
      <c r="AF15" s="13">
        <v>0</v>
      </c>
      <c r="AG15" s="13">
        <f>SUM($AE$15:$AF$15)</f>
        <v>0</v>
      </c>
      <c r="AH15" s="13">
        <f>'TR TUSD'!$AH$15*'TR TUSD'!$AH$60</f>
        <v>0</v>
      </c>
      <c r="AI15" s="13">
        <f>'TR TUSD'!$AI$15*'TR TUSD'!$AI$60</f>
        <v>0</v>
      </c>
      <c r="AJ15" s="13">
        <f ca="1">'TR TUSD'!$AJ$15*'TR TUSD'!$AJ$60</f>
        <v>0</v>
      </c>
      <c r="AK15" s="13">
        <f ca="1">'TR TUSD'!$AK$15*'TR TUSD'!$AK$60</f>
        <v>0</v>
      </c>
      <c r="AL15" s="13">
        <f ca="1">SUM($AH$15:$AK$15)</f>
        <v>0</v>
      </c>
      <c r="AM15" s="13">
        <f ca="1">SUMIF($L$4:$AL$4,"SUBTOTAL",$L$15:$AL$15)</f>
        <v>17.788132351552896</v>
      </c>
      <c r="AP15" s="13"/>
    </row>
    <row r="16" spans="1:42" ht="11.25" customHeight="1" x14ac:dyDescent="0.25">
      <c r="A16" s="109"/>
      <c r="B16" s="109"/>
      <c r="C16" s="109"/>
      <c r="D16" s="109"/>
      <c r="E16" s="23" t="s">
        <v>84</v>
      </c>
      <c r="F16" s="23" t="s">
        <v>25</v>
      </c>
      <c r="G16" s="24" t="s">
        <v>9</v>
      </c>
      <c r="H16" s="24" t="s">
        <v>78</v>
      </c>
      <c r="I16" s="24">
        <f>'MERCADO TUSD'!$U$13+0.00000001</f>
        <v>1E-8</v>
      </c>
      <c r="J16" s="15"/>
      <c r="L16" s="13">
        <f>'TR TUSD'!$L$16*'TR TUSD'!$L$60</f>
        <v>0</v>
      </c>
      <c r="M16" s="13">
        <f>'TR TUSD'!$M$16*'TR TUSD'!$M$60</f>
        <v>7.0055758724499609E-2</v>
      </c>
      <c r="N16" s="13">
        <f ca="1">'TR TUSD'!$N$16*'TR TUSD'!$N$60</f>
        <v>0</v>
      </c>
      <c r="O16" s="13">
        <f>'TR TUSD'!$O$16*'TR TUSD'!$O$60</f>
        <v>0</v>
      </c>
      <c r="P16" s="13">
        <f>'TR TUSD'!$P$16*'TR TUSD'!$P$60</f>
        <v>0</v>
      </c>
      <c r="Q16" s="13">
        <f>'TR TUSD'!$Q$16*'TR TUSD'!$Q$60</f>
        <v>0</v>
      </c>
      <c r="R16" s="13">
        <f>'TR TUSD'!$R$16*'TR TUSD'!$R$60</f>
        <v>0</v>
      </c>
      <c r="S16" s="13">
        <f>'TR TUSD'!$S$16*'TR TUSD'!$S$60</f>
        <v>0</v>
      </c>
      <c r="T16" s="13">
        <f ca="1">SUM($L$16:$S$16)</f>
        <v>7.0055758724499609E-2</v>
      </c>
      <c r="U16" s="13">
        <f>'TR TUSD'!$U$16*'TR TUSD'!$U$60</f>
        <v>0</v>
      </c>
      <c r="V16" s="13">
        <f>'TR TUSD'!$V$16*'TR TUSD'!$V$60</f>
        <v>0</v>
      </c>
      <c r="W16" s="13">
        <f>'TR TUSD'!$W$16*'TR TUSD'!$W$60</f>
        <v>0</v>
      </c>
      <c r="X16" s="13">
        <f>'TR TUSD'!$X$16*'TR TUSD'!$X$60</f>
        <v>0</v>
      </c>
      <c r="Y16" s="13">
        <f>'TR TUSD'!$Y$16*'TR TUSD'!$Y$60</f>
        <v>0</v>
      </c>
      <c r="Z16" s="13">
        <f>'TR TUSD'!$Z$16*'TR TUSD'!$Z$60</f>
        <v>0</v>
      </c>
      <c r="AA16" s="13">
        <f>'TR TUSD'!$AA$16*'TR TUSD'!$AA$60</f>
        <v>0</v>
      </c>
      <c r="AB16" s="13">
        <f>SUM($U$16:$AA$16)</f>
        <v>0</v>
      </c>
      <c r="AC16" s="13">
        <f>'TR TUSD'!$AC$16*'TR TUSD'!$AC$60</f>
        <v>43.990886996904393</v>
      </c>
      <c r="AD16" s="13">
        <f>SUM($AC$16:$AC$16)</f>
        <v>43.990886996904393</v>
      </c>
      <c r="AE16" s="13">
        <v>0</v>
      </c>
      <c r="AF16" s="13">
        <v>0</v>
      </c>
      <c r="AG16" s="13">
        <f>SUM($AE$16:$AF$16)</f>
        <v>0</v>
      </c>
      <c r="AH16" s="13">
        <f>'TR TUSD'!$AH$16*'TR TUSD'!$AH$60</f>
        <v>0</v>
      </c>
      <c r="AI16" s="13">
        <f>'TR TUSD'!$AI$16*'TR TUSD'!$AI$60</f>
        <v>0</v>
      </c>
      <c r="AJ16" s="13">
        <f ca="1">'TR TUSD'!$AJ$16*'TR TUSD'!$AJ$60</f>
        <v>0</v>
      </c>
      <c r="AK16" s="13">
        <f ca="1">'TR TUSD'!$AK$16*'TR TUSD'!$AK$60</f>
        <v>0</v>
      </c>
      <c r="AL16" s="13">
        <f ca="1">SUM($AH$16:$AK$16)</f>
        <v>0</v>
      </c>
      <c r="AM16" s="13">
        <f ca="1">SUMIF($L$4:$AL$4,"SUBTOTAL",$L$16:$AL$16)</f>
        <v>44.060942755628894</v>
      </c>
      <c r="AP16" s="13"/>
    </row>
    <row r="17" spans="1:42" ht="11.25" customHeight="1" x14ac:dyDescent="0.25">
      <c r="A17" s="109" t="s">
        <v>22</v>
      </c>
      <c r="B17" s="109" t="s">
        <v>86</v>
      </c>
      <c r="C17" s="109" t="s">
        <v>24</v>
      </c>
      <c r="D17" s="109" t="s">
        <v>24</v>
      </c>
      <c r="E17" s="109" t="s">
        <v>25</v>
      </c>
      <c r="F17" s="109" t="s">
        <v>25</v>
      </c>
      <c r="G17" s="24" t="s">
        <v>74</v>
      </c>
      <c r="H17" s="24" t="s">
        <v>73</v>
      </c>
      <c r="I17" s="24">
        <f>'MERCADO TUSD'!$U$14</f>
        <v>0</v>
      </c>
      <c r="J17" s="15"/>
      <c r="L17" s="13">
        <f>'TR TUSD'!$L$17*'TR TUSD'!$L$60</f>
        <v>0</v>
      </c>
      <c r="M17" s="13">
        <f>'TR TUSD'!$M$17*'TR TUSD'!$M$60</f>
        <v>2.1815818274485372</v>
      </c>
      <c r="N17" s="13">
        <f ca="1">'TR TUSD'!$N$17*'TR TUSD'!$N$60</f>
        <v>0</v>
      </c>
      <c r="O17" s="13">
        <f>'TR TUSD'!$O$17*'TR TUSD'!$O$60</f>
        <v>0</v>
      </c>
      <c r="P17" s="13">
        <f>'TR TUSD'!$P$17*'TR TUSD'!$P$60</f>
        <v>0</v>
      </c>
      <c r="Q17" s="13">
        <f>'TR TUSD'!$Q$17*'TR TUSD'!$Q$60</f>
        <v>89.915749199252758</v>
      </c>
      <c r="R17" s="13">
        <f>'TR TUSD'!$R$17*'TR TUSD'!$R$60</f>
        <v>14.2105668429519</v>
      </c>
      <c r="S17" s="13">
        <f>'TR TUSD'!$S$17*'TR TUSD'!$S$60</f>
        <v>0</v>
      </c>
      <c r="T17" s="13">
        <f ca="1">SUM($L$17:$S$17)</f>
        <v>106.3078978696532</v>
      </c>
      <c r="U17" s="13">
        <f>'TR TUSD'!$U$17*'TR TUSD'!$U$60</f>
        <v>0</v>
      </c>
      <c r="V17" s="13">
        <f>'TR TUSD'!$V$17*'TR TUSD'!$V$60</f>
        <v>0</v>
      </c>
      <c r="W17" s="13">
        <f>'TR TUSD'!$W$17*'TR TUSD'!$W$60</f>
        <v>0</v>
      </c>
      <c r="X17" s="13">
        <f>'TR TUSD'!$X$17*'TR TUSD'!$X$60</f>
        <v>0</v>
      </c>
      <c r="Y17" s="13">
        <f>'TR TUSD'!$Y$17*'TR TUSD'!$Y$60</f>
        <v>428.07457144392777</v>
      </c>
      <c r="Z17" s="13">
        <f>'TR TUSD'!$Z$17</f>
        <v>0</v>
      </c>
      <c r="AA17" s="13">
        <f>'TR TUSD'!$AA$17</f>
        <v>0</v>
      </c>
      <c r="AB17" s="13">
        <f>SUM($U$17:$AA$17)</f>
        <v>428.07457144392777</v>
      </c>
      <c r="AC17" s="13">
        <f>'TR TUSD'!$AC$17*'TR TUSD'!$AC$60</f>
        <v>1485.0040036816963</v>
      </c>
      <c r="AD17" s="13">
        <f>SUM($AC$17:$AC$17)</f>
        <v>1485.0040036816963</v>
      </c>
      <c r="AE17" s="13">
        <v>0</v>
      </c>
      <c r="AF17" s="13">
        <v>0</v>
      </c>
      <c r="AG17" s="13">
        <f>SUM($AE$17:$AF$17)</f>
        <v>0</v>
      </c>
      <c r="AH17" s="13">
        <f>'TR TUSD'!$AH$17*'TR TUSD'!$AH$60</f>
        <v>28.258993065327477</v>
      </c>
      <c r="AI17" s="13">
        <f>'TR TUSD'!$AI$17*'TR TUSD'!$AI$60</f>
        <v>0.99134382082276284</v>
      </c>
      <c r="AJ17" s="13">
        <f ca="1">'TR TUSD'!$AJ$17*'TR TUSD'!$AJ$60</f>
        <v>0</v>
      </c>
      <c r="AK17" s="13">
        <f ca="1">'TR TUSD'!$AK$17*'TR TUSD'!$AK$60</f>
        <v>0</v>
      </c>
      <c r="AL17" s="13">
        <f ca="1">SUM($AH$17:$AK$17)</f>
        <v>29.25033688615024</v>
      </c>
      <c r="AM17" s="13">
        <f ca="1">SUMIF($L$4:$AL$4,"SUBTOTAL",$L$17:$AL$17)</f>
        <v>2048.6368098814273</v>
      </c>
      <c r="AP17" s="13">
        <v>1</v>
      </c>
    </row>
    <row r="18" spans="1:42" ht="11.25" customHeight="1" x14ac:dyDescent="0.25">
      <c r="A18" s="109"/>
      <c r="B18" s="109"/>
      <c r="C18" s="109"/>
      <c r="D18" s="109"/>
      <c r="E18" s="109"/>
      <c r="F18" s="109"/>
      <c r="G18" s="24" t="s">
        <v>85</v>
      </c>
      <c r="H18" s="24" t="s">
        <v>73</v>
      </c>
      <c r="I18" s="24">
        <f>'MERCADO TUSD'!$U$15</f>
        <v>0</v>
      </c>
      <c r="J18" s="15"/>
      <c r="L18" s="13">
        <f>'TR TUSD'!$L$18*'TR TUSD'!$L$60</f>
        <v>0</v>
      </c>
      <c r="M18" s="13">
        <f>'TR TUSD'!$M$18*'TR TUSD'!$M$60</f>
        <v>2.1815818274485372</v>
      </c>
      <c r="N18" s="13">
        <f ca="1">'TR TUSD'!$N$18*'TR TUSD'!$N$60</f>
        <v>0</v>
      </c>
      <c r="O18" s="13">
        <f>'TR TUSD'!$O$18*'TR TUSD'!$O$60</f>
        <v>0</v>
      </c>
      <c r="P18" s="13">
        <f>'TR TUSD'!$P$18*'TR TUSD'!$P$60</f>
        <v>0</v>
      </c>
      <c r="Q18" s="13">
        <f>'TR TUSD'!$Q$18*'TR TUSD'!$Q$60</f>
        <v>89.915749199252758</v>
      </c>
      <c r="R18" s="13">
        <f>'TR TUSD'!$R$18*'TR TUSD'!$R$60</f>
        <v>14.2105668429519</v>
      </c>
      <c r="S18" s="13">
        <f>'TR TUSD'!$S$18*'TR TUSD'!$S$60</f>
        <v>0</v>
      </c>
      <c r="T18" s="13">
        <f ca="1">SUM($L$18:$S$18)</f>
        <v>106.3078978696532</v>
      </c>
      <c r="U18" s="13">
        <f>'TR TUSD'!$U$18*'TR TUSD'!$U$60</f>
        <v>0</v>
      </c>
      <c r="V18" s="13">
        <f>'TR TUSD'!$V$18*'TR TUSD'!$V$60</f>
        <v>0</v>
      </c>
      <c r="W18" s="13">
        <f>'TR TUSD'!$W$18*'TR TUSD'!$W$60</f>
        <v>0</v>
      </c>
      <c r="X18" s="13">
        <f>'TR TUSD'!$X$18*'TR TUSD'!$X$60</f>
        <v>0</v>
      </c>
      <c r="Y18" s="13">
        <f>'TR TUSD'!$Y$18*'TR TUSD'!$Y$60</f>
        <v>256.84467656075952</v>
      </c>
      <c r="Z18" s="13">
        <f>'TR TUSD'!$Z$18</f>
        <v>0</v>
      </c>
      <c r="AA18" s="13">
        <f>'TR TUSD'!$AA$18</f>
        <v>0</v>
      </c>
      <c r="AB18" s="13">
        <f>SUM($U$18:$AA$18)</f>
        <v>256.84467656075952</v>
      </c>
      <c r="AC18" s="13">
        <f>'TR TUSD'!$AC$18*'TR TUSD'!$AC$60</f>
        <v>891.00244187072963</v>
      </c>
      <c r="AD18" s="13">
        <f>SUM($AC$18:$AC$18)</f>
        <v>891.00244187072963</v>
      </c>
      <c r="AE18" s="13">
        <v>0</v>
      </c>
      <c r="AF18" s="13">
        <v>0</v>
      </c>
      <c r="AG18" s="13">
        <f>SUM($AE$18:$AF$18)</f>
        <v>0</v>
      </c>
      <c r="AH18" s="13">
        <f>'TR TUSD'!$AH$18*'TR TUSD'!$AH$60</f>
        <v>28.258993065327477</v>
      </c>
      <c r="AI18" s="13">
        <f>'TR TUSD'!$AI$18*'TR TUSD'!$AI$60</f>
        <v>0.99134382082276284</v>
      </c>
      <c r="AJ18" s="13">
        <f ca="1">'TR TUSD'!$AJ$18*'TR TUSD'!$AJ$60</f>
        <v>0</v>
      </c>
      <c r="AK18" s="13">
        <f ca="1">'TR TUSD'!$AK$18*'TR TUSD'!$AK$60</f>
        <v>0</v>
      </c>
      <c r="AL18" s="13">
        <f ca="1">SUM($AH$18:$AK$18)</f>
        <v>29.25033688615024</v>
      </c>
      <c r="AM18" s="13">
        <f ca="1">SUMIF($L$4:$AL$4,"SUBTOTAL",$L$18:$AL$18)</f>
        <v>1283.4053531872928</v>
      </c>
      <c r="AP18" s="13">
        <v>1</v>
      </c>
    </row>
    <row r="19" spans="1:42" ht="11.25" customHeight="1" x14ac:dyDescent="0.25">
      <c r="A19" s="109"/>
      <c r="B19" s="109"/>
      <c r="C19" s="109"/>
      <c r="D19" s="109"/>
      <c r="E19" s="109"/>
      <c r="F19" s="109"/>
      <c r="G19" s="24" t="s">
        <v>75</v>
      </c>
      <c r="H19" s="24" t="s">
        <v>73</v>
      </c>
      <c r="I19" s="24">
        <f>'MERCADO TUSD'!$U$16</f>
        <v>0</v>
      </c>
      <c r="J19" s="15"/>
      <c r="L19" s="13">
        <f>'TR TUSD'!$L$19*'TR TUSD'!$L$60</f>
        <v>0</v>
      </c>
      <c r="M19" s="13">
        <f>'TR TUSD'!$M$19*'TR TUSD'!$M$60</f>
        <v>2.1815818274485372</v>
      </c>
      <c r="N19" s="13">
        <f ca="1">'TR TUSD'!$N$19*'TR TUSD'!$N$60</f>
        <v>0</v>
      </c>
      <c r="O19" s="13">
        <f>'TR TUSD'!$O$19*'TR TUSD'!$O$60</f>
        <v>0</v>
      </c>
      <c r="P19" s="13">
        <f>'TR TUSD'!$P$19*'TR TUSD'!$P$60</f>
        <v>0</v>
      </c>
      <c r="Q19" s="13">
        <f>'TR TUSD'!$Q$19*'TR TUSD'!$Q$60</f>
        <v>89.915749199252758</v>
      </c>
      <c r="R19" s="13">
        <f>'TR TUSD'!$R$19*'TR TUSD'!$R$60</f>
        <v>14.2105668429519</v>
      </c>
      <c r="S19" s="13">
        <f>'TR TUSD'!$S$19*'TR TUSD'!$S$60</f>
        <v>0</v>
      </c>
      <c r="T19" s="13">
        <f ca="1">SUM($L$19:$S$19)</f>
        <v>106.3078978696532</v>
      </c>
      <c r="U19" s="13">
        <f>'TR TUSD'!$U$19*'TR TUSD'!$U$60</f>
        <v>0</v>
      </c>
      <c r="V19" s="13">
        <f>'TR TUSD'!$V$19*'TR TUSD'!$V$60</f>
        <v>0</v>
      </c>
      <c r="W19" s="13">
        <f>'TR TUSD'!$W$19*'TR TUSD'!$W$60</f>
        <v>0</v>
      </c>
      <c r="X19" s="13">
        <f>'TR TUSD'!$X$19*'TR TUSD'!$X$60</f>
        <v>0</v>
      </c>
      <c r="Y19" s="13">
        <f>'TR TUSD'!$Y$19*'TR TUSD'!$Y$60</f>
        <v>85.614892186919832</v>
      </c>
      <c r="Z19" s="13">
        <f>'TR TUSD'!$Z$19</f>
        <v>0</v>
      </c>
      <c r="AA19" s="13">
        <f>'TR TUSD'!$AA$19</f>
        <v>0</v>
      </c>
      <c r="AB19" s="13">
        <f>SUM($U$19:$AA$19)</f>
        <v>85.614892186919832</v>
      </c>
      <c r="AC19" s="13">
        <f>'TR TUSD'!$AC$19*'TR TUSD'!$AC$60</f>
        <v>297.00078090548323</v>
      </c>
      <c r="AD19" s="13">
        <f>SUM($AC$19:$AC$19)</f>
        <v>297.00078090548323</v>
      </c>
      <c r="AE19" s="13">
        <v>0</v>
      </c>
      <c r="AF19" s="13">
        <v>0</v>
      </c>
      <c r="AG19" s="13">
        <f>SUM($AE$19:$AF$19)</f>
        <v>0</v>
      </c>
      <c r="AH19" s="13">
        <f>'TR TUSD'!$AH$19*'TR TUSD'!$AH$60</f>
        <v>28.258993065327477</v>
      </c>
      <c r="AI19" s="13">
        <f>'TR TUSD'!$AI$19*'TR TUSD'!$AI$60</f>
        <v>0.99134382082276284</v>
      </c>
      <c r="AJ19" s="13">
        <f ca="1">'TR TUSD'!$AJ$19*'TR TUSD'!$AJ$60</f>
        <v>0</v>
      </c>
      <c r="AK19" s="13">
        <f ca="1">'TR TUSD'!$AK$19*'TR TUSD'!$AK$60</f>
        <v>0</v>
      </c>
      <c r="AL19" s="13">
        <f ca="1">SUM($AH$19:$AK$19)</f>
        <v>29.25033688615024</v>
      </c>
      <c r="AM19" s="13">
        <f ca="1">SUMIF($L$4:$AL$4,"SUBTOTAL",$L$19:$AL$19)</f>
        <v>518.17390784820645</v>
      </c>
      <c r="AP19" s="13">
        <v>1</v>
      </c>
    </row>
    <row r="20" spans="1:42" ht="11.25" customHeight="1" x14ac:dyDescent="0.25">
      <c r="A20" s="109"/>
      <c r="B20" s="109" t="s">
        <v>23</v>
      </c>
      <c r="C20" s="109" t="s">
        <v>24</v>
      </c>
      <c r="D20" s="23" t="s">
        <v>24</v>
      </c>
      <c r="E20" s="23" t="s">
        <v>25</v>
      </c>
      <c r="F20" s="23" t="s">
        <v>25</v>
      </c>
      <c r="G20" s="24" t="s">
        <v>77</v>
      </c>
      <c r="H20" s="24" t="s">
        <v>73</v>
      </c>
      <c r="I20" s="24">
        <f>'MERCADO TUSD'!$U$17</f>
        <v>4803.848</v>
      </c>
      <c r="J20" s="15"/>
      <c r="L20" s="13">
        <f>'TR TUSD'!$L$20*'TR TUSD'!$L$60</f>
        <v>0</v>
      </c>
      <c r="M20" s="13">
        <f>'TR TUSD'!$M$20*'TR TUSD'!$M$60</f>
        <v>2.1815818274485372</v>
      </c>
      <c r="N20" s="13">
        <f ca="1">'TR TUSD'!$N$20*'TR TUSD'!$N$60</f>
        <v>0</v>
      </c>
      <c r="O20" s="13">
        <f>'TR TUSD'!$O$20*'TR TUSD'!$O$60</f>
        <v>0</v>
      </c>
      <c r="P20" s="13">
        <f>'TR TUSD'!$P$20*'TR TUSD'!$P$60</f>
        <v>0</v>
      </c>
      <c r="Q20" s="13">
        <f>'TR TUSD'!$Q$20*'TR TUSD'!$Q$60</f>
        <v>89.915749199252758</v>
      </c>
      <c r="R20" s="13">
        <f>'TR TUSD'!$R$20*'TR TUSD'!$R$60</f>
        <v>14.2105668429519</v>
      </c>
      <c r="S20" s="13">
        <f>'TR TUSD'!$S$20*'TR TUSD'!$S$60</f>
        <v>0</v>
      </c>
      <c r="T20" s="13">
        <f ca="1">SUM($L$20:$S$20)</f>
        <v>106.3078978696532</v>
      </c>
      <c r="U20" s="13">
        <f>'TR TUSD'!$U$20*'TR TUSD'!$U$60</f>
        <v>0</v>
      </c>
      <c r="V20" s="13">
        <f>'TR TUSD'!$V$20*'TR TUSD'!$V$60</f>
        <v>0</v>
      </c>
      <c r="W20" s="13">
        <f>'TR TUSD'!$W$20*'TR TUSD'!$W$60</f>
        <v>0</v>
      </c>
      <c r="X20" s="13">
        <f>'TR TUSD'!$X$20*'TR TUSD'!$X$60</f>
        <v>0</v>
      </c>
      <c r="Y20" s="13">
        <f>'TR TUSD'!$Y$20*'TR TUSD'!$Y$60</f>
        <v>138.08858925761038</v>
      </c>
      <c r="Z20" s="13">
        <f>'TR TUSD'!$Z$20</f>
        <v>0</v>
      </c>
      <c r="AA20" s="13">
        <f>'TR TUSD'!$AA$20</f>
        <v>0</v>
      </c>
      <c r="AB20" s="13">
        <f>SUM($U$20:$AA$20)</f>
        <v>138.08858925761038</v>
      </c>
      <c r="AC20" s="13">
        <f>'TR TUSD'!$AC$20*'TR TUSD'!$AC$60</f>
        <v>479.03356236884133</v>
      </c>
      <c r="AD20" s="13">
        <f>SUM($AC$20:$AC$20)</f>
        <v>479.03356236884133</v>
      </c>
      <c r="AE20" s="13">
        <v>0</v>
      </c>
      <c r="AF20" s="13">
        <v>0</v>
      </c>
      <c r="AG20" s="13">
        <f>SUM($AE$20:$AF$20)</f>
        <v>0</v>
      </c>
      <c r="AH20" s="13">
        <f>'TR TUSD'!$AH$20*'TR TUSD'!$AH$60</f>
        <v>28.258993065327477</v>
      </c>
      <c r="AI20" s="13">
        <f>'TR TUSD'!$AI$20*'TR TUSD'!$AI$60</f>
        <v>0.99134382082276284</v>
      </c>
      <c r="AJ20" s="13">
        <f ca="1">'TR TUSD'!$AJ$20*'TR TUSD'!$AJ$60</f>
        <v>0</v>
      </c>
      <c r="AK20" s="13">
        <f ca="1">'TR TUSD'!$AK$20*'TR TUSD'!$AK$60</f>
        <v>0</v>
      </c>
      <c r="AL20" s="13">
        <f ca="1">SUM($AH$20:$AK$20)</f>
        <v>29.25033688615024</v>
      </c>
      <c r="AM20" s="13">
        <f ca="1">SUMIF($L$4:$AL$4,"SUBTOTAL",$L$20:$AL$20)</f>
        <v>752.68038638225505</v>
      </c>
      <c r="AP20" s="13">
        <v>1</v>
      </c>
    </row>
    <row r="21" spans="1:42" ht="11.25" customHeight="1" x14ac:dyDescent="0.25">
      <c r="A21" s="109"/>
      <c r="B21" s="109"/>
      <c r="C21" s="109"/>
      <c r="D21" s="23" t="s">
        <v>29</v>
      </c>
      <c r="E21" s="23" t="s">
        <v>25</v>
      </c>
      <c r="F21" s="23" t="s">
        <v>25</v>
      </c>
      <c r="G21" s="24" t="s">
        <v>77</v>
      </c>
      <c r="H21" s="24" t="s">
        <v>73</v>
      </c>
      <c r="I21" s="24">
        <f>'MERCADO TUSD'!$U$18</f>
        <v>28.29</v>
      </c>
      <c r="J21" s="15"/>
      <c r="L21" s="13">
        <f>'TR TUSD'!$L$21*'TR TUSD'!$L$60</f>
        <v>0</v>
      </c>
      <c r="M21" s="13">
        <f>'TR TUSD'!$M$21*'TR TUSD'!$M$60</f>
        <v>2.1815818274485372</v>
      </c>
      <c r="N21" s="13">
        <f ca="1">'TR TUSD'!$N$21*'TR TUSD'!$N$60</f>
        <v>0</v>
      </c>
      <c r="O21" s="13">
        <f>'TR TUSD'!$O$21*'TR TUSD'!$O$60</f>
        <v>0</v>
      </c>
      <c r="P21" s="13">
        <f>'TR TUSD'!$P$21*'TR TUSD'!$P$60</f>
        <v>0</v>
      </c>
      <c r="Q21" s="13">
        <f>'TR TUSD'!$Q$21*'TR TUSD'!$Q$60</f>
        <v>0</v>
      </c>
      <c r="R21" s="13">
        <f>'TR TUSD'!$R$21*'TR TUSD'!$R$60</f>
        <v>0</v>
      </c>
      <c r="S21" s="13">
        <f>'TR TUSD'!$S$21*'TR TUSD'!$S$60</f>
        <v>0</v>
      </c>
      <c r="T21" s="13">
        <f ca="1">SUM($L$21:$S$21)</f>
        <v>2.1815818274485372</v>
      </c>
      <c r="U21" s="13">
        <f>'TR TUSD'!$U$21*'TR TUSD'!$U$60</f>
        <v>0</v>
      </c>
      <c r="V21" s="13">
        <f>'TR TUSD'!$V$21*'TR TUSD'!$V$60</f>
        <v>0</v>
      </c>
      <c r="W21" s="13">
        <f>'TR TUSD'!$W$21*'TR TUSD'!$W$60</f>
        <v>0</v>
      </c>
      <c r="X21" s="13">
        <f>'TR TUSD'!$X$21*'TR TUSD'!$X$60</f>
        <v>0</v>
      </c>
      <c r="Y21" s="13">
        <f>'TR TUSD'!$Y$21*'TR TUSD'!$Y$60</f>
        <v>138.08858925761038</v>
      </c>
      <c r="Z21" s="13">
        <f>'TR TUSD'!$Z$21</f>
        <v>0</v>
      </c>
      <c r="AA21" s="13">
        <f>'TR TUSD'!$AA$21</f>
        <v>0</v>
      </c>
      <c r="AB21" s="13">
        <f>SUM($U$21:$AA$21)</f>
        <v>138.08858925761038</v>
      </c>
      <c r="AC21" s="13">
        <f>'TR TUSD'!$AC$21*'TR TUSD'!$AC$60</f>
        <v>479.03356236884133</v>
      </c>
      <c r="AD21" s="13">
        <f>SUM($AC$21:$AC$21)</f>
        <v>479.03356236884133</v>
      </c>
      <c r="AE21" s="13">
        <v>0</v>
      </c>
      <c r="AF21" s="13">
        <v>0</v>
      </c>
      <c r="AG21" s="13">
        <f>SUM($AE$21:$AF$21)</f>
        <v>0</v>
      </c>
      <c r="AH21" s="13">
        <f>'TR TUSD'!$AH$21*'TR TUSD'!$AH$60</f>
        <v>28.258993065327477</v>
      </c>
      <c r="AI21" s="13">
        <f>'TR TUSD'!$AI$21*'TR TUSD'!$AI$60</f>
        <v>0.99134382082276284</v>
      </c>
      <c r="AJ21" s="13">
        <f ca="1">'TR TUSD'!$AJ$21*'TR TUSD'!$AJ$60</f>
        <v>0</v>
      </c>
      <c r="AK21" s="13">
        <f ca="1">'TR TUSD'!$AK$21*'TR TUSD'!$AK$60</f>
        <v>0</v>
      </c>
      <c r="AL21" s="13">
        <f ca="1">SUM($AH$21:$AK$21)</f>
        <v>29.25033688615024</v>
      </c>
      <c r="AM21" s="13">
        <f ca="1">SUMIF($L$4:$AL$4,"SUBTOTAL",$L$21:$AL$21)</f>
        <v>648.55407034005043</v>
      </c>
      <c r="AP21" s="13">
        <f>IF((1 - CUSTOS!$M$24)&lt;&gt;0,1/(1 - CUSTOS!$M$24),1)</f>
        <v>1</v>
      </c>
    </row>
    <row r="22" spans="1:42" ht="11.25" customHeight="1" x14ac:dyDescent="0.25">
      <c r="A22" s="109"/>
      <c r="B22" s="109"/>
      <c r="C22" s="109"/>
      <c r="D22" s="23" t="s">
        <v>30</v>
      </c>
      <c r="E22" s="23" t="s">
        <v>25</v>
      </c>
      <c r="F22" s="23" t="s">
        <v>25</v>
      </c>
      <c r="G22" s="24" t="s">
        <v>77</v>
      </c>
      <c r="H22" s="24" t="s">
        <v>73</v>
      </c>
      <c r="I22" s="24">
        <f>'MERCADO TUSD'!$U$19</f>
        <v>50.516000000000005</v>
      </c>
      <c r="J22" s="15"/>
      <c r="L22" s="13">
        <f>'TR TUSD'!$L$22*'TR TUSD'!$L$60</f>
        <v>0</v>
      </c>
      <c r="M22" s="13">
        <f>'TR TUSD'!$M$22*'TR TUSD'!$M$60</f>
        <v>2.1815818274485372</v>
      </c>
      <c r="N22" s="13">
        <f ca="1">'TR TUSD'!$N$22*'TR TUSD'!$N$60</f>
        <v>0</v>
      </c>
      <c r="O22" s="13">
        <f>'TR TUSD'!$O$22*'TR TUSD'!$O$60</f>
        <v>0</v>
      </c>
      <c r="P22" s="13">
        <f>'TR TUSD'!$P$22*'TR TUSD'!$P$60</f>
        <v>0</v>
      </c>
      <c r="Q22" s="13">
        <f>'TR TUSD'!$Q$22*'TR TUSD'!$Q$60</f>
        <v>0</v>
      </c>
      <c r="R22" s="13">
        <f>'TR TUSD'!$R$22*'TR TUSD'!$R$60</f>
        <v>0</v>
      </c>
      <c r="S22" s="13">
        <f>'TR TUSD'!$S$22*'TR TUSD'!$S$60</f>
        <v>0</v>
      </c>
      <c r="T22" s="13">
        <f ca="1">SUM($L$22:$S$22)</f>
        <v>2.1815818274485372</v>
      </c>
      <c r="U22" s="13">
        <f>'TR TUSD'!$U$22*'TR TUSD'!$U$60</f>
        <v>0</v>
      </c>
      <c r="V22" s="13">
        <f>'TR TUSD'!$V$22*'TR TUSD'!$V$60</f>
        <v>0</v>
      </c>
      <c r="W22" s="13">
        <f>'TR TUSD'!$W$22*'TR TUSD'!$W$60</f>
        <v>0</v>
      </c>
      <c r="X22" s="13">
        <f>'TR TUSD'!$X$22*'TR TUSD'!$X$60</f>
        <v>0</v>
      </c>
      <c r="Y22" s="13">
        <f>'TR TUSD'!$Y$22*'TR TUSD'!$Y$60</f>
        <v>138.08858925761038</v>
      </c>
      <c r="Z22" s="13">
        <f>'TR TUSD'!$Z$22</f>
        <v>0</v>
      </c>
      <c r="AA22" s="13">
        <f>'TR TUSD'!$AA$22</f>
        <v>0</v>
      </c>
      <c r="AB22" s="13">
        <f>SUM($U$22:$AA$22)</f>
        <v>138.08858925761038</v>
      </c>
      <c r="AC22" s="13">
        <f>'TR TUSD'!$AC$22*'TR TUSD'!$AC$60</f>
        <v>479.03356236884133</v>
      </c>
      <c r="AD22" s="13">
        <f>SUM($AC$22:$AC$22)</f>
        <v>479.03356236884133</v>
      </c>
      <c r="AE22" s="13">
        <v>0</v>
      </c>
      <c r="AF22" s="13">
        <v>0</v>
      </c>
      <c r="AG22" s="13">
        <f>SUM($AE$22:$AF$22)</f>
        <v>0</v>
      </c>
      <c r="AH22" s="13">
        <f>'TR TUSD'!$AH$22*'TR TUSD'!$AH$60</f>
        <v>28.258993065327477</v>
      </c>
      <c r="AI22" s="13">
        <f>'TR TUSD'!$AI$22*'TR TUSD'!$AI$60</f>
        <v>0.99134382082276284</v>
      </c>
      <c r="AJ22" s="13">
        <f ca="1">'TR TUSD'!$AJ$22*'TR TUSD'!$AJ$60</f>
        <v>0</v>
      </c>
      <c r="AK22" s="13">
        <f ca="1">'TR TUSD'!$AK$22*'TR TUSD'!$AK$60</f>
        <v>0</v>
      </c>
      <c r="AL22" s="13">
        <f ca="1">SUM($AH$22:$AK$22)</f>
        <v>29.25033688615024</v>
      </c>
      <c r="AM22" s="13">
        <f ca="1">SUMIF($L$4:$AL$4,"SUBTOTAL",$L$22:$AL$22)</f>
        <v>648.55407034005043</v>
      </c>
      <c r="AP22" s="13">
        <f>IF((1 - CUSTOS!$M$25)&lt;&gt;0,1/(1 - CUSTOS!$M$25),1)</f>
        <v>1</v>
      </c>
    </row>
    <row r="23" spans="1:42" ht="11.25" customHeight="1" x14ac:dyDescent="0.25">
      <c r="A23" s="109"/>
      <c r="B23" s="109"/>
      <c r="C23" s="109"/>
      <c r="D23" s="23" t="s">
        <v>31</v>
      </c>
      <c r="E23" s="23" t="s">
        <v>25</v>
      </c>
      <c r="F23" s="23" t="s">
        <v>25</v>
      </c>
      <c r="G23" s="24" t="s">
        <v>77</v>
      </c>
      <c r="H23" s="24" t="s">
        <v>73</v>
      </c>
      <c r="I23" s="24">
        <f>'MERCADO TUSD'!$U$20</f>
        <v>39.111000000000004</v>
      </c>
      <c r="J23" s="15"/>
      <c r="L23" s="13">
        <f>'TR TUSD'!$L$23*'TR TUSD'!$L$60</f>
        <v>0</v>
      </c>
      <c r="M23" s="13">
        <f>'TR TUSD'!$M$23*'TR TUSD'!$M$60</f>
        <v>2.1815818274485372</v>
      </c>
      <c r="N23" s="13">
        <f ca="1">'TR TUSD'!$N$23*'TR TUSD'!$N$60</f>
        <v>0</v>
      </c>
      <c r="O23" s="13">
        <f>'TR TUSD'!$O$23*'TR TUSD'!$O$60</f>
        <v>0</v>
      </c>
      <c r="P23" s="13">
        <f>'TR TUSD'!$P$23*'TR TUSD'!$P$60</f>
        <v>0</v>
      </c>
      <c r="Q23" s="13">
        <f>'TR TUSD'!$Q$23*'TR TUSD'!$Q$60</f>
        <v>0</v>
      </c>
      <c r="R23" s="13">
        <f>'TR TUSD'!$R$23*'TR TUSD'!$R$60</f>
        <v>0</v>
      </c>
      <c r="S23" s="13">
        <f>'TR TUSD'!$S$23*'TR TUSD'!$S$60</f>
        <v>0</v>
      </c>
      <c r="T23" s="13">
        <f ca="1">SUM($L$23:$S$23)</f>
        <v>2.1815818274485372</v>
      </c>
      <c r="U23" s="13">
        <f>'TR TUSD'!$U$23*'TR TUSD'!$U$60</f>
        <v>0</v>
      </c>
      <c r="V23" s="13">
        <f>'TR TUSD'!$V$23*'TR TUSD'!$V$60</f>
        <v>0</v>
      </c>
      <c r="W23" s="13">
        <f>'TR TUSD'!$W$23*'TR TUSD'!$W$60</f>
        <v>0</v>
      </c>
      <c r="X23" s="13">
        <f>'TR TUSD'!$X$23*'TR TUSD'!$X$60</f>
        <v>0</v>
      </c>
      <c r="Y23" s="13">
        <f>'TR TUSD'!$Y$23*'TR TUSD'!$Y$60</f>
        <v>138.08858925761038</v>
      </c>
      <c r="Z23" s="13">
        <f>'TR TUSD'!$Z$23</f>
        <v>0</v>
      </c>
      <c r="AA23" s="13">
        <f>'TR TUSD'!$AA$23</f>
        <v>0</v>
      </c>
      <c r="AB23" s="13">
        <f>SUM($U$23:$AA$23)</f>
        <v>138.08858925761038</v>
      </c>
      <c r="AC23" s="13">
        <f>'TR TUSD'!$AC$23*'TR TUSD'!$AC$60</f>
        <v>479.03356236884133</v>
      </c>
      <c r="AD23" s="13">
        <f>SUM($AC$23:$AC$23)</f>
        <v>479.03356236884133</v>
      </c>
      <c r="AE23" s="13">
        <v>0</v>
      </c>
      <c r="AF23" s="13">
        <v>0</v>
      </c>
      <c r="AG23" s="13">
        <f>SUM($AE$23:$AF$23)</f>
        <v>0</v>
      </c>
      <c r="AH23" s="13">
        <f>'TR TUSD'!$AH$23*'TR TUSD'!$AH$60</f>
        <v>28.258993065327477</v>
      </c>
      <c r="AI23" s="13">
        <f>'TR TUSD'!$AI$23*'TR TUSD'!$AI$60</f>
        <v>0.99134382082276284</v>
      </c>
      <c r="AJ23" s="13">
        <f ca="1">'TR TUSD'!$AJ$23*'TR TUSD'!$AJ$60</f>
        <v>0</v>
      </c>
      <c r="AK23" s="13">
        <f ca="1">'TR TUSD'!$AK$23*'TR TUSD'!$AK$60</f>
        <v>0</v>
      </c>
      <c r="AL23" s="13">
        <f ca="1">SUM($AH$23:$AK$23)</f>
        <v>29.25033688615024</v>
      </c>
      <c r="AM23" s="13">
        <f ca="1">SUMIF($L$4:$AL$4,"SUBTOTAL",$L$23:$AL$23)</f>
        <v>648.55407034005043</v>
      </c>
      <c r="AP23" s="13">
        <f>IF((1 - CUSTOS!$M$26)&lt;&gt;0,1/(1 - CUSTOS!$M$26),1)</f>
        <v>1</v>
      </c>
    </row>
    <row r="24" spans="1:42" ht="11.25" customHeight="1" x14ac:dyDescent="0.25">
      <c r="A24" s="109"/>
      <c r="B24" s="109"/>
      <c r="C24" s="109"/>
      <c r="D24" s="23" t="s">
        <v>32</v>
      </c>
      <c r="E24" s="23" t="s">
        <v>25</v>
      </c>
      <c r="F24" s="23" t="s">
        <v>25</v>
      </c>
      <c r="G24" s="24" t="s">
        <v>77</v>
      </c>
      <c r="H24" s="24" t="s">
        <v>73</v>
      </c>
      <c r="I24" s="24">
        <f>'MERCADO TUSD'!$U$21</f>
        <v>10.074999999999999</v>
      </c>
      <c r="J24" s="15"/>
      <c r="L24" s="13">
        <f>'TR TUSD'!$L$24*'TR TUSD'!$L$60</f>
        <v>0</v>
      </c>
      <c r="M24" s="13">
        <f>'TR TUSD'!$M$24*'TR TUSD'!$M$60</f>
        <v>2.1815818274485372</v>
      </c>
      <c r="N24" s="13">
        <f ca="1">'TR TUSD'!$N$24*'TR TUSD'!$N$60</f>
        <v>0</v>
      </c>
      <c r="O24" s="13">
        <f>'TR TUSD'!$O$24*'TR TUSD'!$O$60</f>
        <v>0</v>
      </c>
      <c r="P24" s="13">
        <f>'TR TUSD'!$P$24*'TR TUSD'!$P$60</f>
        <v>0</v>
      </c>
      <c r="Q24" s="13">
        <f>'TR TUSD'!$Q$24*'TR TUSD'!$Q$60</f>
        <v>0</v>
      </c>
      <c r="R24" s="13">
        <f>'TR TUSD'!$R$24*'TR TUSD'!$R$60</f>
        <v>0</v>
      </c>
      <c r="S24" s="13">
        <f>'TR TUSD'!$S$24*'TR TUSD'!$S$60</f>
        <v>0</v>
      </c>
      <c r="T24" s="13">
        <f ca="1">SUM($L$24:$S$24)</f>
        <v>2.1815818274485372</v>
      </c>
      <c r="U24" s="13">
        <f>'TR TUSD'!$U$24*'TR TUSD'!$U$60</f>
        <v>0</v>
      </c>
      <c r="V24" s="13">
        <f>'TR TUSD'!$V$24*'TR TUSD'!$V$60</f>
        <v>0</v>
      </c>
      <c r="W24" s="13">
        <f>'TR TUSD'!$W$24*'TR TUSD'!$W$60</f>
        <v>0</v>
      </c>
      <c r="X24" s="13">
        <f>'TR TUSD'!$X$24*'TR TUSD'!$X$60</f>
        <v>0</v>
      </c>
      <c r="Y24" s="13">
        <f>'TR TUSD'!$Y$24*'TR TUSD'!$Y$60</f>
        <v>138.08858925761038</v>
      </c>
      <c r="Z24" s="13">
        <f>'TR TUSD'!$Z$24</f>
        <v>0</v>
      </c>
      <c r="AA24" s="13">
        <f>'TR TUSD'!$AA$24</f>
        <v>0</v>
      </c>
      <c r="AB24" s="13">
        <f>SUM($U$24:$AA$24)</f>
        <v>138.08858925761038</v>
      </c>
      <c r="AC24" s="13">
        <f>'TR TUSD'!$AC$24*'TR TUSD'!$AC$60</f>
        <v>479.03356236884133</v>
      </c>
      <c r="AD24" s="13">
        <f>SUM($AC$24:$AC$24)</f>
        <v>479.03356236884133</v>
      </c>
      <c r="AE24" s="13">
        <v>0</v>
      </c>
      <c r="AF24" s="13">
        <v>0</v>
      </c>
      <c r="AG24" s="13">
        <f>SUM($AE$24:$AF$24)</f>
        <v>0</v>
      </c>
      <c r="AH24" s="13">
        <f>'TR TUSD'!$AH$24*'TR TUSD'!$AH$60</f>
        <v>28.258993065327477</v>
      </c>
      <c r="AI24" s="13">
        <f>'TR TUSD'!$AI$24*'TR TUSD'!$AI$60</f>
        <v>0.99134382082276284</v>
      </c>
      <c r="AJ24" s="13">
        <f ca="1">'TR TUSD'!$AJ$24*'TR TUSD'!$AJ$60</f>
        <v>0</v>
      </c>
      <c r="AK24" s="13">
        <f ca="1">'TR TUSD'!$AK$24*'TR TUSD'!$AK$60</f>
        <v>0</v>
      </c>
      <c r="AL24" s="13">
        <f ca="1">SUM($AH$24:$AK$24)</f>
        <v>29.25033688615024</v>
      </c>
      <c r="AM24" s="13">
        <f ca="1">SUMIF($L$4:$AL$4,"SUBTOTAL",$L$24:$AL$24)</f>
        <v>648.55407034005043</v>
      </c>
      <c r="AP24" s="13">
        <f>IF((1 - CUSTOS!$M$27)&lt;&gt;0,1/(1 - CUSTOS!$M$27),1)</f>
        <v>1</v>
      </c>
    </row>
    <row r="25" spans="1:42" ht="11.25" customHeight="1" x14ac:dyDescent="0.25">
      <c r="A25" s="109"/>
      <c r="B25" s="109" t="s">
        <v>88</v>
      </c>
      <c r="C25" s="109" t="s">
        <v>24</v>
      </c>
      <c r="D25" s="23" t="s">
        <v>24</v>
      </c>
      <c r="E25" s="23" t="s">
        <v>25</v>
      </c>
      <c r="F25" s="23" t="s">
        <v>25</v>
      </c>
      <c r="G25" s="24" t="s">
        <v>77</v>
      </c>
      <c r="H25" s="24" t="s">
        <v>73</v>
      </c>
      <c r="I25" s="24">
        <f>'MERCADO TUSD'!$U$22</f>
        <v>0</v>
      </c>
      <c r="J25" s="15"/>
      <c r="L25" s="13">
        <f>'TR TUSD'!$L$25*'TR TUSD'!$L$60</f>
        <v>0</v>
      </c>
      <c r="M25" s="13">
        <f>'TR TUSD'!$M$25*'TR TUSD'!$M$60</f>
        <v>2.1815818274485372</v>
      </c>
      <c r="N25" s="13">
        <f ca="1">'TR TUSD'!$N$25*'TR TUSD'!$N$60</f>
        <v>0</v>
      </c>
      <c r="O25" s="13">
        <f>'TR TUSD'!$O$25*'TR TUSD'!$O$60</f>
        <v>0</v>
      </c>
      <c r="P25" s="13">
        <f>'TR TUSD'!$P$25*'TR TUSD'!$P$60</f>
        <v>0</v>
      </c>
      <c r="Q25" s="13">
        <f>'TR TUSD'!$Q$25*'TR TUSD'!$Q$60</f>
        <v>89.915749199252758</v>
      </c>
      <c r="R25" s="13">
        <f>'TR TUSD'!$R$25*'TR TUSD'!$R$60</f>
        <v>14.2105668429519</v>
      </c>
      <c r="S25" s="13">
        <f>'TR TUSD'!$S$25*'TR TUSD'!$S$60</f>
        <v>0</v>
      </c>
      <c r="T25" s="13">
        <f ca="1">SUM($L$25:$S$25)</f>
        <v>106.3078978696532</v>
      </c>
      <c r="U25" s="13">
        <f>'TR TUSD'!$U$25*'TR TUSD'!$U$60</f>
        <v>0</v>
      </c>
      <c r="V25" s="13">
        <f>'TR TUSD'!$V$25*'TR TUSD'!$V$60</f>
        <v>0</v>
      </c>
      <c r="W25" s="13">
        <f>'TR TUSD'!$W$25*'TR TUSD'!$W$60</f>
        <v>0</v>
      </c>
      <c r="X25" s="13">
        <f>'TR TUSD'!$X$25*'TR TUSD'!$X$60</f>
        <v>0</v>
      </c>
      <c r="Y25" s="13">
        <f>'TR TUSD'!$Y$25*'TR TUSD'!$Y$60</f>
        <v>138.08858925761038</v>
      </c>
      <c r="Z25" s="13">
        <f>'TR TUSD'!$Z$25</f>
        <v>0</v>
      </c>
      <c r="AA25" s="13">
        <f>'TR TUSD'!$AA$25</f>
        <v>0</v>
      </c>
      <c r="AB25" s="13">
        <f>SUM($U$25:$AA$25)</f>
        <v>138.08858925761038</v>
      </c>
      <c r="AC25" s="13">
        <f>'TR TUSD'!$AC$25*'TR TUSD'!$AC$60</f>
        <v>479.03356236884133</v>
      </c>
      <c r="AD25" s="13">
        <f>SUM($AC$25:$AC$25)</f>
        <v>479.03356236884133</v>
      </c>
      <c r="AE25" s="13">
        <v>0</v>
      </c>
      <c r="AF25" s="13">
        <v>0</v>
      </c>
      <c r="AG25" s="13">
        <f>SUM($AE$25:$AF$25)</f>
        <v>0</v>
      </c>
      <c r="AH25" s="13">
        <f>'TR TUSD'!$AH$25*'TR TUSD'!$AH$60</f>
        <v>28.258993065327477</v>
      </c>
      <c r="AI25" s="13">
        <f>'TR TUSD'!$AI$25*'TR TUSD'!$AI$60</f>
        <v>0.99134382082276284</v>
      </c>
      <c r="AJ25" s="13">
        <f ca="1">'TR TUSD'!$AJ$25*'TR TUSD'!$AJ$60</f>
        <v>0</v>
      </c>
      <c r="AK25" s="13">
        <f ca="1">'TR TUSD'!$AK$25*'TR TUSD'!$AK$60</f>
        <v>0</v>
      </c>
      <c r="AL25" s="13">
        <f ca="1">SUM($AH$25:$AK$25)</f>
        <v>29.25033688615024</v>
      </c>
      <c r="AM25" s="13">
        <f ca="1">SUMIF($L$4:$AL$4,"SUBTOTAL",$L$25:$AL$25)</f>
        <v>752.68038638225505</v>
      </c>
      <c r="AP25" s="13">
        <v>1</v>
      </c>
    </row>
    <row r="26" spans="1:42" ht="11.25" customHeight="1" x14ac:dyDescent="0.25">
      <c r="A26" s="109"/>
      <c r="B26" s="109"/>
      <c r="C26" s="109"/>
      <c r="D26" s="23" t="s">
        <v>29</v>
      </c>
      <c r="E26" s="23" t="s">
        <v>25</v>
      </c>
      <c r="F26" s="23" t="s">
        <v>25</v>
      </c>
      <c r="G26" s="24" t="s">
        <v>77</v>
      </c>
      <c r="H26" s="24" t="s">
        <v>73</v>
      </c>
      <c r="I26" s="24">
        <f>'MERCADO TUSD'!$U$23</f>
        <v>0</v>
      </c>
      <c r="J26" s="15"/>
      <c r="L26" s="13">
        <f>'TR TUSD'!$L$26*'TR TUSD'!$L$60</f>
        <v>0</v>
      </c>
      <c r="M26" s="13">
        <f>'TR TUSD'!$M$26*'TR TUSD'!$M$60</f>
        <v>2.1815818274485372</v>
      </c>
      <c r="N26" s="13">
        <f ca="1">'TR TUSD'!$N$26*'TR TUSD'!$N$60</f>
        <v>0</v>
      </c>
      <c r="O26" s="13">
        <f>'TR TUSD'!$O$26*'TR TUSD'!$O$60</f>
        <v>0</v>
      </c>
      <c r="P26" s="13">
        <f>'TR TUSD'!$P$26*'TR TUSD'!$P$60</f>
        <v>0</v>
      </c>
      <c r="Q26" s="13">
        <f>'TR TUSD'!$Q$26*'TR TUSD'!$Q$60</f>
        <v>0</v>
      </c>
      <c r="R26" s="13">
        <f>'TR TUSD'!$R$26*'TR TUSD'!$R$60</f>
        <v>0</v>
      </c>
      <c r="S26" s="13">
        <f>'TR TUSD'!$S$26*'TR TUSD'!$S$60</f>
        <v>0</v>
      </c>
      <c r="T26" s="13">
        <f ca="1">SUM($L$26:$S$26)</f>
        <v>2.1815818274485372</v>
      </c>
      <c r="U26" s="13">
        <f>'TR TUSD'!$U$26*'TR TUSD'!$U$60</f>
        <v>0</v>
      </c>
      <c r="V26" s="13">
        <f>'TR TUSD'!$V$26*'TR TUSD'!$V$60</f>
        <v>0</v>
      </c>
      <c r="W26" s="13">
        <f>'TR TUSD'!$W$26*'TR TUSD'!$W$60</f>
        <v>0</v>
      </c>
      <c r="X26" s="13">
        <f>'TR TUSD'!$X$26*'TR TUSD'!$X$60</f>
        <v>0</v>
      </c>
      <c r="Y26" s="13">
        <f>'TR TUSD'!$Y$26*'TR TUSD'!$Y$60</f>
        <v>138.08858925761038</v>
      </c>
      <c r="Z26" s="13">
        <f>'TR TUSD'!$Z$26</f>
        <v>0</v>
      </c>
      <c r="AA26" s="13">
        <f>'TR TUSD'!$AA$26</f>
        <v>0</v>
      </c>
      <c r="AB26" s="13">
        <f>SUM($U$26:$AA$26)</f>
        <v>138.08858925761038</v>
      </c>
      <c r="AC26" s="13">
        <f>'TR TUSD'!$AC$26*'TR TUSD'!$AC$60</f>
        <v>479.03356236884133</v>
      </c>
      <c r="AD26" s="13">
        <f>SUM($AC$26:$AC$26)</f>
        <v>479.03356236884133</v>
      </c>
      <c r="AE26" s="13">
        <v>0</v>
      </c>
      <c r="AF26" s="13">
        <v>0</v>
      </c>
      <c r="AG26" s="13">
        <f>SUM($AE$26:$AF$26)</f>
        <v>0</v>
      </c>
      <c r="AH26" s="13">
        <f>'TR TUSD'!$AH$26*'TR TUSD'!$AH$60</f>
        <v>28.258993065327477</v>
      </c>
      <c r="AI26" s="13">
        <f>'TR TUSD'!$AI$26*'TR TUSD'!$AI$60</f>
        <v>0.99134382082276284</v>
      </c>
      <c r="AJ26" s="13">
        <f ca="1">'TR TUSD'!$AJ$26*'TR TUSD'!$AJ$60</f>
        <v>0</v>
      </c>
      <c r="AK26" s="13">
        <f ca="1">'TR TUSD'!$AK$26*'TR TUSD'!$AK$60</f>
        <v>0</v>
      </c>
      <c r="AL26" s="13">
        <f ca="1">SUM($AH$26:$AK$26)</f>
        <v>29.25033688615024</v>
      </c>
      <c r="AM26" s="13">
        <f ca="1">SUMIF($L$4:$AL$4,"SUBTOTAL",$L$26:$AL$26)</f>
        <v>648.55407034005043</v>
      </c>
      <c r="AP26" s="13">
        <f>IF((1 - CUSTOS!$M$24)&lt;&gt;0,1/(1 - CUSTOS!$M$24),1)</f>
        <v>1</v>
      </c>
    </row>
    <row r="27" spans="1:42" ht="11.25" customHeight="1" x14ac:dyDescent="0.25">
      <c r="A27" s="109"/>
      <c r="B27" s="109"/>
      <c r="C27" s="109"/>
      <c r="D27" s="23" t="s">
        <v>30</v>
      </c>
      <c r="E27" s="23" t="s">
        <v>25</v>
      </c>
      <c r="F27" s="23" t="s">
        <v>25</v>
      </c>
      <c r="G27" s="24" t="s">
        <v>77</v>
      </c>
      <c r="H27" s="24" t="s">
        <v>73</v>
      </c>
      <c r="I27" s="24">
        <f>'MERCADO TUSD'!$U$24</f>
        <v>0</v>
      </c>
      <c r="J27" s="15"/>
      <c r="L27" s="13">
        <f>'TR TUSD'!$L$27*'TR TUSD'!$L$60</f>
        <v>0</v>
      </c>
      <c r="M27" s="13">
        <f>'TR TUSD'!$M$27*'TR TUSD'!$M$60</f>
        <v>2.1815818274485372</v>
      </c>
      <c r="N27" s="13">
        <f ca="1">'TR TUSD'!$N$27*'TR TUSD'!$N$60</f>
        <v>0</v>
      </c>
      <c r="O27" s="13">
        <f>'TR TUSD'!$O$27*'TR TUSD'!$O$60</f>
        <v>0</v>
      </c>
      <c r="P27" s="13">
        <f>'TR TUSD'!$P$27*'TR TUSD'!$P$60</f>
        <v>0</v>
      </c>
      <c r="Q27" s="13">
        <f>'TR TUSD'!$Q$27*'TR TUSD'!$Q$60</f>
        <v>0</v>
      </c>
      <c r="R27" s="13">
        <f>'TR TUSD'!$R$27*'TR TUSD'!$R$60</f>
        <v>0</v>
      </c>
      <c r="S27" s="13">
        <f>'TR TUSD'!$S$27*'TR TUSD'!$S$60</f>
        <v>0</v>
      </c>
      <c r="T27" s="13">
        <f ca="1">SUM($L$27:$S$27)</f>
        <v>2.1815818274485372</v>
      </c>
      <c r="U27" s="13">
        <f>'TR TUSD'!$U$27*'TR TUSD'!$U$60</f>
        <v>0</v>
      </c>
      <c r="V27" s="13">
        <f>'TR TUSD'!$V$27*'TR TUSD'!$V$60</f>
        <v>0</v>
      </c>
      <c r="W27" s="13">
        <f>'TR TUSD'!$W$27*'TR TUSD'!$W$60</f>
        <v>0</v>
      </c>
      <c r="X27" s="13">
        <f>'TR TUSD'!$X$27*'TR TUSD'!$X$60</f>
        <v>0</v>
      </c>
      <c r="Y27" s="13">
        <f>'TR TUSD'!$Y$27*'TR TUSD'!$Y$60</f>
        <v>138.08858925761038</v>
      </c>
      <c r="Z27" s="13">
        <f>'TR TUSD'!$Z$27</f>
        <v>0</v>
      </c>
      <c r="AA27" s="13">
        <f>'TR TUSD'!$AA$27</f>
        <v>0</v>
      </c>
      <c r="AB27" s="13">
        <f>SUM($U$27:$AA$27)</f>
        <v>138.08858925761038</v>
      </c>
      <c r="AC27" s="13">
        <f>'TR TUSD'!$AC$27*'TR TUSD'!$AC$60</f>
        <v>479.03356236884133</v>
      </c>
      <c r="AD27" s="13">
        <f>SUM($AC$27:$AC$27)</f>
        <v>479.03356236884133</v>
      </c>
      <c r="AE27" s="13">
        <v>0</v>
      </c>
      <c r="AF27" s="13">
        <v>0</v>
      </c>
      <c r="AG27" s="13">
        <f>SUM($AE$27:$AF$27)</f>
        <v>0</v>
      </c>
      <c r="AH27" s="13">
        <f>'TR TUSD'!$AH$27*'TR TUSD'!$AH$60</f>
        <v>28.258993065327477</v>
      </c>
      <c r="AI27" s="13">
        <f>'TR TUSD'!$AI$27*'TR TUSD'!$AI$60</f>
        <v>0.99134382082276284</v>
      </c>
      <c r="AJ27" s="13">
        <f ca="1">'TR TUSD'!$AJ$27*'TR TUSD'!$AJ$60</f>
        <v>0</v>
      </c>
      <c r="AK27" s="13">
        <f ca="1">'TR TUSD'!$AK$27*'TR TUSD'!$AK$60</f>
        <v>0</v>
      </c>
      <c r="AL27" s="13">
        <f ca="1">SUM($AH$27:$AK$27)</f>
        <v>29.25033688615024</v>
      </c>
      <c r="AM27" s="13">
        <f ca="1">SUMIF($L$4:$AL$4,"SUBTOTAL",$L$27:$AL$27)</f>
        <v>648.55407034005043</v>
      </c>
      <c r="AP27" s="13">
        <f>IF((1 - CUSTOS!$M$25)&lt;&gt;0,1/(1 - CUSTOS!$M$25),1)</f>
        <v>1</v>
      </c>
    </row>
    <row r="28" spans="1:42" ht="11.25" customHeight="1" x14ac:dyDescent="0.25">
      <c r="A28" s="109"/>
      <c r="B28" s="109"/>
      <c r="C28" s="109"/>
      <c r="D28" s="23" t="s">
        <v>31</v>
      </c>
      <c r="E28" s="23" t="s">
        <v>25</v>
      </c>
      <c r="F28" s="23" t="s">
        <v>25</v>
      </c>
      <c r="G28" s="24" t="s">
        <v>77</v>
      </c>
      <c r="H28" s="24" t="s">
        <v>73</v>
      </c>
      <c r="I28" s="24">
        <f>'MERCADO TUSD'!$U$25</f>
        <v>0</v>
      </c>
      <c r="J28" s="15"/>
      <c r="L28" s="13">
        <f>'TR TUSD'!$L$28*'TR TUSD'!$L$60</f>
        <v>0</v>
      </c>
      <c r="M28" s="13">
        <f>'TR TUSD'!$M$28*'TR TUSD'!$M$60</f>
        <v>2.1815818274485372</v>
      </c>
      <c r="N28" s="13">
        <f ca="1">'TR TUSD'!$N$28*'TR TUSD'!$N$60</f>
        <v>0</v>
      </c>
      <c r="O28" s="13">
        <f>'TR TUSD'!$O$28*'TR TUSD'!$O$60</f>
        <v>0</v>
      </c>
      <c r="P28" s="13">
        <f>'TR TUSD'!$P$28*'TR TUSD'!$P$60</f>
        <v>0</v>
      </c>
      <c r="Q28" s="13">
        <f>'TR TUSD'!$Q$28*'TR TUSD'!$Q$60</f>
        <v>0</v>
      </c>
      <c r="R28" s="13">
        <f>'TR TUSD'!$R$28*'TR TUSD'!$R$60</f>
        <v>0</v>
      </c>
      <c r="S28" s="13">
        <f>'TR TUSD'!$S$28*'TR TUSD'!$S$60</f>
        <v>0</v>
      </c>
      <c r="T28" s="13">
        <f ca="1">SUM($L$28:$S$28)</f>
        <v>2.1815818274485372</v>
      </c>
      <c r="U28" s="13">
        <f>'TR TUSD'!$U$28*'TR TUSD'!$U$60</f>
        <v>0</v>
      </c>
      <c r="V28" s="13">
        <f>'TR TUSD'!$V$28*'TR TUSD'!$V$60</f>
        <v>0</v>
      </c>
      <c r="W28" s="13">
        <f>'TR TUSD'!$W$28*'TR TUSD'!$W$60</f>
        <v>0</v>
      </c>
      <c r="X28" s="13">
        <f>'TR TUSD'!$X$28*'TR TUSD'!$X$60</f>
        <v>0</v>
      </c>
      <c r="Y28" s="13">
        <f>'TR TUSD'!$Y$28*'TR TUSD'!$Y$60</f>
        <v>138.08858925761038</v>
      </c>
      <c r="Z28" s="13">
        <f>'TR TUSD'!$Z$28</f>
        <v>0</v>
      </c>
      <c r="AA28" s="13">
        <f>'TR TUSD'!$AA$28</f>
        <v>0</v>
      </c>
      <c r="AB28" s="13">
        <f>SUM($U$28:$AA$28)</f>
        <v>138.08858925761038</v>
      </c>
      <c r="AC28" s="13">
        <f>'TR TUSD'!$AC$28*'TR TUSD'!$AC$60</f>
        <v>479.03356236884133</v>
      </c>
      <c r="AD28" s="13">
        <f>SUM($AC$28:$AC$28)</f>
        <v>479.03356236884133</v>
      </c>
      <c r="AE28" s="13">
        <v>0</v>
      </c>
      <c r="AF28" s="13">
        <v>0</v>
      </c>
      <c r="AG28" s="13">
        <f>SUM($AE$28:$AF$28)</f>
        <v>0</v>
      </c>
      <c r="AH28" s="13">
        <f>'TR TUSD'!$AH$28*'TR TUSD'!$AH$60</f>
        <v>28.258993065327477</v>
      </c>
      <c r="AI28" s="13">
        <f>'TR TUSD'!$AI$28*'TR TUSD'!$AI$60</f>
        <v>0.99134382082276284</v>
      </c>
      <c r="AJ28" s="13">
        <f ca="1">'TR TUSD'!$AJ$28*'TR TUSD'!$AJ$60</f>
        <v>0</v>
      </c>
      <c r="AK28" s="13">
        <f ca="1">'TR TUSD'!$AK$28*'TR TUSD'!$AK$60</f>
        <v>0</v>
      </c>
      <c r="AL28" s="13">
        <f ca="1">SUM($AH$28:$AK$28)</f>
        <v>29.25033688615024</v>
      </c>
      <c r="AM28" s="13">
        <f ca="1">SUMIF($L$4:$AL$4,"SUBTOTAL",$L$28:$AL$28)</f>
        <v>648.55407034005043</v>
      </c>
      <c r="AP28" s="13">
        <f>IF((1 - CUSTOS!$M$26)&lt;&gt;0,1/(1 - CUSTOS!$M$26),1)</f>
        <v>1</v>
      </c>
    </row>
    <row r="29" spans="1:42" ht="11.25" customHeight="1" x14ac:dyDescent="0.25">
      <c r="A29" s="109"/>
      <c r="B29" s="109"/>
      <c r="C29" s="109"/>
      <c r="D29" s="23" t="s">
        <v>32</v>
      </c>
      <c r="E29" s="23" t="s">
        <v>25</v>
      </c>
      <c r="F29" s="23" t="s">
        <v>25</v>
      </c>
      <c r="G29" s="24" t="s">
        <v>77</v>
      </c>
      <c r="H29" s="24" t="s">
        <v>73</v>
      </c>
      <c r="I29" s="24">
        <f>'MERCADO TUSD'!$U$26</f>
        <v>0</v>
      </c>
      <c r="J29" s="15"/>
      <c r="L29" s="13">
        <f>'TR TUSD'!$L$29*'TR TUSD'!$L$60</f>
        <v>0</v>
      </c>
      <c r="M29" s="13">
        <f>'TR TUSD'!$M$29*'TR TUSD'!$M$60</f>
        <v>2.1815818274485372</v>
      </c>
      <c r="N29" s="13">
        <f ca="1">'TR TUSD'!$N$29*'TR TUSD'!$N$60</f>
        <v>0</v>
      </c>
      <c r="O29" s="13">
        <f>'TR TUSD'!$O$29*'TR TUSD'!$O$60</f>
        <v>0</v>
      </c>
      <c r="P29" s="13">
        <f>'TR TUSD'!$P$29*'TR TUSD'!$P$60</f>
        <v>0</v>
      </c>
      <c r="Q29" s="13">
        <f>'TR TUSD'!$Q$29*'TR TUSD'!$Q$60</f>
        <v>0</v>
      </c>
      <c r="R29" s="13">
        <f>'TR TUSD'!$R$29*'TR TUSD'!$R$60</f>
        <v>0</v>
      </c>
      <c r="S29" s="13">
        <f>'TR TUSD'!$S$29*'TR TUSD'!$S$60</f>
        <v>0</v>
      </c>
      <c r="T29" s="13">
        <f ca="1">SUM($L$29:$S$29)</f>
        <v>2.1815818274485372</v>
      </c>
      <c r="U29" s="13">
        <f>'TR TUSD'!$U$29*'TR TUSD'!$U$60</f>
        <v>0</v>
      </c>
      <c r="V29" s="13">
        <f>'TR TUSD'!$V$29*'TR TUSD'!$V$60</f>
        <v>0</v>
      </c>
      <c r="W29" s="13">
        <f>'TR TUSD'!$W$29*'TR TUSD'!$W$60</f>
        <v>0</v>
      </c>
      <c r="X29" s="13">
        <f>'TR TUSD'!$X$29*'TR TUSD'!$X$60</f>
        <v>0</v>
      </c>
      <c r="Y29" s="13">
        <f>'TR TUSD'!$Y$29*'TR TUSD'!$Y$60</f>
        <v>138.08858925761038</v>
      </c>
      <c r="Z29" s="13">
        <f>'TR TUSD'!$Z$29</f>
        <v>0</v>
      </c>
      <c r="AA29" s="13">
        <f>'TR TUSD'!$AA$29</f>
        <v>0</v>
      </c>
      <c r="AB29" s="13">
        <f>SUM($U$29:$AA$29)</f>
        <v>138.08858925761038</v>
      </c>
      <c r="AC29" s="13">
        <f>'TR TUSD'!$AC$29*'TR TUSD'!$AC$60</f>
        <v>479.03356236884133</v>
      </c>
      <c r="AD29" s="13">
        <f>SUM($AC$29:$AC$29)</f>
        <v>479.03356236884133</v>
      </c>
      <c r="AE29" s="13">
        <v>0</v>
      </c>
      <c r="AF29" s="13">
        <v>0</v>
      </c>
      <c r="AG29" s="13">
        <f>SUM($AE$29:$AF$29)</f>
        <v>0</v>
      </c>
      <c r="AH29" s="13">
        <f>'TR TUSD'!$AH$29*'TR TUSD'!$AH$60</f>
        <v>28.258993065327477</v>
      </c>
      <c r="AI29" s="13">
        <f>'TR TUSD'!$AI$29*'TR TUSD'!$AI$60</f>
        <v>0.99134382082276284</v>
      </c>
      <c r="AJ29" s="13">
        <f ca="1">'TR TUSD'!$AJ$29*'TR TUSD'!$AJ$60</f>
        <v>0</v>
      </c>
      <c r="AK29" s="13">
        <f ca="1">'TR TUSD'!$AK$29*'TR TUSD'!$AK$60</f>
        <v>0</v>
      </c>
      <c r="AL29" s="13">
        <f ca="1">SUM($AH$29:$AK$29)</f>
        <v>29.25033688615024</v>
      </c>
      <c r="AM29" s="13">
        <f ca="1">SUMIF($L$4:$AL$4,"SUBTOTAL",$L$29:$AL$29)</f>
        <v>648.55407034005043</v>
      </c>
      <c r="AP29" s="13">
        <f>IF((1 - CUSTOS!$M$27)&lt;&gt;0,1/(1 - CUSTOS!$M$27),1)</f>
        <v>1</v>
      </c>
    </row>
    <row r="30" spans="1:42" ht="11.25" customHeight="1" x14ac:dyDescent="0.25">
      <c r="A30" s="109" t="s">
        <v>41</v>
      </c>
      <c r="B30" s="109" t="s">
        <v>86</v>
      </c>
      <c r="C30" s="109" t="s">
        <v>42</v>
      </c>
      <c r="D30" s="109" t="s">
        <v>25</v>
      </c>
      <c r="E30" s="109" t="s">
        <v>25</v>
      </c>
      <c r="F30" s="109" t="s">
        <v>25</v>
      </c>
      <c r="G30" s="24" t="s">
        <v>74</v>
      </c>
      <c r="H30" s="24" t="s">
        <v>73</v>
      </c>
      <c r="I30" s="24">
        <f>'MERCADO TUSD'!$U$27</f>
        <v>0</v>
      </c>
      <c r="J30" s="15"/>
      <c r="L30" s="13">
        <f>'TR TUSD'!$L$30*'TR TUSD'!$L$60</f>
        <v>0</v>
      </c>
      <c r="M30" s="13">
        <f>'TR TUSD'!$M$30*'TR TUSD'!$M$60</f>
        <v>2.1815818274485372</v>
      </c>
      <c r="N30" s="13">
        <f ca="1">'TR TUSD'!$N$30*'TR TUSD'!$N$60</f>
        <v>0</v>
      </c>
      <c r="O30" s="13">
        <f>'TR TUSD'!$O$30*'TR TUSD'!$O$60</f>
        <v>0</v>
      </c>
      <c r="P30" s="13">
        <f>'TR TUSD'!$P$30*'TR TUSD'!$P$60</f>
        <v>0</v>
      </c>
      <c r="Q30" s="13">
        <f>'TR TUSD'!$Q$30*'TR TUSD'!$Q$60</f>
        <v>89.915749199252758</v>
      </c>
      <c r="R30" s="13">
        <f>'TR TUSD'!$R$30*'TR TUSD'!$R$60</f>
        <v>14.2105668429519</v>
      </c>
      <c r="S30" s="13">
        <f>'TR TUSD'!$S$30*'TR TUSD'!$S$60</f>
        <v>0</v>
      </c>
      <c r="T30" s="13">
        <f ca="1">SUM($L$30:$S$30)</f>
        <v>106.3078978696532</v>
      </c>
      <c r="U30" s="13">
        <f>'TR TUSD'!$U$30*'TR TUSD'!$U$60</f>
        <v>0</v>
      </c>
      <c r="V30" s="13">
        <f>'TR TUSD'!$V$30*'TR TUSD'!$V$60</f>
        <v>0</v>
      </c>
      <c r="W30" s="13">
        <f>'TR TUSD'!$W$30*'TR TUSD'!$W$60</f>
        <v>0</v>
      </c>
      <c r="X30" s="13">
        <f>'TR TUSD'!$X$30*'TR TUSD'!$X$60</f>
        <v>0</v>
      </c>
      <c r="Y30" s="13">
        <f>'TR TUSD'!$Y$30*'TR TUSD'!$Y$60</f>
        <v>375.60087437323727</v>
      </c>
      <c r="Z30" s="13">
        <f>'TR TUSD'!$Z$30</f>
        <v>0</v>
      </c>
      <c r="AA30" s="13">
        <f>'TR TUSD'!$AA$30</f>
        <v>0</v>
      </c>
      <c r="AB30" s="13">
        <f>SUM($U$30:$AA$30)</f>
        <v>375.60087437323727</v>
      </c>
      <c r="AC30" s="13">
        <f>'TR TUSD'!$AC$30*'TR TUSD'!$AC$60</f>
        <v>1302.9712222183382</v>
      </c>
      <c r="AD30" s="13">
        <f>SUM($AC$30:$AC$30)</f>
        <v>1302.9712222183382</v>
      </c>
      <c r="AE30" s="13">
        <v>0</v>
      </c>
      <c r="AF30" s="13">
        <v>0</v>
      </c>
      <c r="AG30" s="13">
        <f>SUM($AE$30:$AF$30)</f>
        <v>0</v>
      </c>
      <c r="AH30" s="13">
        <f>'TR TUSD'!$AH$30*'TR TUSD'!$AH$60</f>
        <v>28.258993065327477</v>
      </c>
      <c r="AI30" s="13">
        <f>'TR TUSD'!$AI$30*'TR TUSD'!$AI$60</f>
        <v>0.99134382082276284</v>
      </c>
      <c r="AJ30" s="13">
        <f ca="1">'TR TUSD'!$AJ$30*'TR TUSD'!$AJ$60</f>
        <v>0</v>
      </c>
      <c r="AK30" s="13">
        <f ca="1">'TR TUSD'!$AK$30*'TR TUSD'!$AK$60</f>
        <v>0</v>
      </c>
      <c r="AL30" s="13">
        <f ca="1">SUM($AH$30:$AK$30)</f>
        <v>29.25033688615024</v>
      </c>
      <c r="AM30" s="13">
        <f ca="1">SUMIF($L$4:$AL$4,"SUBTOTAL",$L$30:$AL$30)</f>
        <v>1814.1303313473791</v>
      </c>
      <c r="AP30" s="13">
        <f>IF((1 - CUSTOS!$M$28)&lt;&gt;0,1/(1 - CUSTOS!$M$28),1)</f>
        <v>1</v>
      </c>
    </row>
    <row r="31" spans="1:42" ht="11.25" customHeight="1" x14ac:dyDescent="0.25">
      <c r="A31" s="109"/>
      <c r="B31" s="109"/>
      <c r="C31" s="109"/>
      <c r="D31" s="109"/>
      <c r="E31" s="109"/>
      <c r="F31" s="109"/>
      <c r="G31" s="24" t="s">
        <v>85</v>
      </c>
      <c r="H31" s="24" t="s">
        <v>73</v>
      </c>
      <c r="I31" s="24">
        <f>'MERCADO TUSD'!$U$28</f>
        <v>0</v>
      </c>
      <c r="J31" s="15"/>
      <c r="L31" s="13">
        <f>'TR TUSD'!$L$31*'TR TUSD'!$L$60</f>
        <v>0</v>
      </c>
      <c r="M31" s="13">
        <f>'TR TUSD'!$M$31*'TR TUSD'!$M$60</f>
        <v>2.1815818274485372</v>
      </c>
      <c r="N31" s="13">
        <f ca="1">'TR TUSD'!$N$31*'TR TUSD'!$N$60</f>
        <v>0</v>
      </c>
      <c r="O31" s="13">
        <f>'TR TUSD'!$O$31*'TR TUSD'!$O$60</f>
        <v>0</v>
      </c>
      <c r="P31" s="13">
        <f>'TR TUSD'!$P$31*'TR TUSD'!$P$60</f>
        <v>0</v>
      </c>
      <c r="Q31" s="13">
        <f>'TR TUSD'!$Q$31*'TR TUSD'!$Q$60</f>
        <v>89.915749199252758</v>
      </c>
      <c r="R31" s="13">
        <f>'TR TUSD'!$R$31*'TR TUSD'!$R$60</f>
        <v>14.2105668429519</v>
      </c>
      <c r="S31" s="13">
        <f>'TR TUSD'!$S$31*'TR TUSD'!$S$60</f>
        <v>0</v>
      </c>
      <c r="T31" s="13">
        <f ca="1">SUM($L$31:$S$31)</f>
        <v>106.3078978696532</v>
      </c>
      <c r="U31" s="13">
        <f>'TR TUSD'!$U$31*'TR TUSD'!$U$60</f>
        <v>0</v>
      </c>
      <c r="V31" s="13">
        <f>'TR TUSD'!$V$31*'TR TUSD'!$V$60</f>
        <v>0</v>
      </c>
      <c r="W31" s="13">
        <f>'TR TUSD'!$W$31*'TR TUSD'!$W$60</f>
        <v>0</v>
      </c>
      <c r="X31" s="13">
        <f>'TR TUSD'!$X$31*'TR TUSD'!$X$60</f>
        <v>0</v>
      </c>
      <c r="Y31" s="13">
        <f>'TR TUSD'!$Y$31*'TR TUSD'!$Y$60</f>
        <v>187.80043718661864</v>
      </c>
      <c r="Z31" s="13">
        <f>'TR TUSD'!$Z$31</f>
        <v>0</v>
      </c>
      <c r="AA31" s="13">
        <f>'TR TUSD'!$AA$31</f>
        <v>0</v>
      </c>
      <c r="AB31" s="13">
        <f>SUM($U$31:$AA$31)</f>
        <v>187.80043718661864</v>
      </c>
      <c r="AC31" s="13">
        <f>'TR TUSD'!$AC$31*'TR TUSD'!$AC$60</f>
        <v>651.48566068630907</v>
      </c>
      <c r="AD31" s="13">
        <f>SUM($AC$31:$AC$31)</f>
        <v>651.48566068630907</v>
      </c>
      <c r="AE31" s="13">
        <v>0</v>
      </c>
      <c r="AF31" s="13">
        <v>0</v>
      </c>
      <c r="AG31" s="13">
        <f>SUM($AE$31:$AF$31)</f>
        <v>0</v>
      </c>
      <c r="AH31" s="13">
        <f>'TR TUSD'!$AH$31*'TR TUSD'!$AH$60</f>
        <v>28.258993065327477</v>
      </c>
      <c r="AI31" s="13">
        <f>'TR TUSD'!$AI$31*'TR TUSD'!$AI$60</f>
        <v>0.99134382082276284</v>
      </c>
      <c r="AJ31" s="13">
        <f ca="1">'TR TUSD'!$AJ$31*'TR TUSD'!$AJ$60</f>
        <v>0</v>
      </c>
      <c r="AK31" s="13">
        <f ca="1">'TR TUSD'!$AK$31*'TR TUSD'!$AK$60</f>
        <v>0</v>
      </c>
      <c r="AL31" s="13">
        <f ca="1">SUM($AH$31:$AK$31)</f>
        <v>29.25033688615024</v>
      </c>
      <c r="AM31" s="13">
        <f ca="1">SUMIF($L$4:$AL$4,"SUBTOTAL",$L$31:$AL$31)</f>
        <v>974.84433262873108</v>
      </c>
      <c r="AP31" s="13">
        <f>IF((1 - CUSTOS!$M$28)&lt;&gt;0,1/(1 - CUSTOS!$M$28),1)</f>
        <v>1</v>
      </c>
    </row>
    <row r="32" spans="1:42" ht="11.25" customHeight="1" x14ac:dyDescent="0.25">
      <c r="A32" s="109"/>
      <c r="B32" s="109"/>
      <c r="C32" s="109"/>
      <c r="D32" s="109"/>
      <c r="E32" s="109"/>
      <c r="F32" s="109"/>
      <c r="G32" s="24" t="s">
        <v>75</v>
      </c>
      <c r="H32" s="24" t="s">
        <v>73</v>
      </c>
      <c r="I32" s="24">
        <f>'MERCADO TUSD'!$U$29</f>
        <v>0</v>
      </c>
      <c r="J32" s="15"/>
      <c r="L32" s="13">
        <f>'TR TUSD'!$L$32*'TR TUSD'!$L$60</f>
        <v>0</v>
      </c>
      <c r="M32" s="13">
        <f>'TR TUSD'!$M$32*'TR TUSD'!$M$60</f>
        <v>2.1815818274485372</v>
      </c>
      <c r="N32" s="13">
        <f ca="1">'TR TUSD'!$N$32*'TR TUSD'!$N$60</f>
        <v>0</v>
      </c>
      <c r="O32" s="13">
        <f>'TR TUSD'!$O$32*'TR TUSD'!$O$60</f>
        <v>0</v>
      </c>
      <c r="P32" s="13">
        <f>'TR TUSD'!$P$32*'TR TUSD'!$P$60</f>
        <v>0</v>
      </c>
      <c r="Q32" s="13">
        <f>'TR TUSD'!$Q$32*'TR TUSD'!$Q$60</f>
        <v>89.915749199252758</v>
      </c>
      <c r="R32" s="13">
        <f>'TR TUSD'!$R$32*'TR TUSD'!$R$60</f>
        <v>14.2105668429519</v>
      </c>
      <c r="S32" s="13">
        <f>'TR TUSD'!$S$32*'TR TUSD'!$S$60</f>
        <v>0</v>
      </c>
      <c r="T32" s="13">
        <f ca="1">SUM($L$32:$S$32)</f>
        <v>106.3078978696532</v>
      </c>
      <c r="U32" s="13">
        <f>'TR TUSD'!$U$32*'TR TUSD'!$U$60</f>
        <v>0</v>
      </c>
      <c r="V32" s="13">
        <f>'TR TUSD'!$V$32*'TR TUSD'!$V$60</f>
        <v>0</v>
      </c>
      <c r="W32" s="13">
        <f>'TR TUSD'!$W$32*'TR TUSD'!$W$60</f>
        <v>0</v>
      </c>
      <c r="X32" s="13">
        <f>'TR TUSD'!$X$32*'TR TUSD'!$X$60</f>
        <v>0</v>
      </c>
      <c r="Y32" s="13">
        <f>'TR TUSD'!$Y$32*'TR TUSD'!$Y$60</f>
        <v>93.900218593309319</v>
      </c>
      <c r="Z32" s="13">
        <f>'TR TUSD'!$Z$32</f>
        <v>0</v>
      </c>
      <c r="AA32" s="13">
        <f>'TR TUSD'!$AA$32</f>
        <v>0</v>
      </c>
      <c r="AB32" s="13">
        <f>SUM($U$32:$AA$32)</f>
        <v>93.900218593309319</v>
      </c>
      <c r="AC32" s="13">
        <f>'TR TUSD'!$AC$32*'TR TUSD'!$AC$60</f>
        <v>325.74283034315454</v>
      </c>
      <c r="AD32" s="13">
        <f>SUM($AC$32:$AC$32)</f>
        <v>325.74283034315454</v>
      </c>
      <c r="AE32" s="13">
        <v>0</v>
      </c>
      <c r="AF32" s="13">
        <v>0</v>
      </c>
      <c r="AG32" s="13">
        <f>SUM($AE$32:$AF$32)</f>
        <v>0</v>
      </c>
      <c r="AH32" s="13">
        <f>'TR TUSD'!$AH$32*'TR TUSD'!$AH$60</f>
        <v>28.258993065327477</v>
      </c>
      <c r="AI32" s="13">
        <f>'TR TUSD'!$AI$32*'TR TUSD'!$AI$60</f>
        <v>0.99134382082276284</v>
      </c>
      <c r="AJ32" s="13">
        <f ca="1">'TR TUSD'!$AJ$32*'TR TUSD'!$AJ$60</f>
        <v>0</v>
      </c>
      <c r="AK32" s="13">
        <f ca="1">'TR TUSD'!$AK$32*'TR TUSD'!$AK$60</f>
        <v>0</v>
      </c>
      <c r="AL32" s="13">
        <f ca="1">SUM($AH$32:$AK$32)</f>
        <v>29.25033688615024</v>
      </c>
      <c r="AM32" s="13">
        <f ca="1">SUMIF($L$4:$AL$4,"SUBTOTAL",$L$32:$AL$32)</f>
        <v>555.20128369226722</v>
      </c>
      <c r="AP32" s="13">
        <f>IF((1 - CUSTOS!$M$28)&lt;&gt;0,1/(1 - CUSTOS!$M$28),1)</f>
        <v>1</v>
      </c>
    </row>
    <row r="33" spans="1:42" ht="11.25" customHeight="1" x14ac:dyDescent="0.25">
      <c r="A33" s="109"/>
      <c r="B33" s="23" t="s">
        <v>23</v>
      </c>
      <c r="C33" s="23" t="s">
        <v>42</v>
      </c>
      <c r="D33" s="23" t="s">
        <v>25</v>
      </c>
      <c r="E33" s="23" t="s">
        <v>25</v>
      </c>
      <c r="F33" s="23" t="s">
        <v>25</v>
      </c>
      <c r="G33" s="24" t="s">
        <v>77</v>
      </c>
      <c r="H33" s="24" t="s">
        <v>73</v>
      </c>
      <c r="I33" s="24">
        <f>'MERCADO TUSD'!$U$30</f>
        <v>21333.253999999997</v>
      </c>
      <c r="J33" s="15"/>
      <c r="L33" s="13">
        <f>'TR TUSD'!$L$33*'TR TUSD'!$L$60</f>
        <v>0</v>
      </c>
      <c r="M33" s="13">
        <f>'TR TUSD'!$M$33*'TR TUSD'!$M$60</f>
        <v>2.1815818274485372</v>
      </c>
      <c r="N33" s="13">
        <f ca="1">'TR TUSD'!$N$33*'TR TUSD'!$N$60</f>
        <v>0</v>
      </c>
      <c r="O33" s="13">
        <f>'TR TUSD'!$O$33*'TR TUSD'!$O$60</f>
        <v>0</v>
      </c>
      <c r="P33" s="13">
        <f>'TR TUSD'!$P$33*'TR TUSD'!$P$60</f>
        <v>0</v>
      </c>
      <c r="Q33" s="13">
        <f>'TR TUSD'!$Q$33*'TR TUSD'!$Q$60</f>
        <v>89.915749199252758</v>
      </c>
      <c r="R33" s="13">
        <f>'TR TUSD'!$R$33*'TR TUSD'!$R$60</f>
        <v>14.2105668429519</v>
      </c>
      <c r="S33" s="13">
        <f>'TR TUSD'!$S$33*'TR TUSD'!$S$60</f>
        <v>0</v>
      </c>
      <c r="T33" s="13">
        <f ca="1">SUM($L$33:$S$33)</f>
        <v>106.3078978696532</v>
      </c>
      <c r="U33" s="13">
        <f>'TR TUSD'!$U$33*'TR TUSD'!$U$60</f>
        <v>0</v>
      </c>
      <c r="V33" s="13">
        <f>'TR TUSD'!$V$33*'TR TUSD'!$V$60</f>
        <v>0</v>
      </c>
      <c r="W33" s="13">
        <f>'TR TUSD'!$W$33*'TR TUSD'!$W$60</f>
        <v>0</v>
      </c>
      <c r="X33" s="13">
        <f>'TR TUSD'!$X$33*'TR TUSD'!$X$60</f>
        <v>0</v>
      </c>
      <c r="Y33" s="13">
        <f>'TR TUSD'!$Y$33*'TR TUSD'!$Y$60</f>
        <v>138.08858925761038</v>
      </c>
      <c r="Z33" s="13">
        <f>'TR TUSD'!$Z$33</f>
        <v>0</v>
      </c>
      <c r="AA33" s="13">
        <f>'TR TUSD'!$AA$33</f>
        <v>0</v>
      </c>
      <c r="AB33" s="13">
        <f>SUM($U$33:$AA$33)</f>
        <v>138.08858925761038</v>
      </c>
      <c r="AC33" s="13">
        <f>'TR TUSD'!$AC$33*'TR TUSD'!$AC$60</f>
        <v>479.03356236884133</v>
      </c>
      <c r="AD33" s="13">
        <f>SUM($AC$33:$AC$33)</f>
        <v>479.03356236884133</v>
      </c>
      <c r="AE33" s="13">
        <v>0</v>
      </c>
      <c r="AF33" s="13">
        <v>0</v>
      </c>
      <c r="AG33" s="13">
        <f>SUM($AE$33:$AF$33)</f>
        <v>0</v>
      </c>
      <c r="AH33" s="13">
        <f>'TR TUSD'!$AH$33*'TR TUSD'!$AH$60</f>
        <v>28.258993065327477</v>
      </c>
      <c r="AI33" s="13">
        <f>'TR TUSD'!$AI$33*'TR TUSD'!$AI$60</f>
        <v>0.99134382082276284</v>
      </c>
      <c r="AJ33" s="13">
        <f ca="1">'TR TUSD'!$AJ$33*'TR TUSD'!$AJ$60</f>
        <v>0</v>
      </c>
      <c r="AK33" s="13">
        <f ca="1">'TR TUSD'!$AK$33*'TR TUSD'!$AK$60</f>
        <v>0</v>
      </c>
      <c r="AL33" s="13">
        <f ca="1">SUM($AH$33:$AK$33)</f>
        <v>29.25033688615024</v>
      </c>
      <c r="AM33" s="13">
        <f ca="1">SUMIF($L$4:$AL$4,"SUBTOTAL",$L$33:$AL$33)</f>
        <v>752.68038638225505</v>
      </c>
      <c r="AP33" s="13">
        <f>IF((1 - CUSTOS!$M$28)&lt;&gt;0,1/(1 - CUSTOS!$M$28),1)</f>
        <v>1</v>
      </c>
    </row>
    <row r="34" spans="1:42" ht="11.25" customHeight="1" x14ac:dyDescent="0.25">
      <c r="A34" s="109"/>
      <c r="B34" s="109" t="s">
        <v>86</v>
      </c>
      <c r="C34" s="109" t="s">
        <v>42</v>
      </c>
      <c r="D34" s="109" t="s">
        <v>89</v>
      </c>
      <c r="E34" s="109" t="s">
        <v>25</v>
      </c>
      <c r="F34" s="109" t="s">
        <v>25</v>
      </c>
      <c r="G34" s="24" t="s">
        <v>74</v>
      </c>
      <c r="H34" s="24" t="s">
        <v>73</v>
      </c>
      <c r="I34" s="24">
        <f>'MERCADO TUSD'!$U$31</f>
        <v>0</v>
      </c>
      <c r="J34" s="15"/>
      <c r="L34" s="13">
        <f>'TR TUSD'!$L$34*'TR TUSD'!$L$60</f>
        <v>0</v>
      </c>
      <c r="M34" s="13">
        <f>'TR TUSD'!$M$34*'TR TUSD'!$M$60</f>
        <v>2.1815818274485372</v>
      </c>
      <c r="N34" s="13">
        <f ca="1">'TR TUSD'!$N$34*'TR TUSD'!$N$60</f>
        <v>0</v>
      </c>
      <c r="O34" s="13">
        <f>'TR TUSD'!$O$34*'TR TUSD'!$O$60</f>
        <v>0</v>
      </c>
      <c r="P34" s="13">
        <f>'TR TUSD'!$P$34*'TR TUSD'!$P$60</f>
        <v>0</v>
      </c>
      <c r="Q34" s="13">
        <f>'TR TUSD'!$Q$34*'TR TUSD'!$Q$60</f>
        <v>89.915749199252758</v>
      </c>
      <c r="R34" s="13">
        <f>'TR TUSD'!$R$34*'TR TUSD'!$R$60</f>
        <v>14.2105668429519</v>
      </c>
      <c r="S34" s="13">
        <f>'TR TUSD'!$S$34*'TR TUSD'!$S$60</f>
        <v>0</v>
      </c>
      <c r="T34" s="13">
        <f ca="1">SUM($L$34:$S$34)</f>
        <v>106.3078978696532</v>
      </c>
      <c r="U34" s="13">
        <f>'TR TUSD'!$U$34*'TR TUSD'!$U$60</f>
        <v>0</v>
      </c>
      <c r="V34" s="13">
        <f>'TR TUSD'!$V$34*'TR TUSD'!$V$60</f>
        <v>0</v>
      </c>
      <c r="W34" s="13">
        <f>'TR TUSD'!$W$34*'TR TUSD'!$W$60</f>
        <v>0</v>
      </c>
      <c r="X34" s="13">
        <f>'TR TUSD'!$X$34*'TR TUSD'!$X$60</f>
        <v>0</v>
      </c>
      <c r="Y34" s="13">
        <f>'TR TUSD'!$Y$34*'TR TUSD'!$Y$60</f>
        <v>375.60087437323727</v>
      </c>
      <c r="Z34" s="13">
        <f>'TR TUSD'!$Z$34</f>
        <v>0</v>
      </c>
      <c r="AA34" s="13">
        <f>'TR TUSD'!$AA$34</f>
        <v>0</v>
      </c>
      <c r="AB34" s="13">
        <f>SUM($U$34:$AA$34)</f>
        <v>375.60087437323727</v>
      </c>
      <c r="AC34" s="13">
        <f>'TR TUSD'!$AC$34*'TR TUSD'!$AC$60</f>
        <v>1302.9712222183382</v>
      </c>
      <c r="AD34" s="13">
        <f>SUM($AC$34:$AC$34)</f>
        <v>1302.9712222183382</v>
      </c>
      <c r="AE34" s="13">
        <v>0</v>
      </c>
      <c r="AF34" s="13">
        <v>0</v>
      </c>
      <c r="AG34" s="13">
        <f>SUM($AE$34:$AF$34)</f>
        <v>0</v>
      </c>
      <c r="AH34" s="13">
        <f>'TR TUSD'!$AH$34*'TR TUSD'!$AH$60</f>
        <v>28.258993065327477</v>
      </c>
      <c r="AI34" s="13">
        <f>'TR TUSD'!$AI$34*'TR TUSD'!$AI$60</f>
        <v>0.99134382082276284</v>
      </c>
      <c r="AJ34" s="13">
        <f ca="1">'TR TUSD'!$AJ$34*'TR TUSD'!$AJ$60</f>
        <v>0</v>
      </c>
      <c r="AK34" s="13">
        <f ca="1">'TR TUSD'!$AK$34*'TR TUSD'!$AK$60</f>
        <v>0</v>
      </c>
      <c r="AL34" s="13">
        <f ca="1">SUM($AH$34:$AK$34)</f>
        <v>29.25033688615024</v>
      </c>
      <c r="AM34" s="13">
        <f ca="1">SUMIF($L$4:$AL$4,"SUBTOTAL",$L$34:$AL$34)</f>
        <v>1814.1303313473791</v>
      </c>
      <c r="AP34" s="13">
        <f>IF((1 - CUSTOS!$M$29)&lt;&gt;0,1/(1 - CUSTOS!$M$29),1)</f>
        <v>1</v>
      </c>
    </row>
    <row r="35" spans="1:42" ht="11.25" customHeight="1" x14ac:dyDescent="0.25">
      <c r="A35" s="109"/>
      <c r="B35" s="109"/>
      <c r="C35" s="109"/>
      <c r="D35" s="109"/>
      <c r="E35" s="109"/>
      <c r="F35" s="109"/>
      <c r="G35" s="24" t="s">
        <v>85</v>
      </c>
      <c r="H35" s="24" t="s">
        <v>73</v>
      </c>
      <c r="I35" s="24">
        <f>'MERCADO TUSD'!$U$32</f>
        <v>0</v>
      </c>
      <c r="J35" s="15"/>
      <c r="L35" s="13">
        <f>'TR TUSD'!$L$35*'TR TUSD'!$L$60</f>
        <v>0</v>
      </c>
      <c r="M35" s="13">
        <f>'TR TUSD'!$M$35*'TR TUSD'!$M$60</f>
        <v>2.1815818274485372</v>
      </c>
      <c r="N35" s="13">
        <f ca="1">'TR TUSD'!$N$35*'TR TUSD'!$N$60</f>
        <v>0</v>
      </c>
      <c r="O35" s="13">
        <f>'TR TUSD'!$O$35*'TR TUSD'!$O$60</f>
        <v>0</v>
      </c>
      <c r="P35" s="13">
        <f>'TR TUSD'!$P$35*'TR TUSD'!$P$60</f>
        <v>0</v>
      </c>
      <c r="Q35" s="13">
        <f>'TR TUSD'!$Q$35*'TR TUSD'!$Q$60</f>
        <v>89.915749199252758</v>
      </c>
      <c r="R35" s="13">
        <f>'TR TUSD'!$R$35*'TR TUSD'!$R$60</f>
        <v>14.2105668429519</v>
      </c>
      <c r="S35" s="13">
        <f>'TR TUSD'!$S$35*'TR TUSD'!$S$60</f>
        <v>0</v>
      </c>
      <c r="T35" s="13">
        <f ca="1">SUM($L$35:$S$35)</f>
        <v>106.3078978696532</v>
      </c>
      <c r="U35" s="13">
        <f>'TR TUSD'!$U$35*'TR TUSD'!$U$60</f>
        <v>0</v>
      </c>
      <c r="V35" s="13">
        <f>'TR TUSD'!$V$35*'TR TUSD'!$V$60</f>
        <v>0</v>
      </c>
      <c r="W35" s="13">
        <f>'TR TUSD'!$W$35*'TR TUSD'!$W$60</f>
        <v>0</v>
      </c>
      <c r="X35" s="13">
        <f>'TR TUSD'!$X$35*'TR TUSD'!$X$60</f>
        <v>0</v>
      </c>
      <c r="Y35" s="13">
        <f>'TR TUSD'!$Y$35*'TR TUSD'!$Y$60</f>
        <v>187.80043718661864</v>
      </c>
      <c r="Z35" s="13">
        <f>'TR TUSD'!$Z$35</f>
        <v>0</v>
      </c>
      <c r="AA35" s="13">
        <f>'TR TUSD'!$AA$35</f>
        <v>0</v>
      </c>
      <c r="AB35" s="13">
        <f>SUM($U$35:$AA$35)</f>
        <v>187.80043718661864</v>
      </c>
      <c r="AC35" s="13">
        <f>'TR TUSD'!$AC$35*'TR TUSD'!$AC$60</f>
        <v>651.48566068630907</v>
      </c>
      <c r="AD35" s="13">
        <f>SUM($AC$35:$AC$35)</f>
        <v>651.48566068630907</v>
      </c>
      <c r="AE35" s="13">
        <v>0</v>
      </c>
      <c r="AF35" s="13">
        <v>0</v>
      </c>
      <c r="AG35" s="13">
        <f>SUM($AE$35:$AF$35)</f>
        <v>0</v>
      </c>
      <c r="AH35" s="13">
        <f>'TR TUSD'!$AH$35*'TR TUSD'!$AH$60</f>
        <v>28.258993065327477</v>
      </c>
      <c r="AI35" s="13">
        <f>'TR TUSD'!$AI$35*'TR TUSD'!$AI$60</f>
        <v>0.99134382082276284</v>
      </c>
      <c r="AJ35" s="13">
        <f ca="1">'TR TUSD'!$AJ$35*'TR TUSD'!$AJ$60</f>
        <v>0</v>
      </c>
      <c r="AK35" s="13">
        <f ca="1">'TR TUSD'!$AK$35*'TR TUSD'!$AK$60</f>
        <v>0</v>
      </c>
      <c r="AL35" s="13">
        <f ca="1">SUM($AH$35:$AK$35)</f>
        <v>29.25033688615024</v>
      </c>
      <c r="AM35" s="13">
        <f ca="1">SUMIF($L$4:$AL$4,"SUBTOTAL",$L$35:$AL$35)</f>
        <v>974.84433262873108</v>
      </c>
      <c r="AP35" s="13">
        <f>IF((1 - CUSTOS!$M$29)&lt;&gt;0,1/(1 - CUSTOS!$M$29),1)</f>
        <v>1</v>
      </c>
    </row>
    <row r="36" spans="1:42" ht="11.25" customHeight="1" x14ac:dyDescent="0.25">
      <c r="A36" s="109"/>
      <c r="B36" s="109"/>
      <c r="C36" s="109"/>
      <c r="D36" s="109"/>
      <c r="E36" s="109"/>
      <c r="F36" s="109"/>
      <c r="G36" s="24" t="s">
        <v>75</v>
      </c>
      <c r="H36" s="24" t="s">
        <v>73</v>
      </c>
      <c r="I36" s="24">
        <f>'MERCADO TUSD'!$U$33</f>
        <v>0</v>
      </c>
      <c r="J36" s="15"/>
      <c r="L36" s="13">
        <f>'TR TUSD'!$L$36*'TR TUSD'!$L$60</f>
        <v>0</v>
      </c>
      <c r="M36" s="13">
        <f>'TR TUSD'!$M$36*'TR TUSD'!$M$60</f>
        <v>2.1815818274485372</v>
      </c>
      <c r="N36" s="13">
        <f ca="1">'TR TUSD'!$N$36*'TR TUSD'!$N$60</f>
        <v>0</v>
      </c>
      <c r="O36" s="13">
        <f>'TR TUSD'!$O$36*'TR TUSD'!$O$60</f>
        <v>0</v>
      </c>
      <c r="P36" s="13">
        <f>'TR TUSD'!$P$36*'TR TUSD'!$P$60</f>
        <v>0</v>
      </c>
      <c r="Q36" s="13">
        <f>'TR TUSD'!$Q$36*'TR TUSD'!$Q$60</f>
        <v>89.915749199252758</v>
      </c>
      <c r="R36" s="13">
        <f>'TR TUSD'!$R$36*'TR TUSD'!$R$60</f>
        <v>14.2105668429519</v>
      </c>
      <c r="S36" s="13">
        <f>'TR TUSD'!$S$36*'TR TUSD'!$S$60</f>
        <v>0</v>
      </c>
      <c r="T36" s="13">
        <f ca="1">SUM($L$36:$S$36)</f>
        <v>106.3078978696532</v>
      </c>
      <c r="U36" s="13">
        <f>'TR TUSD'!$U$36*'TR TUSD'!$U$60</f>
        <v>0</v>
      </c>
      <c r="V36" s="13">
        <f>'TR TUSD'!$V$36*'TR TUSD'!$V$60</f>
        <v>0</v>
      </c>
      <c r="W36" s="13">
        <f>'TR TUSD'!$W$36*'TR TUSD'!$W$60</f>
        <v>0</v>
      </c>
      <c r="X36" s="13">
        <f>'TR TUSD'!$X$36*'TR TUSD'!$X$60</f>
        <v>0</v>
      </c>
      <c r="Y36" s="13">
        <f>'TR TUSD'!$Y$36*'TR TUSD'!$Y$60</f>
        <v>93.900218593309319</v>
      </c>
      <c r="Z36" s="13">
        <f>'TR TUSD'!$Z$36</f>
        <v>0</v>
      </c>
      <c r="AA36" s="13">
        <f>'TR TUSD'!$AA$36</f>
        <v>0</v>
      </c>
      <c r="AB36" s="13">
        <f>SUM($U$36:$AA$36)</f>
        <v>93.900218593309319</v>
      </c>
      <c r="AC36" s="13">
        <f>'TR TUSD'!$AC$36*'TR TUSD'!$AC$60</f>
        <v>325.74283034315454</v>
      </c>
      <c r="AD36" s="13">
        <f>SUM($AC$36:$AC$36)</f>
        <v>325.74283034315454</v>
      </c>
      <c r="AE36" s="13">
        <v>0</v>
      </c>
      <c r="AF36" s="13">
        <v>0</v>
      </c>
      <c r="AG36" s="13">
        <f>SUM($AE$36:$AF$36)</f>
        <v>0</v>
      </c>
      <c r="AH36" s="13">
        <f>'TR TUSD'!$AH$36*'TR TUSD'!$AH$60</f>
        <v>28.258993065327477</v>
      </c>
      <c r="AI36" s="13">
        <f>'TR TUSD'!$AI$36*'TR TUSD'!$AI$60</f>
        <v>0.99134382082276284</v>
      </c>
      <c r="AJ36" s="13">
        <f ca="1">'TR TUSD'!$AJ$36*'TR TUSD'!$AJ$60</f>
        <v>0</v>
      </c>
      <c r="AK36" s="13">
        <f ca="1">'TR TUSD'!$AK$36*'TR TUSD'!$AK$60</f>
        <v>0</v>
      </c>
      <c r="AL36" s="13">
        <f ca="1">SUM($AH$36:$AK$36)</f>
        <v>29.25033688615024</v>
      </c>
      <c r="AM36" s="13">
        <f ca="1">SUMIF($L$4:$AL$4,"SUBTOTAL",$L$36:$AL$36)</f>
        <v>555.20128369226722</v>
      </c>
      <c r="AP36" s="13">
        <f>IF((1 - CUSTOS!$M$29)&lt;&gt;0,1/(1 - CUSTOS!$M$29),1)</f>
        <v>1</v>
      </c>
    </row>
    <row r="37" spans="1:42" ht="11.25" customHeight="1" x14ac:dyDescent="0.25">
      <c r="A37" s="109"/>
      <c r="B37" s="23" t="s">
        <v>23</v>
      </c>
      <c r="C37" s="23" t="s">
        <v>42</v>
      </c>
      <c r="D37" s="23" t="s">
        <v>89</v>
      </c>
      <c r="E37" s="23" t="s">
        <v>25</v>
      </c>
      <c r="F37" s="23" t="s">
        <v>25</v>
      </c>
      <c r="G37" s="24" t="s">
        <v>77</v>
      </c>
      <c r="H37" s="24" t="s">
        <v>73</v>
      </c>
      <c r="I37" s="24">
        <f>'MERCADO TUSD'!$U$34</f>
        <v>0</v>
      </c>
      <c r="J37" s="15"/>
      <c r="L37" s="13">
        <f>'TR TUSD'!$L$37*'TR TUSD'!$L$60</f>
        <v>0</v>
      </c>
      <c r="M37" s="13">
        <f>'TR TUSD'!$M$37*'TR TUSD'!$M$60</f>
        <v>2.1815818274485372</v>
      </c>
      <c r="N37" s="13">
        <f ca="1">'TR TUSD'!$N$37*'TR TUSD'!$N$60</f>
        <v>0</v>
      </c>
      <c r="O37" s="13">
        <f>'TR TUSD'!$O$37*'TR TUSD'!$O$60</f>
        <v>0</v>
      </c>
      <c r="P37" s="13">
        <f>'TR TUSD'!$P$37*'TR TUSD'!$P$60</f>
        <v>0</v>
      </c>
      <c r="Q37" s="13">
        <f>'TR TUSD'!$Q$37*'TR TUSD'!$Q$60</f>
        <v>89.915749199252758</v>
      </c>
      <c r="R37" s="13">
        <f>'TR TUSD'!$R$37*'TR TUSD'!$R$60</f>
        <v>14.2105668429519</v>
      </c>
      <c r="S37" s="13">
        <f>'TR TUSD'!$S$37*'TR TUSD'!$S$60</f>
        <v>0</v>
      </c>
      <c r="T37" s="13">
        <f ca="1">SUM($L$37:$S$37)</f>
        <v>106.3078978696532</v>
      </c>
      <c r="U37" s="13">
        <f>'TR TUSD'!$U$37*'TR TUSD'!$U$60</f>
        <v>0</v>
      </c>
      <c r="V37" s="13">
        <f>'TR TUSD'!$V$37*'TR TUSD'!$V$60</f>
        <v>0</v>
      </c>
      <c r="W37" s="13">
        <f>'TR TUSD'!$W$37*'TR TUSD'!$W$60</f>
        <v>0</v>
      </c>
      <c r="X37" s="13">
        <f>'TR TUSD'!$X$37*'TR TUSD'!$X$60</f>
        <v>0</v>
      </c>
      <c r="Y37" s="13">
        <f>'TR TUSD'!$Y$37*'TR TUSD'!$Y$60</f>
        <v>138.08858925761038</v>
      </c>
      <c r="Z37" s="13">
        <f>'TR TUSD'!$Z$37</f>
        <v>0</v>
      </c>
      <c r="AA37" s="13">
        <f>'TR TUSD'!$AA$37</f>
        <v>0</v>
      </c>
      <c r="AB37" s="13">
        <f>SUM($U$37:$AA$37)</f>
        <v>138.08858925761038</v>
      </c>
      <c r="AC37" s="13">
        <f>'TR TUSD'!$AC$37*'TR TUSD'!$AC$60</f>
        <v>479.03356236884133</v>
      </c>
      <c r="AD37" s="13">
        <f>SUM($AC$37:$AC$37)</f>
        <v>479.03356236884133</v>
      </c>
      <c r="AE37" s="13">
        <v>0</v>
      </c>
      <c r="AF37" s="13">
        <v>0</v>
      </c>
      <c r="AG37" s="13">
        <f>SUM($AE$37:$AF$37)</f>
        <v>0</v>
      </c>
      <c r="AH37" s="13">
        <f>'TR TUSD'!$AH$37*'TR TUSD'!$AH$60</f>
        <v>28.258993065327477</v>
      </c>
      <c r="AI37" s="13">
        <f>'TR TUSD'!$AI$37*'TR TUSD'!$AI$60</f>
        <v>0.99134382082276284</v>
      </c>
      <c r="AJ37" s="13">
        <f ca="1">'TR TUSD'!$AJ$37*'TR TUSD'!$AJ$60</f>
        <v>0</v>
      </c>
      <c r="AK37" s="13">
        <f ca="1">'TR TUSD'!$AK$37*'TR TUSD'!$AK$60</f>
        <v>0</v>
      </c>
      <c r="AL37" s="13">
        <f ca="1">SUM($AH$37:$AK$37)</f>
        <v>29.25033688615024</v>
      </c>
      <c r="AM37" s="13">
        <f ca="1">SUMIF($L$4:$AL$4,"SUBTOTAL",$L$37:$AL$37)</f>
        <v>752.68038638225505</v>
      </c>
      <c r="AP37" s="13">
        <f>IF((1 - CUSTOS!$M$29)&lt;&gt;0,1/(1 - CUSTOS!$M$29),1)</f>
        <v>1</v>
      </c>
    </row>
    <row r="38" spans="1:42" ht="11.25" customHeight="1" x14ac:dyDescent="0.25">
      <c r="A38" s="109"/>
      <c r="B38" s="109" t="s">
        <v>86</v>
      </c>
      <c r="C38" s="109" t="s">
        <v>42</v>
      </c>
      <c r="D38" s="109" t="s">
        <v>90</v>
      </c>
      <c r="E38" s="109" t="s">
        <v>25</v>
      </c>
      <c r="F38" s="109" t="s">
        <v>25</v>
      </c>
      <c r="G38" s="24" t="s">
        <v>74</v>
      </c>
      <c r="H38" s="24" t="s">
        <v>73</v>
      </c>
      <c r="I38" s="24">
        <f>'MERCADO TUSD'!$U$35</f>
        <v>0</v>
      </c>
      <c r="J38" s="15"/>
      <c r="L38" s="13">
        <f>'TR TUSD'!$L$38*'TR TUSD'!$L$60</f>
        <v>0</v>
      </c>
      <c r="M38" s="13">
        <f>'TR TUSD'!$M$38*'TR TUSD'!$M$60</f>
        <v>2.1815818274485372</v>
      </c>
      <c r="N38" s="13">
        <f ca="1">'TR TUSD'!$N$38*'TR TUSD'!$N$60</f>
        <v>0</v>
      </c>
      <c r="O38" s="13">
        <f>'TR TUSD'!$O$38*'TR TUSD'!$O$60</f>
        <v>0</v>
      </c>
      <c r="P38" s="13">
        <f>'TR TUSD'!$P$38*'TR TUSD'!$P$60</f>
        <v>0</v>
      </c>
      <c r="Q38" s="13">
        <f>'TR TUSD'!$Q$38*'TR TUSD'!$Q$60</f>
        <v>89.915749199252758</v>
      </c>
      <c r="R38" s="13">
        <f>'TR TUSD'!$R$38*'TR TUSD'!$R$60</f>
        <v>14.2105668429519</v>
      </c>
      <c r="S38" s="13">
        <f>'TR TUSD'!$S$38*'TR TUSD'!$S$60</f>
        <v>0</v>
      </c>
      <c r="T38" s="13">
        <f ca="1">SUM($L$38:$S$38)</f>
        <v>106.3078978696532</v>
      </c>
      <c r="U38" s="13">
        <f>'TR TUSD'!$U$38*'TR TUSD'!$U$60</f>
        <v>0</v>
      </c>
      <c r="V38" s="13">
        <f>'TR TUSD'!$V$38*'TR TUSD'!$V$60</f>
        <v>0</v>
      </c>
      <c r="W38" s="13">
        <f>'TR TUSD'!$W$38*'TR TUSD'!$W$60</f>
        <v>0</v>
      </c>
      <c r="X38" s="13">
        <f>'TR TUSD'!$X$38*'TR TUSD'!$X$60</f>
        <v>0</v>
      </c>
      <c r="Y38" s="13">
        <f>'TR TUSD'!$Y$38*'TR TUSD'!$Y$60</f>
        <v>375.60087437323727</v>
      </c>
      <c r="Z38" s="13">
        <f>'TR TUSD'!$Z$38</f>
        <v>0</v>
      </c>
      <c r="AA38" s="13">
        <f>'TR TUSD'!$AA$38</f>
        <v>0</v>
      </c>
      <c r="AB38" s="13">
        <f>SUM($U$38:$AA$38)</f>
        <v>375.60087437323727</v>
      </c>
      <c r="AC38" s="13">
        <f>'TR TUSD'!$AC$38*'TR TUSD'!$AC$60</f>
        <v>1302.9712222183382</v>
      </c>
      <c r="AD38" s="13">
        <f>SUM($AC$38:$AC$38)</f>
        <v>1302.9712222183382</v>
      </c>
      <c r="AE38" s="13">
        <v>0</v>
      </c>
      <c r="AF38" s="13">
        <v>0</v>
      </c>
      <c r="AG38" s="13">
        <f>SUM($AE$38:$AF$38)</f>
        <v>0</v>
      </c>
      <c r="AH38" s="13">
        <f>'TR TUSD'!$AH$38*'TR TUSD'!$AH$60</f>
        <v>28.258993065327477</v>
      </c>
      <c r="AI38" s="13">
        <f>'TR TUSD'!$AI$38*'TR TUSD'!$AI$60</f>
        <v>0.99134382082276284</v>
      </c>
      <c r="AJ38" s="13">
        <f ca="1">'TR TUSD'!$AJ$38*'TR TUSD'!$AJ$60</f>
        <v>0</v>
      </c>
      <c r="AK38" s="13">
        <f ca="1">'TR TUSD'!$AK$38*'TR TUSD'!$AK$60</f>
        <v>0</v>
      </c>
      <c r="AL38" s="13">
        <f ca="1">SUM($AH$38:$AK$38)</f>
        <v>29.25033688615024</v>
      </c>
      <c r="AM38" s="13">
        <f ca="1">SUMIF($L$4:$AL$4,"SUBTOTAL",$L$38:$AL$38)</f>
        <v>1814.1303313473791</v>
      </c>
      <c r="AP38" s="13">
        <f>IF((1 - CUSTOS!$M$30)&lt;&gt;0,1/(1 - CUSTOS!$M$30),1)</f>
        <v>1</v>
      </c>
    </row>
    <row r="39" spans="1:42" ht="11.25" customHeight="1" x14ac:dyDescent="0.25">
      <c r="A39" s="109"/>
      <c r="B39" s="109"/>
      <c r="C39" s="109"/>
      <c r="D39" s="109"/>
      <c r="E39" s="109"/>
      <c r="F39" s="109"/>
      <c r="G39" s="24" t="s">
        <v>85</v>
      </c>
      <c r="H39" s="24" t="s">
        <v>73</v>
      </c>
      <c r="I39" s="24">
        <f>'MERCADO TUSD'!$U$36</f>
        <v>0</v>
      </c>
      <c r="J39" s="15"/>
      <c r="L39" s="13">
        <f>'TR TUSD'!$L$39*'TR TUSD'!$L$60</f>
        <v>0</v>
      </c>
      <c r="M39" s="13">
        <f>'TR TUSD'!$M$39*'TR TUSD'!$M$60</f>
        <v>2.1815818274485372</v>
      </c>
      <c r="N39" s="13">
        <f ca="1">'TR TUSD'!$N$39*'TR TUSD'!$N$60</f>
        <v>0</v>
      </c>
      <c r="O39" s="13">
        <f>'TR TUSD'!$O$39*'TR TUSD'!$O$60</f>
        <v>0</v>
      </c>
      <c r="P39" s="13">
        <f>'TR TUSD'!$P$39*'TR TUSD'!$P$60</f>
        <v>0</v>
      </c>
      <c r="Q39" s="13">
        <f>'TR TUSD'!$Q$39*'TR TUSD'!$Q$60</f>
        <v>89.915749199252758</v>
      </c>
      <c r="R39" s="13">
        <f>'TR TUSD'!$R$39*'TR TUSD'!$R$60</f>
        <v>14.2105668429519</v>
      </c>
      <c r="S39" s="13">
        <f>'TR TUSD'!$S$39*'TR TUSD'!$S$60</f>
        <v>0</v>
      </c>
      <c r="T39" s="13">
        <f ca="1">SUM($L$39:$S$39)</f>
        <v>106.3078978696532</v>
      </c>
      <c r="U39" s="13">
        <f>'TR TUSD'!$U$39*'TR TUSD'!$U$60</f>
        <v>0</v>
      </c>
      <c r="V39" s="13">
        <f>'TR TUSD'!$V$39*'TR TUSD'!$V$60</f>
        <v>0</v>
      </c>
      <c r="W39" s="13">
        <f>'TR TUSD'!$W$39*'TR TUSD'!$W$60</f>
        <v>0</v>
      </c>
      <c r="X39" s="13">
        <f>'TR TUSD'!$X$39*'TR TUSD'!$X$60</f>
        <v>0</v>
      </c>
      <c r="Y39" s="13">
        <f>'TR TUSD'!$Y$39*'TR TUSD'!$Y$60</f>
        <v>187.80043718661864</v>
      </c>
      <c r="Z39" s="13">
        <f>'TR TUSD'!$Z$39</f>
        <v>0</v>
      </c>
      <c r="AA39" s="13">
        <f>'TR TUSD'!$AA$39</f>
        <v>0</v>
      </c>
      <c r="AB39" s="13">
        <f>SUM($U$39:$AA$39)</f>
        <v>187.80043718661864</v>
      </c>
      <c r="AC39" s="13">
        <f>'TR TUSD'!$AC$39*'TR TUSD'!$AC$60</f>
        <v>651.48566068630907</v>
      </c>
      <c r="AD39" s="13">
        <f>SUM($AC$39:$AC$39)</f>
        <v>651.48566068630907</v>
      </c>
      <c r="AE39" s="13">
        <v>0</v>
      </c>
      <c r="AF39" s="13">
        <v>0</v>
      </c>
      <c r="AG39" s="13">
        <f>SUM($AE$39:$AF$39)</f>
        <v>0</v>
      </c>
      <c r="AH39" s="13">
        <f>'TR TUSD'!$AH$39*'TR TUSD'!$AH$60</f>
        <v>28.258993065327477</v>
      </c>
      <c r="AI39" s="13">
        <f>'TR TUSD'!$AI$39*'TR TUSD'!$AI$60</f>
        <v>0.99134382082276284</v>
      </c>
      <c r="AJ39" s="13">
        <f ca="1">'TR TUSD'!$AJ$39*'TR TUSD'!$AJ$60</f>
        <v>0</v>
      </c>
      <c r="AK39" s="13">
        <f ca="1">'TR TUSD'!$AK$39*'TR TUSD'!$AK$60</f>
        <v>0</v>
      </c>
      <c r="AL39" s="13">
        <f ca="1">SUM($AH$39:$AK$39)</f>
        <v>29.25033688615024</v>
      </c>
      <c r="AM39" s="13">
        <f ca="1">SUMIF($L$4:$AL$4,"SUBTOTAL",$L$39:$AL$39)</f>
        <v>974.84433262873108</v>
      </c>
      <c r="AP39" s="13">
        <f>IF((1 - CUSTOS!$M$30)&lt;&gt;0,1/(1 - CUSTOS!$M$30),1)</f>
        <v>1</v>
      </c>
    </row>
    <row r="40" spans="1:42" ht="11.25" customHeight="1" x14ac:dyDescent="0.25">
      <c r="A40" s="109"/>
      <c r="B40" s="109"/>
      <c r="C40" s="109"/>
      <c r="D40" s="109"/>
      <c r="E40" s="109"/>
      <c r="F40" s="109"/>
      <c r="G40" s="24" t="s">
        <v>75</v>
      </c>
      <c r="H40" s="24" t="s">
        <v>73</v>
      </c>
      <c r="I40" s="24">
        <f>'MERCADO TUSD'!$U$37</f>
        <v>0</v>
      </c>
      <c r="J40" s="15"/>
      <c r="L40" s="13">
        <f>'TR TUSD'!$L$40*'TR TUSD'!$L$60</f>
        <v>0</v>
      </c>
      <c r="M40" s="13">
        <f>'TR TUSD'!$M$40*'TR TUSD'!$M$60</f>
        <v>2.1815818274485372</v>
      </c>
      <c r="N40" s="13">
        <f ca="1">'TR TUSD'!$N$40*'TR TUSD'!$N$60</f>
        <v>0</v>
      </c>
      <c r="O40" s="13">
        <f>'TR TUSD'!$O$40*'TR TUSD'!$O$60</f>
        <v>0</v>
      </c>
      <c r="P40" s="13">
        <f>'TR TUSD'!$P$40*'TR TUSD'!$P$60</f>
        <v>0</v>
      </c>
      <c r="Q40" s="13">
        <f>'TR TUSD'!$Q$40*'TR TUSD'!$Q$60</f>
        <v>89.915749199252758</v>
      </c>
      <c r="R40" s="13">
        <f>'TR TUSD'!$R$40*'TR TUSD'!$R$60</f>
        <v>14.2105668429519</v>
      </c>
      <c r="S40" s="13">
        <f>'TR TUSD'!$S$40*'TR TUSD'!$S$60</f>
        <v>0</v>
      </c>
      <c r="T40" s="13">
        <f ca="1">SUM($L$40:$S$40)</f>
        <v>106.3078978696532</v>
      </c>
      <c r="U40" s="13">
        <f>'TR TUSD'!$U$40*'TR TUSD'!$U$60</f>
        <v>0</v>
      </c>
      <c r="V40" s="13">
        <f>'TR TUSD'!$V$40*'TR TUSD'!$V$60</f>
        <v>0</v>
      </c>
      <c r="W40" s="13">
        <f>'TR TUSD'!$W$40*'TR TUSD'!$W$60</f>
        <v>0</v>
      </c>
      <c r="X40" s="13">
        <f>'TR TUSD'!$X$40*'TR TUSD'!$X$60</f>
        <v>0</v>
      </c>
      <c r="Y40" s="13">
        <f>'TR TUSD'!$Y$40*'TR TUSD'!$Y$60</f>
        <v>93.900218593309319</v>
      </c>
      <c r="Z40" s="13">
        <f>'TR TUSD'!$Z$40</f>
        <v>0</v>
      </c>
      <c r="AA40" s="13">
        <f>'TR TUSD'!$AA$40</f>
        <v>0</v>
      </c>
      <c r="AB40" s="13">
        <f>SUM($U$40:$AA$40)</f>
        <v>93.900218593309319</v>
      </c>
      <c r="AC40" s="13">
        <f>'TR TUSD'!$AC$40*'TR TUSD'!$AC$60</f>
        <v>325.74283034315454</v>
      </c>
      <c r="AD40" s="13">
        <f>SUM($AC$40:$AC$40)</f>
        <v>325.74283034315454</v>
      </c>
      <c r="AE40" s="13">
        <v>0</v>
      </c>
      <c r="AF40" s="13">
        <v>0</v>
      </c>
      <c r="AG40" s="13">
        <f>SUM($AE$40:$AF$40)</f>
        <v>0</v>
      </c>
      <c r="AH40" s="13">
        <f>'TR TUSD'!$AH$40*'TR TUSD'!$AH$60</f>
        <v>28.258993065327477</v>
      </c>
      <c r="AI40" s="13">
        <f>'TR TUSD'!$AI$40*'TR TUSD'!$AI$60</f>
        <v>0.99134382082276284</v>
      </c>
      <c r="AJ40" s="13">
        <f ca="1">'TR TUSD'!$AJ$40*'TR TUSD'!$AJ$60</f>
        <v>0</v>
      </c>
      <c r="AK40" s="13">
        <f ca="1">'TR TUSD'!$AK$40*'TR TUSD'!$AK$60</f>
        <v>0</v>
      </c>
      <c r="AL40" s="13">
        <f ca="1">SUM($AH$40:$AK$40)</f>
        <v>29.25033688615024</v>
      </c>
      <c r="AM40" s="13">
        <f ca="1">SUMIF($L$4:$AL$4,"SUBTOTAL",$L$40:$AL$40)</f>
        <v>555.20128369226722</v>
      </c>
      <c r="AP40" s="13">
        <f>IF((1 - CUSTOS!$M$30)&lt;&gt;0,1/(1 - CUSTOS!$M$30),1)</f>
        <v>1</v>
      </c>
    </row>
    <row r="41" spans="1:42" ht="11.25" customHeight="1" x14ac:dyDescent="0.25">
      <c r="A41" s="109"/>
      <c r="B41" s="23" t="s">
        <v>23</v>
      </c>
      <c r="C41" s="23" t="s">
        <v>42</v>
      </c>
      <c r="D41" s="23" t="s">
        <v>90</v>
      </c>
      <c r="E41" s="23" t="s">
        <v>25</v>
      </c>
      <c r="F41" s="23" t="s">
        <v>25</v>
      </c>
      <c r="G41" s="24" t="s">
        <v>77</v>
      </c>
      <c r="H41" s="24" t="s">
        <v>73</v>
      </c>
      <c r="I41" s="24">
        <f>'MERCADO TUSD'!$U$38</f>
        <v>0</v>
      </c>
      <c r="J41" s="15"/>
      <c r="L41" s="13">
        <f>'TR TUSD'!$L$41*'TR TUSD'!$L$60</f>
        <v>0</v>
      </c>
      <c r="M41" s="13">
        <f>'TR TUSD'!$M$41*'TR TUSD'!$M$60</f>
        <v>2.1815818274485372</v>
      </c>
      <c r="N41" s="13">
        <f ca="1">'TR TUSD'!$N$41*'TR TUSD'!$N$60</f>
        <v>0</v>
      </c>
      <c r="O41" s="13">
        <f>'TR TUSD'!$O$41*'TR TUSD'!$O$60</f>
        <v>0</v>
      </c>
      <c r="P41" s="13">
        <f>'TR TUSD'!$P$41*'TR TUSD'!$P$60</f>
        <v>0</v>
      </c>
      <c r="Q41" s="13">
        <f>'TR TUSD'!$Q$41*'TR TUSD'!$Q$60</f>
        <v>89.915749199252758</v>
      </c>
      <c r="R41" s="13">
        <f>'TR TUSD'!$R$41*'TR TUSD'!$R$60</f>
        <v>14.2105668429519</v>
      </c>
      <c r="S41" s="13">
        <f>'TR TUSD'!$S$41*'TR TUSD'!$S$60</f>
        <v>0</v>
      </c>
      <c r="T41" s="13">
        <f ca="1">SUM($L$41:$S$41)</f>
        <v>106.3078978696532</v>
      </c>
      <c r="U41" s="13">
        <f>'TR TUSD'!$U$41*'TR TUSD'!$U$60</f>
        <v>0</v>
      </c>
      <c r="V41" s="13">
        <f>'TR TUSD'!$V$41*'TR TUSD'!$V$60</f>
        <v>0</v>
      </c>
      <c r="W41" s="13">
        <f>'TR TUSD'!$W$41*'TR TUSD'!$W$60</f>
        <v>0</v>
      </c>
      <c r="X41" s="13">
        <f>'TR TUSD'!$X$41*'TR TUSD'!$X$60</f>
        <v>0</v>
      </c>
      <c r="Y41" s="13">
        <f>'TR TUSD'!$Y$41*'TR TUSD'!$Y$60</f>
        <v>138.08858925761038</v>
      </c>
      <c r="Z41" s="13">
        <f>'TR TUSD'!$Z$41</f>
        <v>0</v>
      </c>
      <c r="AA41" s="13">
        <f>'TR TUSD'!$AA$41</f>
        <v>0</v>
      </c>
      <c r="AB41" s="13">
        <f>SUM($U$41:$AA$41)</f>
        <v>138.08858925761038</v>
      </c>
      <c r="AC41" s="13">
        <f>'TR TUSD'!$AC$41*'TR TUSD'!$AC$60</f>
        <v>479.03356236884133</v>
      </c>
      <c r="AD41" s="13">
        <f>SUM($AC$41:$AC$41)</f>
        <v>479.03356236884133</v>
      </c>
      <c r="AE41" s="13">
        <v>0</v>
      </c>
      <c r="AF41" s="13">
        <v>0</v>
      </c>
      <c r="AG41" s="13">
        <f>SUM($AE$41:$AF$41)</f>
        <v>0</v>
      </c>
      <c r="AH41" s="13">
        <f>'TR TUSD'!$AH$41*'TR TUSD'!$AH$60</f>
        <v>28.258993065327477</v>
      </c>
      <c r="AI41" s="13">
        <f>'TR TUSD'!$AI$41*'TR TUSD'!$AI$60</f>
        <v>0.99134382082276284</v>
      </c>
      <c r="AJ41" s="13">
        <f ca="1">'TR TUSD'!$AJ$41*'TR TUSD'!$AJ$60</f>
        <v>0</v>
      </c>
      <c r="AK41" s="13">
        <f ca="1">'TR TUSD'!$AK$41*'TR TUSD'!$AK$60</f>
        <v>0</v>
      </c>
      <c r="AL41" s="13">
        <f ca="1">SUM($AH$41:$AK$41)</f>
        <v>29.25033688615024</v>
      </c>
      <c r="AM41" s="13">
        <f ca="1">SUMIF($L$4:$AL$4,"SUBTOTAL",$L$41:$AL$41)</f>
        <v>752.68038638225505</v>
      </c>
      <c r="AP41" s="13">
        <f>IF((1 - CUSTOS!$M$30)&lt;&gt;0,1/(1 - CUSTOS!$M$30),1)</f>
        <v>1</v>
      </c>
    </row>
    <row r="42" spans="1:42" ht="11.25" customHeight="1" x14ac:dyDescent="0.25">
      <c r="A42" s="109"/>
      <c r="B42" s="109" t="s">
        <v>88</v>
      </c>
      <c r="C42" s="109" t="s">
        <v>42</v>
      </c>
      <c r="D42" s="23" t="s">
        <v>25</v>
      </c>
      <c r="E42" s="23" t="s">
        <v>25</v>
      </c>
      <c r="F42" s="23" t="s">
        <v>25</v>
      </c>
      <c r="G42" s="24" t="s">
        <v>77</v>
      </c>
      <c r="H42" s="24" t="s">
        <v>73</v>
      </c>
      <c r="I42" s="24">
        <f>'MERCADO TUSD'!$U$39</f>
        <v>0</v>
      </c>
      <c r="J42" s="15"/>
      <c r="L42" s="13">
        <f>'TR TUSD'!$L$42*'TR TUSD'!$L$60</f>
        <v>0</v>
      </c>
      <c r="M42" s="13">
        <f>'TR TUSD'!$M$42*'TR TUSD'!$M$60</f>
        <v>2.1815818274485372</v>
      </c>
      <c r="N42" s="13">
        <f ca="1">'TR TUSD'!$N$42*'TR TUSD'!$N$60</f>
        <v>0</v>
      </c>
      <c r="O42" s="13">
        <f>'TR TUSD'!$O$42*'TR TUSD'!$O$60</f>
        <v>0</v>
      </c>
      <c r="P42" s="13">
        <f>'TR TUSD'!$P$42*'TR TUSD'!$P$60</f>
        <v>0</v>
      </c>
      <c r="Q42" s="13">
        <f>'TR TUSD'!$Q$42*'TR TUSD'!$Q$60</f>
        <v>89.915749199252758</v>
      </c>
      <c r="R42" s="13">
        <f>'TR TUSD'!$R$42*'TR TUSD'!$R$60</f>
        <v>14.2105668429519</v>
      </c>
      <c r="S42" s="13">
        <f>'TR TUSD'!$S$42*'TR TUSD'!$S$60</f>
        <v>0</v>
      </c>
      <c r="T42" s="13">
        <f ca="1">SUM($L$42:$S$42)</f>
        <v>106.3078978696532</v>
      </c>
      <c r="U42" s="13">
        <f>'TR TUSD'!$U$42*'TR TUSD'!$U$60</f>
        <v>0</v>
      </c>
      <c r="V42" s="13">
        <f>'TR TUSD'!$V$42*'TR TUSD'!$V$60</f>
        <v>0</v>
      </c>
      <c r="W42" s="13">
        <f>'TR TUSD'!$W$42*'TR TUSD'!$W$60</f>
        <v>0</v>
      </c>
      <c r="X42" s="13">
        <f>'TR TUSD'!$X$42*'TR TUSD'!$X$60</f>
        <v>0</v>
      </c>
      <c r="Y42" s="13">
        <f>'TR TUSD'!$Y$42*'TR TUSD'!$Y$60</f>
        <v>138.08858925761038</v>
      </c>
      <c r="Z42" s="13">
        <f>'TR TUSD'!$Z$42</f>
        <v>0</v>
      </c>
      <c r="AA42" s="13">
        <f>'TR TUSD'!$AA$42</f>
        <v>0</v>
      </c>
      <c r="AB42" s="13">
        <f>SUM($U$42:$AA$42)</f>
        <v>138.08858925761038</v>
      </c>
      <c r="AC42" s="13">
        <f>'TR TUSD'!$AC$42*'TR TUSD'!$AC$60</f>
        <v>479.03356236884133</v>
      </c>
      <c r="AD42" s="13">
        <f>SUM($AC$42:$AC$42)</f>
        <v>479.03356236884133</v>
      </c>
      <c r="AE42" s="13">
        <v>0</v>
      </c>
      <c r="AF42" s="13">
        <v>0</v>
      </c>
      <c r="AG42" s="13">
        <f>SUM($AE$42:$AF$42)</f>
        <v>0</v>
      </c>
      <c r="AH42" s="13">
        <f>'TR TUSD'!$AH$42*'TR TUSD'!$AH$60</f>
        <v>28.258993065327477</v>
      </c>
      <c r="AI42" s="13">
        <f>'TR TUSD'!$AI$42*'TR TUSD'!$AI$60</f>
        <v>0.99134382082276284</v>
      </c>
      <c r="AJ42" s="13">
        <f ca="1">'TR TUSD'!$AJ$42*'TR TUSD'!$AJ$60</f>
        <v>0</v>
      </c>
      <c r="AK42" s="13">
        <f ca="1">'TR TUSD'!$AK$42*'TR TUSD'!$AK$60</f>
        <v>0</v>
      </c>
      <c r="AL42" s="13">
        <f ca="1">SUM($AH$42:$AK$42)</f>
        <v>29.25033688615024</v>
      </c>
      <c r="AM42" s="13">
        <f ca="1">SUMIF($L$4:$AL$4,"SUBTOTAL",$L$42:$AL$42)</f>
        <v>752.68038638225505</v>
      </c>
      <c r="AP42" s="13">
        <f>IF((1 - CUSTOS!$M$28)&lt;&gt;0,1/(1 - CUSTOS!$M$28),1)</f>
        <v>1</v>
      </c>
    </row>
    <row r="43" spans="1:42" ht="11.25" customHeight="1" x14ac:dyDescent="0.25">
      <c r="A43" s="109"/>
      <c r="B43" s="109"/>
      <c r="C43" s="109"/>
      <c r="D43" s="23" t="s">
        <v>89</v>
      </c>
      <c r="E43" s="23" t="s">
        <v>25</v>
      </c>
      <c r="F43" s="23" t="s">
        <v>25</v>
      </c>
      <c r="G43" s="24" t="s">
        <v>77</v>
      </c>
      <c r="H43" s="24" t="s">
        <v>73</v>
      </c>
      <c r="I43" s="24">
        <f>'MERCADO TUSD'!$U$40</f>
        <v>0</v>
      </c>
      <c r="J43" s="15"/>
      <c r="L43" s="13">
        <f>'TR TUSD'!$L$43*'TR TUSD'!$L$60</f>
        <v>0</v>
      </c>
      <c r="M43" s="13">
        <f>'TR TUSD'!$M$43*'TR TUSD'!$M$60</f>
        <v>2.1815818274485372</v>
      </c>
      <c r="N43" s="13">
        <f ca="1">'TR TUSD'!$N$43*'TR TUSD'!$N$60</f>
        <v>0</v>
      </c>
      <c r="O43" s="13">
        <f>'TR TUSD'!$O$43*'TR TUSD'!$O$60</f>
        <v>0</v>
      </c>
      <c r="P43" s="13">
        <f>'TR TUSD'!$P$43*'TR TUSD'!$P$60</f>
        <v>0</v>
      </c>
      <c r="Q43" s="13">
        <f>'TR TUSD'!$Q$43*'TR TUSD'!$Q$60</f>
        <v>89.915749199252758</v>
      </c>
      <c r="R43" s="13">
        <f>'TR TUSD'!$R$43*'TR TUSD'!$R$60</f>
        <v>14.2105668429519</v>
      </c>
      <c r="S43" s="13">
        <f>'TR TUSD'!$S$43*'TR TUSD'!$S$60</f>
        <v>0</v>
      </c>
      <c r="T43" s="13">
        <f ca="1">SUM($L$43:$S$43)</f>
        <v>106.3078978696532</v>
      </c>
      <c r="U43" s="13">
        <f>'TR TUSD'!$U$43*'TR TUSD'!$U$60</f>
        <v>0</v>
      </c>
      <c r="V43" s="13">
        <f>'TR TUSD'!$V$43*'TR TUSD'!$V$60</f>
        <v>0</v>
      </c>
      <c r="W43" s="13">
        <f>'TR TUSD'!$W$43*'TR TUSD'!$W$60</f>
        <v>0</v>
      </c>
      <c r="X43" s="13">
        <f>'TR TUSD'!$X$43*'TR TUSD'!$X$60</f>
        <v>0</v>
      </c>
      <c r="Y43" s="13">
        <f>'TR TUSD'!$Y$43*'TR TUSD'!$Y$60</f>
        <v>138.08858925761038</v>
      </c>
      <c r="Z43" s="13">
        <f>'TR TUSD'!$Z$43</f>
        <v>0</v>
      </c>
      <c r="AA43" s="13">
        <f>'TR TUSD'!$AA$43</f>
        <v>0</v>
      </c>
      <c r="AB43" s="13">
        <f>SUM($U$43:$AA$43)</f>
        <v>138.08858925761038</v>
      </c>
      <c r="AC43" s="13">
        <f>'TR TUSD'!$AC$43*'TR TUSD'!$AC$60</f>
        <v>479.03356236884133</v>
      </c>
      <c r="AD43" s="13">
        <f>SUM($AC$43:$AC$43)</f>
        <v>479.03356236884133</v>
      </c>
      <c r="AE43" s="13">
        <v>0</v>
      </c>
      <c r="AF43" s="13">
        <v>0</v>
      </c>
      <c r="AG43" s="13">
        <f>SUM($AE$43:$AF$43)</f>
        <v>0</v>
      </c>
      <c r="AH43" s="13">
        <f>'TR TUSD'!$AH$43*'TR TUSD'!$AH$60</f>
        <v>28.258993065327477</v>
      </c>
      <c r="AI43" s="13">
        <f>'TR TUSD'!$AI$43*'TR TUSD'!$AI$60</f>
        <v>0.99134382082276284</v>
      </c>
      <c r="AJ43" s="13">
        <f ca="1">'TR TUSD'!$AJ$43*'TR TUSD'!$AJ$60</f>
        <v>0</v>
      </c>
      <c r="AK43" s="13">
        <f ca="1">'TR TUSD'!$AK$43*'TR TUSD'!$AK$60</f>
        <v>0</v>
      </c>
      <c r="AL43" s="13">
        <f ca="1">SUM($AH$43:$AK$43)</f>
        <v>29.25033688615024</v>
      </c>
      <c r="AM43" s="13">
        <f ca="1">SUMIF($L$4:$AL$4,"SUBTOTAL",$L$43:$AL$43)</f>
        <v>752.68038638225505</v>
      </c>
      <c r="AP43" s="13">
        <f>IF((1 - CUSTOS!$M$29)&lt;&gt;0,1/(1 - CUSTOS!$M$29),1)</f>
        <v>1</v>
      </c>
    </row>
    <row r="44" spans="1:42" ht="11.25" customHeight="1" x14ac:dyDescent="0.25">
      <c r="A44" s="109"/>
      <c r="B44" s="109"/>
      <c r="C44" s="109"/>
      <c r="D44" s="23" t="s">
        <v>90</v>
      </c>
      <c r="E44" s="23" t="s">
        <v>25</v>
      </c>
      <c r="F44" s="23" t="s">
        <v>25</v>
      </c>
      <c r="G44" s="24" t="s">
        <v>77</v>
      </c>
      <c r="H44" s="24" t="s">
        <v>73</v>
      </c>
      <c r="I44" s="24">
        <f>'MERCADO TUSD'!$U$41</f>
        <v>0</v>
      </c>
      <c r="J44" s="15"/>
      <c r="L44" s="13">
        <f>'TR TUSD'!$L$44*'TR TUSD'!$L$60</f>
        <v>0</v>
      </c>
      <c r="M44" s="13">
        <f>'TR TUSD'!$M$44*'TR TUSD'!$M$60</f>
        <v>2.1815818274485372</v>
      </c>
      <c r="N44" s="13">
        <f ca="1">'TR TUSD'!$N$44*'TR TUSD'!$N$60</f>
        <v>0</v>
      </c>
      <c r="O44" s="13">
        <f>'TR TUSD'!$O$44*'TR TUSD'!$O$60</f>
        <v>0</v>
      </c>
      <c r="P44" s="13">
        <f>'TR TUSD'!$P$44*'TR TUSD'!$P$60</f>
        <v>0</v>
      </c>
      <c r="Q44" s="13">
        <f>'TR TUSD'!$Q$44*'TR TUSD'!$Q$60</f>
        <v>89.915749199252758</v>
      </c>
      <c r="R44" s="13">
        <f>'TR TUSD'!$R$44*'TR TUSD'!$R$60</f>
        <v>14.2105668429519</v>
      </c>
      <c r="S44" s="13">
        <f>'TR TUSD'!$S$44*'TR TUSD'!$S$60</f>
        <v>0</v>
      </c>
      <c r="T44" s="13">
        <f ca="1">SUM($L$44:$S$44)</f>
        <v>106.3078978696532</v>
      </c>
      <c r="U44" s="13">
        <f>'TR TUSD'!$U$44*'TR TUSD'!$U$60</f>
        <v>0</v>
      </c>
      <c r="V44" s="13">
        <f>'TR TUSD'!$V$44*'TR TUSD'!$V$60</f>
        <v>0</v>
      </c>
      <c r="W44" s="13">
        <f>'TR TUSD'!$W$44*'TR TUSD'!$W$60</f>
        <v>0</v>
      </c>
      <c r="X44" s="13">
        <f>'TR TUSD'!$X$44*'TR TUSD'!$X$60</f>
        <v>0</v>
      </c>
      <c r="Y44" s="13">
        <f>'TR TUSD'!$Y$44*'TR TUSD'!$Y$60</f>
        <v>138.08858925761038</v>
      </c>
      <c r="Z44" s="13">
        <f>'TR TUSD'!$Z$44</f>
        <v>0</v>
      </c>
      <c r="AA44" s="13">
        <f>'TR TUSD'!$AA$44</f>
        <v>0</v>
      </c>
      <c r="AB44" s="13">
        <f>SUM($U$44:$AA$44)</f>
        <v>138.08858925761038</v>
      </c>
      <c r="AC44" s="13">
        <f>'TR TUSD'!$AC$44*'TR TUSD'!$AC$60</f>
        <v>479.03356236884133</v>
      </c>
      <c r="AD44" s="13">
        <f>SUM($AC$44:$AC$44)</f>
        <v>479.03356236884133</v>
      </c>
      <c r="AE44" s="13">
        <v>0</v>
      </c>
      <c r="AF44" s="13">
        <v>0</v>
      </c>
      <c r="AG44" s="13">
        <f>SUM($AE$44:$AF$44)</f>
        <v>0</v>
      </c>
      <c r="AH44" s="13">
        <f>'TR TUSD'!$AH$44*'TR TUSD'!$AH$60</f>
        <v>28.258993065327477</v>
      </c>
      <c r="AI44" s="13">
        <f>'TR TUSD'!$AI$44*'TR TUSD'!$AI$60</f>
        <v>0.99134382082276284</v>
      </c>
      <c r="AJ44" s="13">
        <f ca="1">'TR TUSD'!$AJ$44*'TR TUSD'!$AJ$60</f>
        <v>0</v>
      </c>
      <c r="AK44" s="13">
        <f ca="1">'TR TUSD'!$AK$44*'TR TUSD'!$AK$60</f>
        <v>0</v>
      </c>
      <c r="AL44" s="13">
        <f ca="1">SUM($AH$44:$AK$44)</f>
        <v>29.25033688615024</v>
      </c>
      <c r="AM44" s="13">
        <f ca="1">SUMIF($L$4:$AL$4,"SUBTOTAL",$L$44:$AL$44)</f>
        <v>752.68038638225505</v>
      </c>
      <c r="AP44" s="13">
        <f>IF((1 - CUSTOS!$M$30)&lt;&gt;0,1/(1 - CUSTOS!$M$30),1)</f>
        <v>1</v>
      </c>
    </row>
    <row r="45" spans="1:42" ht="11.25" customHeight="1" x14ac:dyDescent="0.25">
      <c r="A45" s="109" t="s">
        <v>33</v>
      </c>
      <c r="B45" s="109" t="s">
        <v>86</v>
      </c>
      <c r="C45" s="109" t="s">
        <v>25</v>
      </c>
      <c r="D45" s="109" t="s">
        <v>25</v>
      </c>
      <c r="E45" s="109" t="s">
        <v>25</v>
      </c>
      <c r="F45" s="109" t="s">
        <v>25</v>
      </c>
      <c r="G45" s="24" t="s">
        <v>74</v>
      </c>
      <c r="H45" s="24" t="s">
        <v>73</v>
      </c>
      <c r="I45" s="24">
        <f>'MERCADO TUSD'!$U$42</f>
        <v>0</v>
      </c>
      <c r="J45" s="15"/>
      <c r="L45" s="13">
        <f>'TR TUSD'!$L$45*'TR TUSD'!$L$60</f>
        <v>0</v>
      </c>
      <c r="M45" s="13">
        <f>'TR TUSD'!$M$45*'TR TUSD'!$M$60</f>
        <v>2.1815818274485372</v>
      </c>
      <c r="N45" s="13">
        <f ca="1">'TR TUSD'!$N$45*'TR TUSD'!$N$60</f>
        <v>0</v>
      </c>
      <c r="O45" s="13">
        <f>'TR TUSD'!$O$45*'TR TUSD'!$O$60</f>
        <v>0</v>
      </c>
      <c r="P45" s="13">
        <f>'TR TUSD'!$P$45*'TR TUSD'!$P$60</f>
        <v>0</v>
      </c>
      <c r="Q45" s="13">
        <f>'TR TUSD'!$Q$45*'TR TUSD'!$Q$60</f>
        <v>89.915749199252758</v>
      </c>
      <c r="R45" s="13">
        <f>'TR TUSD'!$R$45*'TR TUSD'!$R$60</f>
        <v>14.2105668429519</v>
      </c>
      <c r="S45" s="13">
        <f>'TR TUSD'!$S$45*'TR TUSD'!$S$60</f>
        <v>0</v>
      </c>
      <c r="T45" s="13">
        <f ca="1">SUM($L$45:$S$45)</f>
        <v>106.3078978696532</v>
      </c>
      <c r="U45" s="13">
        <f>'TR TUSD'!$U$45*'TR TUSD'!$U$60</f>
        <v>0</v>
      </c>
      <c r="V45" s="13">
        <f>'TR TUSD'!$V$45*'TR TUSD'!$V$60</f>
        <v>0</v>
      </c>
      <c r="W45" s="13">
        <f>'TR TUSD'!$W$45*'TR TUSD'!$W$60</f>
        <v>0</v>
      </c>
      <c r="X45" s="13">
        <f>'TR TUSD'!$X$45*'TR TUSD'!$X$60</f>
        <v>0</v>
      </c>
      <c r="Y45" s="13">
        <f>'TR TUSD'!$Y$45*'TR TUSD'!$Y$60</f>
        <v>448.78788745990153</v>
      </c>
      <c r="Z45" s="13">
        <f>'TR TUSD'!$Z$45</f>
        <v>0</v>
      </c>
      <c r="AA45" s="13">
        <f>'TR TUSD'!$AA$45</f>
        <v>0</v>
      </c>
      <c r="AB45" s="13">
        <f>SUM($U$45:$AA$45)</f>
        <v>448.78788745990153</v>
      </c>
      <c r="AC45" s="13">
        <f>'TR TUSD'!$AC$45*'TR TUSD'!$AC$60</f>
        <v>1556.8590281215943</v>
      </c>
      <c r="AD45" s="13">
        <f>SUM($AC$45:$AC$45)</f>
        <v>1556.8590281215943</v>
      </c>
      <c r="AE45" s="13">
        <v>0</v>
      </c>
      <c r="AF45" s="13">
        <v>0</v>
      </c>
      <c r="AG45" s="13">
        <f>SUM($AE$45:$AF$45)</f>
        <v>0</v>
      </c>
      <c r="AH45" s="13">
        <f>'TR TUSD'!$AH$45*'TR TUSD'!$AH$60</f>
        <v>28.258993065327477</v>
      </c>
      <c r="AI45" s="13">
        <f>'TR TUSD'!$AI$45*'TR TUSD'!$AI$60</f>
        <v>0.99134382082276284</v>
      </c>
      <c r="AJ45" s="13">
        <f ca="1">'TR TUSD'!$AJ$45*'TR TUSD'!$AJ$60</f>
        <v>0</v>
      </c>
      <c r="AK45" s="13">
        <f ca="1">'TR TUSD'!$AK$45*'TR TUSD'!$AK$60</f>
        <v>0</v>
      </c>
      <c r="AL45" s="13">
        <f ca="1">SUM($AH$45:$AK$45)</f>
        <v>29.25033688615024</v>
      </c>
      <c r="AM45" s="13">
        <f ca="1">SUMIF($L$4:$AL$4,"SUBTOTAL",$L$45:$AL$45)</f>
        <v>2141.2051503372991</v>
      </c>
      <c r="AP45" s="13">
        <f>IF((1 - CUSTOS!$M$31)&lt;&gt;0,1/(1 - CUSTOS!$M$31),1)</f>
        <v>1</v>
      </c>
    </row>
    <row r="46" spans="1:42" ht="11.25" customHeight="1" x14ac:dyDescent="0.25">
      <c r="A46" s="109"/>
      <c r="B46" s="109"/>
      <c r="C46" s="109"/>
      <c r="D46" s="109"/>
      <c r="E46" s="109"/>
      <c r="F46" s="109"/>
      <c r="G46" s="24" t="s">
        <v>85</v>
      </c>
      <c r="H46" s="24" t="s">
        <v>73</v>
      </c>
      <c r="I46" s="24">
        <f>'MERCADO TUSD'!$U$43</f>
        <v>0</v>
      </c>
      <c r="J46" s="15"/>
      <c r="L46" s="13">
        <f>'TR TUSD'!$L$46*'TR TUSD'!$L$60</f>
        <v>0</v>
      </c>
      <c r="M46" s="13">
        <f>'TR TUSD'!$M$46*'TR TUSD'!$M$60</f>
        <v>2.1815818274485372</v>
      </c>
      <c r="N46" s="13">
        <f ca="1">'TR TUSD'!$N$46*'TR TUSD'!$N$60</f>
        <v>0</v>
      </c>
      <c r="O46" s="13">
        <f>'TR TUSD'!$O$46*'TR TUSD'!$O$60</f>
        <v>0</v>
      </c>
      <c r="P46" s="13">
        <f>'TR TUSD'!$P$46*'TR TUSD'!$P$60</f>
        <v>0</v>
      </c>
      <c r="Q46" s="13">
        <f>'TR TUSD'!$Q$46*'TR TUSD'!$Q$60</f>
        <v>89.915749199252758</v>
      </c>
      <c r="R46" s="13">
        <f>'TR TUSD'!$R$46*'TR TUSD'!$R$60</f>
        <v>14.2105668429519</v>
      </c>
      <c r="S46" s="13">
        <f>'TR TUSD'!$S$46*'TR TUSD'!$S$60</f>
        <v>0</v>
      </c>
      <c r="T46" s="13">
        <f ca="1">SUM($L$46:$S$46)</f>
        <v>106.3078978696532</v>
      </c>
      <c r="U46" s="13">
        <f>'TR TUSD'!$U$46*'TR TUSD'!$U$60</f>
        <v>0</v>
      </c>
      <c r="V46" s="13">
        <f>'TR TUSD'!$V$46*'TR TUSD'!$V$60</f>
        <v>0</v>
      </c>
      <c r="W46" s="13">
        <f>'TR TUSD'!$W$46*'TR TUSD'!$W$60</f>
        <v>0</v>
      </c>
      <c r="X46" s="13">
        <f>'TR TUSD'!$X$46*'TR TUSD'!$X$60</f>
        <v>0</v>
      </c>
      <c r="Y46" s="13">
        <f>'TR TUSD'!$Y$46*'TR TUSD'!$Y$60</f>
        <v>269.27266617034371</v>
      </c>
      <c r="Z46" s="13">
        <f>'TR TUSD'!$Z$46</f>
        <v>0</v>
      </c>
      <c r="AA46" s="13">
        <f>'TR TUSD'!$AA$46</f>
        <v>0</v>
      </c>
      <c r="AB46" s="13">
        <f>SUM($U$46:$AA$46)</f>
        <v>269.27266617034371</v>
      </c>
      <c r="AC46" s="13">
        <f>'TR TUSD'!$AC$46*'TR TUSD'!$AC$60</f>
        <v>934.11541687295664</v>
      </c>
      <c r="AD46" s="13">
        <f>SUM($AC$46:$AC$46)</f>
        <v>934.11541687295664</v>
      </c>
      <c r="AE46" s="13">
        <v>0</v>
      </c>
      <c r="AF46" s="13">
        <v>0</v>
      </c>
      <c r="AG46" s="13">
        <f>SUM($AE$46:$AF$46)</f>
        <v>0</v>
      </c>
      <c r="AH46" s="13">
        <f>'TR TUSD'!$AH$46*'TR TUSD'!$AH$60</f>
        <v>28.258993065327477</v>
      </c>
      <c r="AI46" s="13">
        <f>'TR TUSD'!$AI$46*'TR TUSD'!$AI$60</f>
        <v>0.99134382082276284</v>
      </c>
      <c r="AJ46" s="13">
        <f ca="1">'TR TUSD'!$AJ$46*'TR TUSD'!$AJ$60</f>
        <v>0</v>
      </c>
      <c r="AK46" s="13">
        <f ca="1">'TR TUSD'!$AK$46*'TR TUSD'!$AK$60</f>
        <v>0</v>
      </c>
      <c r="AL46" s="13">
        <f ca="1">SUM($AH$46:$AK$46)</f>
        <v>29.25033688615024</v>
      </c>
      <c r="AM46" s="13">
        <f ca="1">SUMIF($L$4:$AL$4,"SUBTOTAL",$L$46:$AL$46)</f>
        <v>1338.9463177991038</v>
      </c>
      <c r="AP46" s="13">
        <f>IF((1 - CUSTOS!$M$31)&lt;&gt;0,1/(1 - CUSTOS!$M$31),1)</f>
        <v>1</v>
      </c>
    </row>
    <row r="47" spans="1:42" ht="11.25" customHeight="1" x14ac:dyDescent="0.25">
      <c r="A47" s="109"/>
      <c r="B47" s="109"/>
      <c r="C47" s="109"/>
      <c r="D47" s="109"/>
      <c r="E47" s="109"/>
      <c r="F47" s="109"/>
      <c r="G47" s="24" t="s">
        <v>75</v>
      </c>
      <c r="H47" s="24" t="s">
        <v>73</v>
      </c>
      <c r="I47" s="24">
        <f>'MERCADO TUSD'!$U$44</f>
        <v>0</v>
      </c>
      <c r="J47" s="15"/>
      <c r="L47" s="13">
        <f>'TR TUSD'!$L$47*'TR TUSD'!$L$60</f>
        <v>0</v>
      </c>
      <c r="M47" s="13">
        <f>'TR TUSD'!$M$47*'TR TUSD'!$M$60</f>
        <v>2.1815818274485372</v>
      </c>
      <c r="N47" s="13">
        <f ca="1">'TR TUSD'!$N$47*'TR TUSD'!$N$60</f>
        <v>0</v>
      </c>
      <c r="O47" s="13">
        <f>'TR TUSD'!$O$47*'TR TUSD'!$O$60</f>
        <v>0</v>
      </c>
      <c r="P47" s="13">
        <f>'TR TUSD'!$P$47*'TR TUSD'!$P$60</f>
        <v>0</v>
      </c>
      <c r="Q47" s="13">
        <f>'TR TUSD'!$Q$47*'TR TUSD'!$Q$60</f>
        <v>89.915749199252758</v>
      </c>
      <c r="R47" s="13">
        <f>'TR TUSD'!$R$47*'TR TUSD'!$R$60</f>
        <v>14.2105668429519</v>
      </c>
      <c r="S47" s="13">
        <f>'TR TUSD'!$S$47*'TR TUSD'!$S$60</f>
        <v>0</v>
      </c>
      <c r="T47" s="13">
        <f ca="1">SUM($L$47:$S$47)</f>
        <v>106.3078978696532</v>
      </c>
      <c r="U47" s="13">
        <f>'TR TUSD'!$U$47*'TR TUSD'!$U$60</f>
        <v>0</v>
      </c>
      <c r="V47" s="13">
        <f>'TR TUSD'!$V$47*'TR TUSD'!$V$60</f>
        <v>0</v>
      </c>
      <c r="W47" s="13">
        <f>'TR TUSD'!$W$47*'TR TUSD'!$W$60</f>
        <v>0</v>
      </c>
      <c r="X47" s="13">
        <f>'TR TUSD'!$X$47*'TR TUSD'!$X$60</f>
        <v>0</v>
      </c>
      <c r="Y47" s="13">
        <f>'TR TUSD'!$Y$47*'TR TUSD'!$Y$60</f>
        <v>89.757555390114575</v>
      </c>
      <c r="Z47" s="13">
        <f>'TR TUSD'!$Z$47</f>
        <v>0</v>
      </c>
      <c r="AA47" s="13">
        <f>'TR TUSD'!$AA$47</f>
        <v>0</v>
      </c>
      <c r="AB47" s="13">
        <f>SUM($U$47:$AA$47)</f>
        <v>89.757555390114575</v>
      </c>
      <c r="AC47" s="13">
        <f>'TR TUSD'!$AC$47*'TR TUSD'!$AC$60</f>
        <v>311.37180562431888</v>
      </c>
      <c r="AD47" s="13">
        <f>SUM($AC$47:$AC$47)</f>
        <v>311.37180562431888</v>
      </c>
      <c r="AE47" s="13">
        <v>0</v>
      </c>
      <c r="AF47" s="13">
        <v>0</v>
      </c>
      <c r="AG47" s="13">
        <f>SUM($AE$47:$AF$47)</f>
        <v>0</v>
      </c>
      <c r="AH47" s="13">
        <f>'TR TUSD'!$AH$47*'TR TUSD'!$AH$60</f>
        <v>28.258993065327477</v>
      </c>
      <c r="AI47" s="13">
        <f>'TR TUSD'!$AI$47*'TR TUSD'!$AI$60</f>
        <v>0.99134382082276284</v>
      </c>
      <c r="AJ47" s="13">
        <f ca="1">'TR TUSD'!$AJ$47*'TR TUSD'!$AJ$60</f>
        <v>0</v>
      </c>
      <c r="AK47" s="13">
        <f ca="1">'TR TUSD'!$AK$47*'TR TUSD'!$AK$60</f>
        <v>0</v>
      </c>
      <c r="AL47" s="13">
        <f ca="1">SUM($AH$47:$AK$47)</f>
        <v>29.25033688615024</v>
      </c>
      <c r="AM47" s="13">
        <f ca="1">SUMIF($L$4:$AL$4,"SUBTOTAL",$L$47:$AL$47)</f>
        <v>536.68759577023684</v>
      </c>
      <c r="AP47" s="13">
        <f>IF((1 - CUSTOS!$M$31)&lt;&gt;0,1/(1 - CUSTOS!$M$31),1)</f>
        <v>1</v>
      </c>
    </row>
    <row r="48" spans="1:42" ht="11.25" customHeight="1" x14ac:dyDescent="0.25">
      <c r="A48" s="109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77</v>
      </c>
      <c r="H48" s="24" t="s">
        <v>73</v>
      </c>
      <c r="I48" s="24">
        <f>'MERCADO TUSD'!$U$45</f>
        <v>3162.4160000000002</v>
      </c>
      <c r="J48" s="15"/>
      <c r="L48" s="13">
        <f>'TR TUSD'!$L$48*'TR TUSD'!$L$60</f>
        <v>0</v>
      </c>
      <c r="M48" s="13">
        <f>'TR TUSD'!$M$48*'TR TUSD'!$M$60</f>
        <v>2.1815818274485372</v>
      </c>
      <c r="N48" s="13">
        <f ca="1">'TR TUSD'!$N$48*'TR TUSD'!$N$60</f>
        <v>0</v>
      </c>
      <c r="O48" s="13">
        <f>'TR TUSD'!$O$48*'TR TUSD'!$O$60</f>
        <v>0</v>
      </c>
      <c r="P48" s="13">
        <f>'TR TUSD'!$P$48*'TR TUSD'!$P$60</f>
        <v>0</v>
      </c>
      <c r="Q48" s="13">
        <f>'TR TUSD'!$Q$48*'TR TUSD'!$Q$60</f>
        <v>89.915749199252758</v>
      </c>
      <c r="R48" s="13">
        <f>'TR TUSD'!$R$48*'TR TUSD'!$R$60</f>
        <v>14.2105668429519</v>
      </c>
      <c r="S48" s="13">
        <f>'TR TUSD'!$S$48*'TR TUSD'!$S$60</f>
        <v>0</v>
      </c>
      <c r="T48" s="13">
        <f ca="1">SUM($L$48:$S$48)</f>
        <v>106.3078978696532</v>
      </c>
      <c r="U48" s="13">
        <f>'TR TUSD'!$U$48*'TR TUSD'!$U$60</f>
        <v>0</v>
      </c>
      <c r="V48" s="13">
        <f>'TR TUSD'!$V$48*'TR TUSD'!$V$60</f>
        <v>0</v>
      </c>
      <c r="W48" s="13">
        <f>'TR TUSD'!$W$48*'TR TUSD'!$W$60</f>
        <v>0</v>
      </c>
      <c r="X48" s="13">
        <f>'TR TUSD'!$X$48*'TR TUSD'!$X$60</f>
        <v>0</v>
      </c>
      <c r="Y48" s="13">
        <f>'TR TUSD'!$Y$48*'TR TUSD'!$Y$60</f>
        <v>138.08858925761038</v>
      </c>
      <c r="Z48" s="13">
        <f>'TR TUSD'!$Z$48</f>
        <v>0</v>
      </c>
      <c r="AA48" s="13">
        <f>'TR TUSD'!$AA$48</f>
        <v>0</v>
      </c>
      <c r="AB48" s="13">
        <f>SUM($U$48:$AA$48)</f>
        <v>138.08858925761038</v>
      </c>
      <c r="AC48" s="13">
        <f>'TR TUSD'!$AC$48*'TR TUSD'!$AC$60</f>
        <v>479.03356236884133</v>
      </c>
      <c r="AD48" s="13">
        <f>SUM($AC$48:$AC$48)</f>
        <v>479.03356236884133</v>
      </c>
      <c r="AE48" s="13">
        <v>0</v>
      </c>
      <c r="AF48" s="13">
        <v>0</v>
      </c>
      <c r="AG48" s="13">
        <f>SUM($AE$48:$AF$48)</f>
        <v>0</v>
      </c>
      <c r="AH48" s="13">
        <f>'TR TUSD'!$AH$48*'TR TUSD'!$AH$60</f>
        <v>28.258993065327477</v>
      </c>
      <c r="AI48" s="13">
        <f>'TR TUSD'!$AI$48*'TR TUSD'!$AI$60</f>
        <v>0.99134382082276284</v>
      </c>
      <c r="AJ48" s="13">
        <f ca="1">'TR TUSD'!$AJ$48*'TR TUSD'!$AJ$60</f>
        <v>0</v>
      </c>
      <c r="AK48" s="13">
        <f ca="1">'TR TUSD'!$AK$48*'TR TUSD'!$AK$60</f>
        <v>0</v>
      </c>
      <c r="AL48" s="13">
        <f ca="1">SUM($AH$48:$AK$48)</f>
        <v>29.25033688615024</v>
      </c>
      <c r="AM48" s="13">
        <f ca="1">SUMIF($L$4:$AL$4,"SUBTOTAL",$L$48:$AL$48)</f>
        <v>752.68038638225505</v>
      </c>
      <c r="AP48" s="13">
        <f>IF((1 - CUSTOS!$M$31)&lt;&gt;0,1/(1 - CUSTOS!$M$31),1)</f>
        <v>1</v>
      </c>
    </row>
    <row r="49" spans="1:42" ht="11.25" customHeight="1" x14ac:dyDescent="0.25">
      <c r="A49" s="109"/>
      <c r="B49" s="23" t="s">
        <v>88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77</v>
      </c>
      <c r="H49" s="24" t="s">
        <v>73</v>
      </c>
      <c r="I49" s="24">
        <f>'MERCADO TUSD'!$U$46</f>
        <v>0</v>
      </c>
      <c r="J49" s="15"/>
      <c r="L49" s="13">
        <f>'TR TUSD'!$L$49*'TR TUSD'!$L$60</f>
        <v>0</v>
      </c>
      <c r="M49" s="13">
        <f>'TR TUSD'!$M$49*'TR TUSD'!$M$60</f>
        <v>2.1815818274485372</v>
      </c>
      <c r="N49" s="13">
        <f ca="1">'TR TUSD'!$N$49*'TR TUSD'!$N$60</f>
        <v>0</v>
      </c>
      <c r="O49" s="13">
        <f>'TR TUSD'!$O$49*'TR TUSD'!$O$60</f>
        <v>0</v>
      </c>
      <c r="P49" s="13">
        <f>'TR TUSD'!$P$49*'TR TUSD'!$P$60</f>
        <v>0</v>
      </c>
      <c r="Q49" s="13">
        <f>'TR TUSD'!$Q$49*'TR TUSD'!$Q$60</f>
        <v>89.915749199252758</v>
      </c>
      <c r="R49" s="13">
        <f>'TR TUSD'!$R$49*'TR TUSD'!$R$60</f>
        <v>14.2105668429519</v>
      </c>
      <c r="S49" s="13">
        <f>'TR TUSD'!$S$49*'TR TUSD'!$S$60</f>
        <v>0</v>
      </c>
      <c r="T49" s="13">
        <f ca="1">SUM($L$49:$S$49)</f>
        <v>106.3078978696532</v>
      </c>
      <c r="U49" s="13">
        <f>'TR TUSD'!$U$49*'TR TUSD'!$U$60</f>
        <v>0</v>
      </c>
      <c r="V49" s="13">
        <f>'TR TUSD'!$V$49*'TR TUSD'!$V$60</f>
        <v>0</v>
      </c>
      <c r="W49" s="13">
        <f>'TR TUSD'!$W$49*'TR TUSD'!$W$60</f>
        <v>0</v>
      </c>
      <c r="X49" s="13">
        <f>'TR TUSD'!$X$49*'TR TUSD'!$X$60</f>
        <v>0</v>
      </c>
      <c r="Y49" s="13">
        <f>'TR TUSD'!$Y$49*'TR TUSD'!$Y$60</f>
        <v>138.08858925761038</v>
      </c>
      <c r="Z49" s="13">
        <f>'TR TUSD'!$Z$49</f>
        <v>0</v>
      </c>
      <c r="AA49" s="13">
        <f>'TR TUSD'!$AA$49</f>
        <v>0</v>
      </c>
      <c r="AB49" s="13">
        <f>SUM($U$49:$AA$49)</f>
        <v>138.08858925761038</v>
      </c>
      <c r="AC49" s="13">
        <f>'TR TUSD'!$AC$49*'TR TUSD'!$AC$60</f>
        <v>479.03356236884133</v>
      </c>
      <c r="AD49" s="13">
        <f>SUM($AC$49:$AC$49)</f>
        <v>479.03356236884133</v>
      </c>
      <c r="AE49" s="13">
        <v>0</v>
      </c>
      <c r="AF49" s="13">
        <v>0</v>
      </c>
      <c r="AG49" s="13">
        <f>SUM($AE$49:$AF$49)</f>
        <v>0</v>
      </c>
      <c r="AH49" s="13">
        <f>'TR TUSD'!$AH$49*'TR TUSD'!$AH$60</f>
        <v>28.258993065327477</v>
      </c>
      <c r="AI49" s="13">
        <f>'TR TUSD'!$AI$49*'TR TUSD'!$AI$60</f>
        <v>0.99134382082276284</v>
      </c>
      <c r="AJ49" s="13">
        <f ca="1">'TR TUSD'!$AJ$49*'TR TUSD'!$AJ$60</f>
        <v>0</v>
      </c>
      <c r="AK49" s="13">
        <f ca="1">'TR TUSD'!$AK$49*'TR TUSD'!$AK$60</f>
        <v>0</v>
      </c>
      <c r="AL49" s="13">
        <f ca="1">SUM($AH$49:$AK$49)</f>
        <v>29.25033688615024</v>
      </c>
      <c r="AM49" s="13">
        <f ca="1">SUMIF($L$4:$AL$4,"SUBTOTAL",$L$49:$AL$49)</f>
        <v>752.68038638225505</v>
      </c>
      <c r="AP49" s="13">
        <f>IF((1 - CUSTOS!$M$31)&lt;&gt;0,1/(1 - CUSTOS!$M$31),1)</f>
        <v>1</v>
      </c>
    </row>
    <row r="50" spans="1:42" ht="11.25" customHeight="1" x14ac:dyDescent="0.25">
      <c r="A50" s="109" t="s">
        <v>44</v>
      </c>
      <c r="B50" s="109" t="s">
        <v>23</v>
      </c>
      <c r="C50" s="109" t="s">
        <v>45</v>
      </c>
      <c r="D50" s="23" t="s">
        <v>46</v>
      </c>
      <c r="E50" s="23" t="s">
        <v>25</v>
      </c>
      <c r="F50" s="23" t="s">
        <v>25</v>
      </c>
      <c r="G50" s="24" t="s">
        <v>77</v>
      </c>
      <c r="H50" s="24" t="s">
        <v>73</v>
      </c>
      <c r="I50" s="24">
        <f>'MERCADO TUSD'!$U$47</f>
        <v>905.86099999999999</v>
      </c>
      <c r="J50" s="15"/>
      <c r="L50" s="13">
        <f>'TR TUSD'!$L$50*'TR TUSD'!$L$60</f>
        <v>0</v>
      </c>
      <c r="M50" s="13">
        <f>'TR TUSD'!$M$50*'TR TUSD'!$M$60</f>
        <v>1.1998700050966955</v>
      </c>
      <c r="N50" s="13">
        <f ca="1">'TR TUSD'!$N$50*'TR TUSD'!$N$60</f>
        <v>0</v>
      </c>
      <c r="O50" s="13">
        <f>'TR TUSD'!$O$50*'TR TUSD'!$O$60</f>
        <v>0</v>
      </c>
      <c r="P50" s="13">
        <f>'TR TUSD'!$P$50*'TR TUSD'!$P$60</f>
        <v>0</v>
      </c>
      <c r="Q50" s="13">
        <f>'TR TUSD'!$Q$50*'TR TUSD'!$Q$60</f>
        <v>49.453662059589021</v>
      </c>
      <c r="R50" s="13">
        <f>'TR TUSD'!$R$50*'TR TUSD'!$R$60</f>
        <v>7.8158117636235458</v>
      </c>
      <c r="S50" s="13">
        <f>'TR TUSD'!$S$50*'TR TUSD'!$S$60</f>
        <v>0</v>
      </c>
      <c r="T50" s="13">
        <f ca="1">SUM($L$50:$S$50)</f>
        <v>58.469343828309263</v>
      </c>
      <c r="U50" s="13">
        <f>'TR TUSD'!$U$50*'TR TUSD'!$U$60</f>
        <v>0</v>
      </c>
      <c r="V50" s="13">
        <f>'TR TUSD'!$V$50*'TR TUSD'!$V$60</f>
        <v>0</v>
      </c>
      <c r="W50" s="13">
        <f>'TR TUSD'!$W$50*'TR TUSD'!$W$60</f>
        <v>0</v>
      </c>
      <c r="X50" s="13">
        <f>'TR TUSD'!$X$50*'TR TUSD'!$X$60</f>
        <v>0</v>
      </c>
      <c r="Y50" s="13">
        <f>'TR TUSD'!$Y$50*'TR TUSD'!$Y$60</f>
        <v>75.948724091685705</v>
      </c>
      <c r="Z50" s="13">
        <f>'TR TUSD'!$Z$50</f>
        <v>0</v>
      </c>
      <c r="AA50" s="13">
        <f>'TR TUSD'!$AA$50</f>
        <v>0</v>
      </c>
      <c r="AB50" s="13">
        <f>SUM($U$50:$AA$50)</f>
        <v>75.948724091685705</v>
      </c>
      <c r="AC50" s="13">
        <f>'TR TUSD'!$AC$50*'TR TUSD'!$AC$60</f>
        <v>263.46845930286275</v>
      </c>
      <c r="AD50" s="13">
        <f>SUM($AC$50:$AC$50)</f>
        <v>263.46845930286275</v>
      </c>
      <c r="AE50" s="13">
        <v>0</v>
      </c>
      <c r="AF50" s="13">
        <v>0</v>
      </c>
      <c r="AG50" s="13">
        <f>SUM($AE$50:$AF$50)</f>
        <v>0</v>
      </c>
      <c r="AH50" s="13">
        <f>'TR TUSD'!$AH$50*'TR TUSD'!$AH$60</f>
        <v>15.542446185930114</v>
      </c>
      <c r="AI50" s="13">
        <f>'TR TUSD'!$AI$50*'TR TUSD'!$AI$60</f>
        <v>0.54523910145251953</v>
      </c>
      <c r="AJ50" s="13">
        <f ca="1">'TR TUSD'!$AJ$50*'TR TUSD'!$AJ$60</f>
        <v>0</v>
      </c>
      <c r="AK50" s="13">
        <f ca="1">'TR TUSD'!$AK$50*'TR TUSD'!$AK$60</f>
        <v>0</v>
      </c>
      <c r="AL50" s="13">
        <f ca="1">SUM($AH$50:$AK$50)</f>
        <v>16.087685287382634</v>
      </c>
      <c r="AM50" s="13">
        <f ca="1">SUMIF($L$4:$AL$4,"SUBTOTAL",$L$50:$AL$50)</f>
        <v>413.97421251024031</v>
      </c>
      <c r="AP50" s="13">
        <f>IF((1 - CUSTOS!$M$32)&lt;&gt;0,1/(1 - CUSTOS!$M$32),1)</f>
        <v>1.8181818181818181</v>
      </c>
    </row>
    <row r="51" spans="1:42" ht="11.25" customHeight="1" x14ac:dyDescent="0.25">
      <c r="A51" s="109"/>
      <c r="B51" s="109"/>
      <c r="C51" s="109"/>
      <c r="D51" s="24" t="s">
        <v>91</v>
      </c>
      <c r="E51" s="24" t="s">
        <v>25</v>
      </c>
      <c r="F51" s="24" t="s">
        <v>25</v>
      </c>
      <c r="G51" s="24" t="s">
        <v>77</v>
      </c>
      <c r="H51" s="24" t="s">
        <v>73</v>
      </c>
      <c r="I51" s="24">
        <f>'MERCADO TUSD'!$U$48</f>
        <v>0</v>
      </c>
      <c r="J51" s="15"/>
      <c r="L51" s="13">
        <f>'TR TUSD'!$L$51*'TR TUSD'!$L$60</f>
        <v>0</v>
      </c>
      <c r="M51" s="13">
        <f>'TR TUSD'!$M$51*'TR TUSD'!$M$60</f>
        <v>1.3089490964691222</v>
      </c>
      <c r="N51" s="13">
        <f ca="1">'TR TUSD'!$N$51*'TR TUSD'!$N$60</f>
        <v>0</v>
      </c>
      <c r="O51" s="13">
        <f>'TR TUSD'!$O$51*'TR TUSD'!$O$60</f>
        <v>0</v>
      </c>
      <c r="P51" s="13">
        <f>'TR TUSD'!$P$51*'TR TUSD'!$P$60</f>
        <v>0</v>
      </c>
      <c r="Q51" s="13">
        <f>'TR TUSD'!$Q$51*'TR TUSD'!$Q$60</f>
        <v>53.949449519551656</v>
      </c>
      <c r="R51" s="13">
        <f>'TR TUSD'!$R$51*'TR TUSD'!$R$60</f>
        <v>8.5263401057711405</v>
      </c>
      <c r="S51" s="13">
        <f>'TR TUSD'!$S$51*'TR TUSD'!$S$60</f>
        <v>0</v>
      </c>
      <c r="T51" s="13">
        <f ca="1">SUM($L$51:$S$51)</f>
        <v>63.784738721791918</v>
      </c>
      <c r="U51" s="13">
        <f>'TR TUSD'!$U$51*'TR TUSD'!$U$60</f>
        <v>0</v>
      </c>
      <c r="V51" s="13">
        <f>'TR TUSD'!$V$51*'TR TUSD'!$V$60</f>
        <v>0</v>
      </c>
      <c r="W51" s="13">
        <f>'TR TUSD'!$W$51*'TR TUSD'!$W$60</f>
        <v>0</v>
      </c>
      <c r="X51" s="13">
        <f>'TR TUSD'!$X$51*'TR TUSD'!$X$60</f>
        <v>0</v>
      </c>
      <c r="Y51" s="13">
        <f>'TR TUSD'!$Y$51*'TR TUSD'!$Y$60</f>
        <v>82.853153554566219</v>
      </c>
      <c r="Z51" s="13">
        <f>'TR TUSD'!$Z$51</f>
        <v>0</v>
      </c>
      <c r="AA51" s="13">
        <f>'TR TUSD'!$AA$51</f>
        <v>0</v>
      </c>
      <c r="AB51" s="13">
        <f>SUM($U$51:$AA$51)</f>
        <v>82.853153554566219</v>
      </c>
      <c r="AC51" s="13">
        <f>'TR TUSD'!$AC$51*'TR TUSD'!$AC$60</f>
        <v>287.42013742130479</v>
      </c>
      <c r="AD51" s="13">
        <f>SUM($AC$51:$AC$51)</f>
        <v>287.42013742130479</v>
      </c>
      <c r="AE51" s="13">
        <v>0</v>
      </c>
      <c r="AF51" s="13">
        <v>0</v>
      </c>
      <c r="AG51" s="13">
        <f>SUM($AE$51:$AF$51)</f>
        <v>0</v>
      </c>
      <c r="AH51" s="13">
        <f>'TR TUSD'!$AH$51*'TR TUSD'!$AH$60</f>
        <v>16.955395839196488</v>
      </c>
      <c r="AI51" s="13">
        <f>'TR TUSD'!$AI$51*'TR TUSD'!$AI$60</f>
        <v>0.59480629249365768</v>
      </c>
      <c r="AJ51" s="13">
        <f ca="1">'TR TUSD'!$AJ$51*'TR TUSD'!$AJ$60</f>
        <v>0</v>
      </c>
      <c r="AK51" s="13">
        <f ca="1">'TR TUSD'!$AK$51*'TR TUSD'!$AK$60</f>
        <v>0</v>
      </c>
      <c r="AL51" s="13">
        <f ca="1">SUM($AH$51:$AK$51)</f>
        <v>17.550202131690146</v>
      </c>
      <c r="AM51" s="13">
        <f ca="1">SUMIF($L$4:$AL$4,"SUBTOTAL",$L$51:$AL$51)</f>
        <v>451.60823182935309</v>
      </c>
      <c r="AP51" s="13">
        <f>IF((1 - CUSTOS!$M$33)&lt;&gt;0,1/(1 - CUSTOS!$M$33),1)</f>
        <v>1.6666666666666667</v>
      </c>
    </row>
    <row r="53" spans="1:42" ht="11.25" customHeight="1" x14ac:dyDescent="0.25">
      <c r="K53" s="16" t="s">
        <v>497</v>
      </c>
      <c r="L53" s="13">
        <f>SUMPRODUCT($I$5:$I51,$L$5:$L51)</f>
        <v>0</v>
      </c>
      <c r="M53" s="13">
        <f>SUMPRODUCT($I$5:$I51,$M$5:$M51)</f>
        <v>114961.70757555131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5828451.8683099989</v>
      </c>
      <c r="R53" s="13">
        <f>SUMPRODUCT($I$5:$I51,$R$5:$R51)</f>
        <v>1015947.5651999998</v>
      </c>
      <c r="S53" s="13">
        <f>SUMPRODUCT($I$5:$I51,$S$5:$S51)</f>
        <v>0</v>
      </c>
      <c r="T53" s="13">
        <f ca="1">SUMPRODUCT($I$5:$I51,$T$5:$T51)</f>
        <v>6959361.1410855521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10103829.776397999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10103829.776397999</v>
      </c>
      <c r="AC53" s="13">
        <f>SUMPRODUCT($I$5:$I51,$AC$5:$AC51)</f>
        <v>24944453.093539532</v>
      </c>
      <c r="AD53" s="13">
        <f>SUMPRODUCT($I$5:$I51,$AD$5:$AD51)</f>
        <v>24944453.093539532</v>
      </c>
      <c r="AE53" s="13">
        <f>SUMPRODUCT($I$5:$I51,$AE$5:$AE51)</f>
        <v>0</v>
      </c>
      <c r="AF53" s="13">
        <f>SUMPRODUCT($I$5:$I51,$AF$5:$AF51)</f>
        <v>0</v>
      </c>
      <c r="AG53" s="13">
        <f>SUMPRODUCT($I$5:$I51,$AG$5:$AG51)</f>
        <v>0</v>
      </c>
      <c r="AH53" s="13">
        <f>SUMPRODUCT($I$5:$I51,$AH$5:$AH51)</f>
        <v>1064395.2640595178</v>
      </c>
      <c r="AI53" s="13">
        <f>SUMPRODUCT($I$5:$I51,$AI$5:$AI51)</f>
        <v>37339.676806569463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1101734.9408660871</v>
      </c>
      <c r="AM53" s="13">
        <f ca="1">SUMPRODUCT($I$5:$I51,$AM$5:$AM51)</f>
        <v>43109378.951889157</v>
      </c>
    </row>
    <row r="54" spans="1:42" ht="11.25" customHeight="1" x14ac:dyDescent="0.25">
      <c r="K54" s="16" t="s">
        <v>429</v>
      </c>
      <c r="L54" s="13">
        <f>'TR TUSD'!$L$56</f>
        <v>0</v>
      </c>
      <c r="M54" s="13">
        <f>'TR TUSD'!$M$56</f>
        <v>114961.70757555132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5828451.8683099989</v>
      </c>
      <c r="R54" s="13">
        <f>'TR TUSD'!$R$56</f>
        <v>1015947.5651999997</v>
      </c>
      <c r="S54" s="13">
        <f>'TR TUSD'!$S$56</f>
        <v>0</v>
      </c>
      <c r="T54" s="13">
        <f>'TR TUSD'!$T$56</f>
        <v>6959361.1410855502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10103829.776398001</v>
      </c>
      <c r="Z54" s="13">
        <f>'TR TUSD'!$Z$56</f>
        <v>0</v>
      </c>
      <c r="AA54" s="13">
        <f>'TR TUSD'!$AA$56</f>
        <v>0</v>
      </c>
      <c r="AB54" s="13">
        <f>'TR TUSD'!$AB$56</f>
        <v>10103829.776398001</v>
      </c>
      <c r="AC54" s="13">
        <f>'TR TUSD'!$AC$56</f>
        <v>24944453.093539529</v>
      </c>
      <c r="AD54" s="13">
        <f>'TR TUSD'!$AD$56</f>
        <v>24944453.093539529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1064395.2640595178</v>
      </c>
      <c r="AI54" s="13">
        <f>'TR TUSD'!$AI$56</f>
        <v>37339.676806569471</v>
      </c>
      <c r="AJ54" s="13">
        <f>'TR TUSD'!$AJ$56</f>
        <v>0</v>
      </c>
      <c r="AK54" s="13">
        <f>'TR TUSD'!$AK$56</f>
        <v>0</v>
      </c>
      <c r="AL54" s="13">
        <f>'TR TUSD'!$AL$56</f>
        <v>1101734.9408660873</v>
      </c>
      <c r="AM54" s="13">
        <f>CUSTOS!$D$29</f>
        <v>43109378.951889172</v>
      </c>
    </row>
    <row r="55" spans="1:42" ht="11.25" customHeight="1" x14ac:dyDescent="0.25">
      <c r="K55" s="16" t="s">
        <v>430</v>
      </c>
      <c r="L55" s="13">
        <f>CUSTOS!$E$2</f>
        <v>0</v>
      </c>
      <c r="M55" s="13">
        <f>CUSTOS!$E$3</f>
        <v>1046.1611809446795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-1148.2595915282764</v>
      </c>
      <c r="R55" s="13">
        <f>CUSTOS!$E$8</f>
        <v>-1845.0275000651886</v>
      </c>
      <c r="S55" s="13">
        <f>CUSTOS!$E$9</f>
        <v>0</v>
      </c>
      <c r="T55" s="13">
        <f>CUSTOS!$E$10</f>
        <v>-1947.1259106487855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323043.48155103542</v>
      </c>
      <c r="Z55" s="13">
        <f>CUSTOS!$E$16</f>
        <v>0</v>
      </c>
      <c r="AA55" s="13">
        <f>CUSTOS!$E$17</f>
        <v>0</v>
      </c>
      <c r="AB55" s="13">
        <f>CUSTOS!$E$18</f>
        <v>323043.48155103542</v>
      </c>
      <c r="AC55" s="13">
        <f>CUSTOS!$E$19</f>
        <v>-9818529.1917725932</v>
      </c>
      <c r="AD55" s="13">
        <f>CUSTOS!$E$20</f>
        <v>-9818529.1917725932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86278.914960153372</v>
      </c>
      <c r="AI55" s="13">
        <f>CUSTOS!$E$25</f>
        <v>3026.7203440445551</v>
      </c>
      <c r="AJ55" s="13">
        <f>CUSTOS!$E$26</f>
        <v>0</v>
      </c>
      <c r="AK55" s="13">
        <f>CUSTOS!$E$27</f>
        <v>0</v>
      </c>
      <c r="AL55" s="13">
        <f>CUSTOS!$E$28</f>
        <v>89305.635304197931</v>
      </c>
      <c r="AM55" s="13">
        <f>CUSTOS!$E$29</f>
        <v>-9408127.2008280084</v>
      </c>
    </row>
    <row r="56" spans="1:42" ht="11.25" customHeight="1" x14ac:dyDescent="0.25">
      <c r="K56" s="16" t="s">
        <v>431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494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>
        <f>SUMIF($L$4:$AL$4,"SUBTOTAL",$L$57:$AL$57)</f>
        <v>0</v>
      </c>
    </row>
    <row r="58" spans="1:42" ht="11.25" customHeight="1" x14ac:dyDescent="0.25">
      <c r="K58" s="16" t="s">
        <v>498</v>
      </c>
      <c r="L58" s="13">
        <f t="shared" ref="L58:R58" si="0">IF((L53-(0))&lt;&gt;0,(L55)/(L53-(0)),0)</f>
        <v>0</v>
      </c>
      <c r="M58" s="13">
        <f t="shared" si="0"/>
        <v>9.100083871467865E-3</v>
      </c>
      <c r="N58" s="13">
        <f t="shared" ca="1" si="0"/>
        <v>0</v>
      </c>
      <c r="O58" s="13">
        <f t="shared" si="0"/>
        <v>0</v>
      </c>
      <c r="P58" s="13">
        <f t="shared" si="0"/>
        <v>0</v>
      </c>
      <c r="Q58" s="13">
        <f t="shared" si="0"/>
        <v>-1.970093632876173E-4</v>
      </c>
      <c r="R58" s="13">
        <f t="shared" si="0"/>
        <v>-1.816065674316544E-3</v>
      </c>
      <c r="S58" s="13">
        <f>IF((R53-(0)&lt;&gt;0),(S55)/(R53-(0)),0)</f>
        <v>0</v>
      </c>
      <c r="T58" s="13"/>
      <c r="U58" s="13">
        <f t="shared" ref="U58:AA58" si="1">IF((U53-(0))&lt;&gt;0,(U55)/(U53-(0)),0)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3.1972379652084749E-2</v>
      </c>
      <c r="Z58" s="13">
        <f t="shared" si="1"/>
        <v>0</v>
      </c>
      <c r="AA58" s="13">
        <f t="shared" si="1"/>
        <v>0</v>
      </c>
      <c r="AB58" s="13"/>
      <c r="AC58" s="13">
        <f>IF((AC53-(0))&lt;&gt;0,(AC55)/(AC53-(0)),0)</f>
        <v>-0.39361573312327042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IF((AH53-(0))&lt;&gt;0,(AH55)/(AH53-(0)),0)</f>
        <v>8.1059093246142924E-2</v>
      </c>
      <c r="AI58" s="13">
        <f>IF((AI53-(0))&lt;&gt;0,(AI55)/(AI53-(0)),0)</f>
        <v>8.1059093246142938E-2</v>
      </c>
      <c r="AJ58" s="13">
        <f ca="1">IF((AJ53-(0))&lt;&gt;0,(AJ55)/(AJ53-(0)),0)</f>
        <v>0</v>
      </c>
      <c r="AK58" s="13">
        <f ca="1">IF((AK53-(0))&lt;&gt;0,(AK55)/(AK53-(0)),0)</f>
        <v>0</v>
      </c>
      <c r="AL58" s="13"/>
      <c r="AM58" s="13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967" priority="56" operator="notEqual">
      <formula>$L$54-$L$57</formula>
    </cfRule>
    <cfRule type="cellIs" dxfId="966" priority="57" operator="equal">
      <formula>$L$54-$L$57</formula>
    </cfRule>
  </conditionalFormatting>
  <conditionalFormatting sqref="M53">
    <cfRule type="cellIs" dxfId="965" priority="54" operator="notEqual">
      <formula>$M$54-$M$57</formula>
    </cfRule>
    <cfRule type="cellIs" dxfId="964" priority="55" operator="equal">
      <formula>$M$54-$M$57</formula>
    </cfRule>
  </conditionalFormatting>
  <conditionalFormatting sqref="N53">
    <cfRule type="cellIs" dxfId="963" priority="52" operator="notEqual">
      <formula>$N$54-$N$57</formula>
    </cfRule>
    <cfRule type="cellIs" dxfId="962" priority="53" operator="equal">
      <formula>$N$54-$N$57</formula>
    </cfRule>
  </conditionalFormatting>
  <conditionalFormatting sqref="O53">
    <cfRule type="cellIs" dxfId="961" priority="50" operator="notEqual">
      <formula>$O$54-$O$57</formula>
    </cfRule>
    <cfRule type="cellIs" dxfId="960" priority="51" operator="equal">
      <formula>$O$54-$O$57</formula>
    </cfRule>
  </conditionalFormatting>
  <conditionalFormatting sqref="P53">
    <cfRule type="cellIs" dxfId="959" priority="48" operator="notEqual">
      <formula>$P$54-$P$57</formula>
    </cfRule>
    <cfRule type="cellIs" dxfId="958" priority="49" operator="equal">
      <formula>$P$54-$P$57</formula>
    </cfRule>
  </conditionalFormatting>
  <conditionalFormatting sqref="Q53">
    <cfRule type="cellIs" dxfId="957" priority="46" operator="notEqual">
      <formula>$Q$54-$Q$57</formula>
    </cfRule>
    <cfRule type="cellIs" dxfId="956" priority="47" operator="equal">
      <formula>$Q$54-$Q$57</formula>
    </cfRule>
  </conditionalFormatting>
  <conditionalFormatting sqref="R53">
    <cfRule type="cellIs" dxfId="955" priority="44" operator="notEqual">
      <formula>$R$54-$R$57</formula>
    </cfRule>
    <cfRule type="cellIs" dxfId="954" priority="45" operator="equal">
      <formula>$R$54-$R$57</formula>
    </cfRule>
  </conditionalFormatting>
  <conditionalFormatting sqref="S53">
    <cfRule type="cellIs" dxfId="953" priority="42" operator="notEqual">
      <formula>$S$54-$S$57</formula>
    </cfRule>
    <cfRule type="cellIs" dxfId="952" priority="43" operator="equal">
      <formula>$S$54-$S$57</formula>
    </cfRule>
  </conditionalFormatting>
  <conditionalFormatting sqref="T53">
    <cfRule type="cellIs" dxfId="951" priority="40" operator="notEqual">
      <formula>$T$54-$T$57</formula>
    </cfRule>
    <cfRule type="cellIs" dxfId="950" priority="41" operator="equal">
      <formula>$T$54-$T$57</formula>
    </cfRule>
  </conditionalFormatting>
  <conditionalFormatting sqref="U53">
    <cfRule type="cellIs" dxfId="949" priority="38" operator="notEqual">
      <formula>$U$54-$U$57</formula>
    </cfRule>
    <cfRule type="cellIs" dxfId="948" priority="39" operator="equal">
      <formula>$U$54-$U$57</formula>
    </cfRule>
  </conditionalFormatting>
  <conditionalFormatting sqref="V53">
    <cfRule type="cellIs" dxfId="947" priority="36" operator="notEqual">
      <formula>$V$54-$V$57</formula>
    </cfRule>
    <cfRule type="cellIs" dxfId="946" priority="37" operator="equal">
      <formula>$V$54-$V$57</formula>
    </cfRule>
  </conditionalFormatting>
  <conditionalFormatting sqref="W53">
    <cfRule type="cellIs" dxfId="945" priority="34" operator="notEqual">
      <formula>$W$54-$W$57</formula>
    </cfRule>
    <cfRule type="cellIs" dxfId="944" priority="35" operator="equal">
      <formula>$W$54-$W$57</formula>
    </cfRule>
  </conditionalFormatting>
  <conditionalFormatting sqref="X53">
    <cfRule type="cellIs" dxfId="943" priority="32" operator="notEqual">
      <formula>$X$54-$X$57</formula>
    </cfRule>
    <cfRule type="cellIs" dxfId="942" priority="33" operator="equal">
      <formula>$X$54-$X$57</formula>
    </cfRule>
  </conditionalFormatting>
  <conditionalFormatting sqref="Y53">
    <cfRule type="cellIs" dxfId="941" priority="30" operator="notEqual">
      <formula>$Y$54-$Y$57</formula>
    </cfRule>
    <cfRule type="cellIs" dxfId="940" priority="31" operator="equal">
      <formula>$Y$54-$Y$57</formula>
    </cfRule>
  </conditionalFormatting>
  <conditionalFormatting sqref="Z53">
    <cfRule type="cellIs" dxfId="939" priority="28" operator="notEqual">
      <formula>$Z$54-$Z$57</formula>
    </cfRule>
    <cfRule type="cellIs" dxfId="938" priority="29" operator="equal">
      <formula>$Z$54-$Z$57</formula>
    </cfRule>
  </conditionalFormatting>
  <conditionalFormatting sqref="AA53">
    <cfRule type="cellIs" dxfId="937" priority="26" operator="notEqual">
      <formula>$AA$54-$AA$57</formula>
    </cfRule>
    <cfRule type="cellIs" dxfId="936" priority="27" operator="equal">
      <formula>$AA$54-$AA$57</formula>
    </cfRule>
  </conditionalFormatting>
  <conditionalFormatting sqref="AB53">
    <cfRule type="cellIs" dxfId="935" priority="24" operator="notEqual">
      <formula>$AB$54-$AB$57</formula>
    </cfRule>
    <cfRule type="cellIs" dxfId="934" priority="25" operator="equal">
      <formula>$AB$54-$AB$57</formula>
    </cfRule>
  </conditionalFormatting>
  <conditionalFormatting sqref="AC53">
    <cfRule type="cellIs" dxfId="933" priority="22" operator="notEqual">
      <formula>$AC$54-$AC$57</formula>
    </cfRule>
    <cfRule type="cellIs" dxfId="932" priority="23" operator="equal">
      <formula>$AC$54-$AC$57</formula>
    </cfRule>
  </conditionalFormatting>
  <conditionalFormatting sqref="AD53">
    <cfRule type="cellIs" dxfId="931" priority="20" operator="notEqual">
      <formula>$AD$54-$AD$57</formula>
    </cfRule>
    <cfRule type="cellIs" dxfId="930" priority="21" operator="equal">
      <formula>$AD$54-$AD$57</formula>
    </cfRule>
  </conditionalFormatting>
  <conditionalFormatting sqref="AE53">
    <cfRule type="cellIs" dxfId="929" priority="18" operator="notEqual">
      <formula>$AE$54-$AE$57</formula>
    </cfRule>
    <cfRule type="cellIs" dxfId="928" priority="19" operator="equal">
      <formula>$AE$54-$AE$57</formula>
    </cfRule>
  </conditionalFormatting>
  <conditionalFormatting sqref="AF53">
    <cfRule type="cellIs" dxfId="927" priority="17" operator="equal">
      <formula>$AF$54-$AF$57</formula>
    </cfRule>
  </conditionalFormatting>
  <conditionalFormatting sqref="AF53">
    <cfRule type="cellIs" dxfId="926" priority="16" operator="notEqual">
      <formula>$AF$54-$AF$57</formula>
    </cfRule>
  </conditionalFormatting>
  <conditionalFormatting sqref="AG53">
    <cfRule type="cellIs" dxfId="925" priority="15" operator="equal">
      <formula>$AG$54-$AG$57</formula>
    </cfRule>
  </conditionalFormatting>
  <conditionalFormatting sqref="AG53">
    <cfRule type="cellIs" dxfId="924" priority="14" operator="notEqual">
      <formula>$AG$54-$AG$57</formula>
    </cfRule>
  </conditionalFormatting>
  <conditionalFormatting sqref="AH53">
    <cfRule type="cellIs" dxfId="923" priority="13" operator="equal">
      <formula>$AH$54-$AH$57</formula>
    </cfRule>
  </conditionalFormatting>
  <conditionalFormatting sqref="AH53">
    <cfRule type="cellIs" dxfId="922" priority="12" operator="notEqual">
      <formula>$AH$54-$AH$57</formula>
    </cfRule>
  </conditionalFormatting>
  <conditionalFormatting sqref="AI53">
    <cfRule type="cellIs" dxfId="921" priority="11" operator="equal">
      <formula>$AI$54-$AI$57</formula>
    </cfRule>
  </conditionalFormatting>
  <conditionalFormatting sqref="AI53">
    <cfRule type="cellIs" dxfId="920" priority="10" operator="notEqual">
      <formula>$AI$54-$AI$57</formula>
    </cfRule>
  </conditionalFormatting>
  <conditionalFormatting sqref="AJ53">
    <cfRule type="cellIs" dxfId="919" priority="9" operator="equal">
      <formula>$AJ$54-$AJ$57</formula>
    </cfRule>
  </conditionalFormatting>
  <conditionalFormatting sqref="AJ53">
    <cfRule type="cellIs" dxfId="918" priority="8" operator="notEqual">
      <formula>$AJ$54-$AJ$57</formula>
    </cfRule>
  </conditionalFormatting>
  <conditionalFormatting sqref="AK53">
    <cfRule type="cellIs" dxfId="917" priority="7" operator="equal">
      <formula>$AK$54-$AK$57</formula>
    </cfRule>
  </conditionalFormatting>
  <conditionalFormatting sqref="AK53">
    <cfRule type="cellIs" dxfId="916" priority="6" operator="notEqual">
      <formula>$AK$54-$AK$57</formula>
    </cfRule>
  </conditionalFormatting>
  <conditionalFormatting sqref="AL53">
    <cfRule type="cellIs" dxfId="915" priority="5" operator="equal">
      <formula>$AL$54-$AL$57</formula>
    </cfRule>
  </conditionalFormatting>
  <conditionalFormatting sqref="AL53">
    <cfRule type="cellIs" dxfId="914" priority="4" operator="notEqual">
      <formula>$AL$54-$AL$57</formula>
    </cfRule>
  </conditionalFormatting>
  <conditionalFormatting sqref="AM53">
    <cfRule type="cellIs" dxfId="913" priority="3" operator="equal">
      <formula>$AM$54-$AM$57</formula>
    </cfRule>
  </conditionalFormatting>
  <conditionalFormatting sqref="AM53">
    <cfRule type="cellIs" dxfId="912" priority="2" operator="notEqual">
      <formula>$AM$54-$AM$57</formula>
    </cfRule>
  </conditionalFormatting>
  <conditionalFormatting sqref="AM5:AM51">
    <cfRule type="cellIs" dxfId="911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FA10-8089-4F37-B479-6D0D98D867CA}">
  <dimension ref="A1:AP58"/>
  <sheetViews>
    <sheetView showGridLines="0" topLeftCell="AH45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5" width="4.140625" style="9" bestFit="1" customWidth="1"/>
    <col min="16" max="16" width="4.42578125" style="9" bestFit="1" customWidth="1"/>
    <col min="17" max="18" width="10" style="9" bestFit="1" customWidth="1"/>
    <col min="19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.855468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110" t="s">
        <v>63</v>
      </c>
      <c r="B1" s="110" t="s">
        <v>64</v>
      </c>
      <c r="C1" s="110" t="s">
        <v>65</v>
      </c>
      <c r="D1" s="110" t="s">
        <v>66</v>
      </c>
      <c r="E1" s="110" t="s">
        <v>67</v>
      </c>
      <c r="F1" s="110" t="s">
        <v>15</v>
      </c>
      <c r="G1" s="110" t="s">
        <v>69</v>
      </c>
      <c r="H1" s="110" t="s">
        <v>70</v>
      </c>
      <c r="I1" s="110" t="s">
        <v>488</v>
      </c>
      <c r="J1" s="98"/>
      <c r="L1" s="111" t="s">
        <v>505</v>
      </c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O1" s="26"/>
      <c r="AP1" s="114" t="s">
        <v>490</v>
      </c>
    </row>
    <row r="2" spans="1:42" ht="11.25" customHeight="1" x14ac:dyDescent="0.25">
      <c r="A2" s="110"/>
      <c r="B2" s="110"/>
      <c r="C2" s="110"/>
      <c r="D2" s="110"/>
      <c r="E2" s="110"/>
      <c r="F2" s="110"/>
      <c r="G2" s="110"/>
      <c r="H2" s="110"/>
      <c r="I2" s="110"/>
      <c r="J2" s="98"/>
      <c r="L2" s="111" t="s">
        <v>387</v>
      </c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O2" s="26"/>
      <c r="AP2" s="115"/>
    </row>
    <row r="3" spans="1:42" ht="11.25" customHeight="1" x14ac:dyDescent="0.25">
      <c r="A3" s="110"/>
      <c r="B3" s="110"/>
      <c r="C3" s="110"/>
      <c r="D3" s="110"/>
      <c r="E3" s="110"/>
      <c r="F3" s="110"/>
      <c r="G3" s="110"/>
      <c r="H3" s="110"/>
      <c r="I3" s="110"/>
      <c r="J3" s="98"/>
      <c r="L3" s="111" t="s">
        <v>388</v>
      </c>
      <c r="M3" s="111"/>
      <c r="N3" s="111"/>
      <c r="O3" s="111"/>
      <c r="P3" s="111"/>
      <c r="Q3" s="111"/>
      <c r="R3" s="111"/>
      <c r="S3" s="111"/>
      <c r="T3" s="111"/>
      <c r="U3" s="111" t="s">
        <v>397</v>
      </c>
      <c r="V3" s="111"/>
      <c r="W3" s="111"/>
      <c r="X3" s="111"/>
      <c r="Y3" s="111"/>
      <c r="Z3" s="111"/>
      <c r="AA3" s="111"/>
      <c r="AB3" s="111"/>
      <c r="AC3" s="111" t="s">
        <v>405</v>
      </c>
      <c r="AD3" s="111"/>
      <c r="AE3" s="111" t="s">
        <v>407</v>
      </c>
      <c r="AF3" s="111"/>
      <c r="AG3" s="111"/>
      <c r="AH3" s="111" t="s">
        <v>410</v>
      </c>
      <c r="AI3" s="111"/>
      <c r="AJ3" s="111"/>
      <c r="AK3" s="111"/>
      <c r="AL3" s="111"/>
      <c r="AM3" s="111" t="s">
        <v>396</v>
      </c>
      <c r="AO3" s="26"/>
      <c r="AP3" s="115"/>
    </row>
    <row r="4" spans="1:42" ht="11.25" customHeight="1" x14ac:dyDescent="0.25">
      <c r="A4" s="110"/>
      <c r="B4" s="110"/>
      <c r="C4" s="110"/>
      <c r="D4" s="110"/>
      <c r="E4" s="110"/>
      <c r="F4" s="110"/>
      <c r="G4" s="110"/>
      <c r="H4" s="110"/>
      <c r="I4" s="110"/>
      <c r="J4" s="98"/>
      <c r="L4" s="10" t="s">
        <v>473</v>
      </c>
      <c r="M4" s="10" t="s">
        <v>389</v>
      </c>
      <c r="N4" s="10" t="s">
        <v>390</v>
      </c>
      <c r="O4" s="10" t="s">
        <v>391</v>
      </c>
      <c r="P4" s="10" t="s">
        <v>392</v>
      </c>
      <c r="Q4" s="10" t="s">
        <v>393</v>
      </c>
      <c r="R4" s="10" t="s">
        <v>394</v>
      </c>
      <c r="S4" s="10" t="s">
        <v>395</v>
      </c>
      <c r="T4" s="10" t="s">
        <v>396</v>
      </c>
      <c r="U4" s="10" t="s">
        <v>398</v>
      </c>
      <c r="V4" s="10" t="s">
        <v>399</v>
      </c>
      <c r="W4" s="10" t="s">
        <v>400</v>
      </c>
      <c r="X4" s="10" t="s">
        <v>401</v>
      </c>
      <c r="Y4" s="10" t="s">
        <v>402</v>
      </c>
      <c r="Z4" s="10" t="s">
        <v>403</v>
      </c>
      <c r="AA4" s="10" t="s">
        <v>404</v>
      </c>
      <c r="AB4" s="10" t="s">
        <v>396</v>
      </c>
      <c r="AC4" s="10" t="s">
        <v>406</v>
      </c>
      <c r="AD4" s="10" t="s">
        <v>396</v>
      </c>
      <c r="AE4" s="10" t="s">
        <v>408</v>
      </c>
      <c r="AF4" s="10" t="s">
        <v>409</v>
      </c>
      <c r="AG4" s="10" t="s">
        <v>396</v>
      </c>
      <c r="AH4" s="10" t="s">
        <v>411</v>
      </c>
      <c r="AI4" s="10" t="s">
        <v>412</v>
      </c>
      <c r="AJ4" s="10" t="s">
        <v>413</v>
      </c>
      <c r="AK4" s="10" t="s">
        <v>414</v>
      </c>
      <c r="AL4" s="10" t="s">
        <v>396</v>
      </c>
      <c r="AM4" s="113"/>
      <c r="AO4" s="27" t="s">
        <v>507</v>
      </c>
      <c r="AP4" s="116"/>
    </row>
    <row r="5" spans="1:42" ht="11.25" customHeight="1" x14ac:dyDescent="0.25">
      <c r="A5" s="109" t="s">
        <v>35</v>
      </c>
      <c r="B5" s="109" t="s">
        <v>36</v>
      </c>
      <c r="C5" s="109" t="s">
        <v>25</v>
      </c>
      <c r="D5" s="109" t="s">
        <v>25</v>
      </c>
      <c r="E5" s="109" t="s">
        <v>25</v>
      </c>
      <c r="F5" s="109" t="s">
        <v>25</v>
      </c>
      <c r="G5" s="24" t="s">
        <v>79</v>
      </c>
      <c r="H5" s="24" t="s">
        <v>78</v>
      </c>
      <c r="I5" s="24">
        <f>'MERCADO TUSD'!$U$2</f>
        <v>60365</v>
      </c>
      <c r="J5" s="15"/>
      <c r="L5" s="13">
        <f>'TUSD BE'!$L$5*'TUSD BE'!$L$58</f>
        <v>0</v>
      </c>
      <c r="M5" s="13">
        <f>'TUSD BE'!$M$5*'TUSD BE'!$M$58</f>
        <v>0</v>
      </c>
      <c r="N5" s="13">
        <f ca="1">'TUSD BE'!$N$5*'TUSD BE'!$N$58</f>
        <v>0</v>
      </c>
      <c r="O5" s="13">
        <f>'TUSD BE'!$O$5*'TUSD BE'!$O$58</f>
        <v>0</v>
      </c>
      <c r="P5" s="13">
        <f>'TUSD BE'!$P$5*'TUSD BE'!$P$58</f>
        <v>0</v>
      </c>
      <c r="Q5" s="13">
        <f>'TUSD BE'!$Q$5*'TUSD BE'!$Q$58</f>
        <v>0</v>
      </c>
      <c r="R5" s="13">
        <f>'TUSD BE'!$R$5*'TUSD BE'!$R$58</f>
        <v>0</v>
      </c>
      <c r="S5" s="13">
        <f>'TUSD BE'!$R$5*'TUSD BE'!$S$58</f>
        <v>0</v>
      </c>
      <c r="T5" s="13">
        <f ca="1">SUM($L$5:$S$5)</f>
        <v>0</v>
      </c>
      <c r="U5" s="13">
        <f>'TUSD BE'!$U$5*'TUSD BE'!$U$58</f>
        <v>0</v>
      </c>
      <c r="V5" s="13">
        <f>'TUSD BE'!$V$5*'TUSD BE'!$V$58</f>
        <v>0</v>
      </c>
      <c r="W5" s="13">
        <f>'TUSD BE'!$W$5*'TUSD BE'!$W$58</f>
        <v>0</v>
      </c>
      <c r="X5" s="13">
        <f>'TUSD BE'!$X$5*'TUSD BE'!$X$58</f>
        <v>0</v>
      </c>
      <c r="Y5" s="13">
        <f>'TUSD BE'!$Y$5*'TUSD BE'!$Y$58</f>
        <v>1.3495304566973361</v>
      </c>
      <c r="Z5" s="13">
        <f>'TUSD BE'!$Z$5*'TUSD BE'!$Z$58</f>
        <v>0</v>
      </c>
      <c r="AA5" s="13">
        <f>'TUSD BE'!$AA$5*'TUSD BE'!$AA$58</f>
        <v>0</v>
      </c>
      <c r="AB5" s="13">
        <f>SUM($U$5:$AA$5)</f>
        <v>1.3495304566973361</v>
      </c>
      <c r="AC5" s="13">
        <f>'TUSD BE'!$AC$5*'TUSD BE'!$AC$58</f>
        <v>-30.767209725854777</v>
      </c>
      <c r="AD5" s="13">
        <f>SUM($AC$5:$AC$5)</f>
        <v>-30.767209725854777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BE'!$AH$58</f>
        <v>0</v>
      </c>
      <c r="AI5" s="13">
        <f>'TUSD BE'!$AI$5*'TUSD BE'!$AI$58</f>
        <v>0</v>
      </c>
      <c r="AJ5" s="13">
        <f ca="1">'TUSD BE'!$AJ$5*'TUSD BE'!$AJ$58</f>
        <v>0</v>
      </c>
      <c r="AK5" s="13">
        <f ca="1">'TUSD BE'!$AK$5*'TUSD BE'!$AK$58</f>
        <v>0</v>
      </c>
      <c r="AL5" s="13">
        <f ca="1">SUM($AH$5:$AK$5)</f>
        <v>0</v>
      </c>
      <c r="AM5" s="13">
        <f ca="1">SUMIF($L$4:$AL$4,"SUBTOTAL",$L$5:$AL$5)</f>
        <v>-29.417679269157439</v>
      </c>
      <c r="AO5" s="26">
        <f ca="1">+'TUSD BE'!$T$5+'TUSD BE'!$AB$5+'TUSD BE'!$AD$5+'TUSD BE'!$AL$5</f>
        <v>120.37485853050123</v>
      </c>
      <c r="AP5" s="26">
        <f ca="1">+'TUSD BE'!$T$5+'TUSD BE'!$AB$5+'TUSD BE'!$AD$5+'TUSD BE'!$AL$5</f>
        <v>120.37485853050123</v>
      </c>
    </row>
    <row r="6" spans="1:42" ht="11.25" customHeight="1" x14ac:dyDescent="0.25">
      <c r="A6" s="109"/>
      <c r="B6" s="109"/>
      <c r="C6" s="109"/>
      <c r="D6" s="109"/>
      <c r="E6" s="109"/>
      <c r="F6" s="109"/>
      <c r="G6" s="24" t="s">
        <v>80</v>
      </c>
      <c r="H6" s="24" t="s">
        <v>78</v>
      </c>
      <c r="I6" s="24">
        <f>'MERCADO TUSD'!$U$3</f>
        <v>65979</v>
      </c>
      <c r="J6" s="15"/>
      <c r="L6" s="13">
        <f>'TUSD BE'!$L$6*'TUSD BE'!$L$58</f>
        <v>0</v>
      </c>
      <c r="M6" s="13">
        <f>'TUSD BE'!$M$6*'TUSD BE'!$M$58</f>
        <v>0</v>
      </c>
      <c r="N6" s="13">
        <f ca="1">'TUSD BE'!$N$6*'TUSD BE'!$N$58</f>
        <v>0</v>
      </c>
      <c r="O6" s="13">
        <f>'TUSD BE'!$O$6*'TUSD BE'!$O$58</f>
        <v>0</v>
      </c>
      <c r="P6" s="13">
        <f>'TUSD BE'!$P$6*'TUSD BE'!$P$58</f>
        <v>0</v>
      </c>
      <c r="Q6" s="13">
        <f>'TUSD BE'!$Q$6*'TUSD BE'!$Q$58</f>
        <v>0</v>
      </c>
      <c r="R6" s="13">
        <f>'TUSD BE'!$R$6*'TUSD BE'!$R$58</f>
        <v>0</v>
      </c>
      <c r="S6" s="13">
        <f>'TUSD BE'!$R$6*'TUSD BE'!$S$58</f>
        <v>0</v>
      </c>
      <c r="T6" s="13">
        <f ca="1">SUM($L$6:$S$6)</f>
        <v>0</v>
      </c>
      <c r="U6" s="13">
        <f>'TUSD BE'!$U$6*'TUSD BE'!$U$58</f>
        <v>0</v>
      </c>
      <c r="V6" s="13">
        <f>'TUSD BE'!$V$6*'TUSD BE'!$V$58</f>
        <v>0</v>
      </c>
      <c r="W6" s="13">
        <f>'TUSD BE'!$W$6*'TUSD BE'!$W$58</f>
        <v>0</v>
      </c>
      <c r="X6" s="13">
        <f>'TUSD BE'!$X$6*'TUSD BE'!$X$58</f>
        <v>0</v>
      </c>
      <c r="Y6" s="13">
        <f>'TUSD BE'!$Y$6*'TUSD BE'!$Y$58</f>
        <v>0.71259216228120836</v>
      </c>
      <c r="Z6" s="13">
        <f>'TUSD BE'!$Z$6*'TUSD BE'!$Z$58</f>
        <v>0</v>
      </c>
      <c r="AA6" s="13">
        <f>'TUSD BE'!$AA$6*'TUSD BE'!$AA$58</f>
        <v>0</v>
      </c>
      <c r="AB6" s="13">
        <f>SUM($U$6:$AA$6)</f>
        <v>0.71259216228120836</v>
      </c>
      <c r="AC6" s="13">
        <f>'TUSD BE'!$AC$6*'TUSD BE'!$AC$58</f>
        <v>-13.796952233751231</v>
      </c>
      <c r="AD6" s="13">
        <f>SUM($AC$6:$AC$6)</f>
        <v>-13.796952233751231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BE'!$AH$58</f>
        <v>0</v>
      </c>
      <c r="AI6" s="13">
        <f>'TUSD BE'!$AI$6*'TUSD BE'!$AI$58</f>
        <v>0</v>
      </c>
      <c r="AJ6" s="13">
        <f ca="1">'TUSD BE'!$AJ$6*'TUSD BE'!$AJ$58</f>
        <v>0</v>
      </c>
      <c r="AK6" s="13">
        <f ca="1">'TUSD BE'!$AK$6*'TUSD BE'!$AK$58</f>
        <v>0</v>
      </c>
      <c r="AL6" s="13">
        <f ca="1">SUM($AH$6:$AK$6)</f>
        <v>0</v>
      </c>
      <c r="AM6" s="13">
        <f ca="1">SUMIF($L$4:$AL$4,"SUBTOTAL",$L$6:$AL$6)</f>
        <v>-13.084360071470023</v>
      </c>
      <c r="AO6" s="26">
        <f ca="1">+'TUSD BE'!$T$6+'TUSD BE'!$AB$6+'TUSD BE'!$AD$6+'TUSD BE'!$AL$6</f>
        <v>57.339573617855834</v>
      </c>
      <c r="AP6" s="26">
        <f ca="1">+'TUSD BE'!$T$6+'TUSD BE'!$AB$6+'TUSD BE'!$AD$6+'TUSD BE'!$AL$6</f>
        <v>57.339573617855834</v>
      </c>
    </row>
    <row r="7" spans="1:42" ht="11.25" customHeight="1" x14ac:dyDescent="0.25">
      <c r="A7" s="109"/>
      <c r="B7" s="109"/>
      <c r="C7" s="109"/>
      <c r="D7" s="109"/>
      <c r="E7" s="109"/>
      <c r="F7" s="109"/>
      <c r="G7" s="24" t="s">
        <v>77</v>
      </c>
      <c r="H7" s="24" t="s">
        <v>73</v>
      </c>
      <c r="I7" s="24">
        <f>'MERCADO TUSD'!$U$4</f>
        <v>25979.914000000001</v>
      </c>
      <c r="J7" s="15"/>
      <c r="L7" s="13">
        <f>'TUSD BE'!$L$7*'TUSD BE'!$L$58</f>
        <v>0</v>
      </c>
      <c r="M7" s="13">
        <f>'TUSD BE'!$M$7*'TUSD BE'!$M$58</f>
        <v>1.0141202074027021E-2</v>
      </c>
      <c r="N7" s="13">
        <f ca="1">'TUSD BE'!$N$7*'TUSD BE'!$N$58</f>
        <v>0</v>
      </c>
      <c r="O7" s="13">
        <f>'TUSD BE'!$O$7*'TUSD BE'!$O$58</f>
        <v>0</v>
      </c>
      <c r="P7" s="13">
        <f>'TUSD BE'!$P$7*'TUSD BE'!$P$58</f>
        <v>0</v>
      </c>
      <c r="Q7" s="13">
        <f>'TUSD BE'!$Q$7*'TUSD BE'!$Q$58</f>
        <v>-1.4879965379390053E-2</v>
      </c>
      <c r="R7" s="13">
        <f>'TUSD BE'!$R$7*'TUSD BE'!$R$58</f>
        <v>-2.5807322656065765E-2</v>
      </c>
      <c r="S7" s="13">
        <f>'TUSD BE'!$R$7*'TUSD BE'!$S$58</f>
        <v>0</v>
      </c>
      <c r="T7" s="13">
        <f ca="1">SUM($L$7:$S$7)</f>
        <v>-3.0546085961428798E-2</v>
      </c>
      <c r="U7" s="13">
        <f>'TUSD BE'!$U$7*'TUSD BE'!$U$58</f>
        <v>0</v>
      </c>
      <c r="V7" s="13">
        <f>'TUSD BE'!$V$7*'TUSD BE'!$V$58</f>
        <v>0</v>
      </c>
      <c r="W7" s="13">
        <f>'TUSD BE'!$W$7*'TUSD BE'!$W$58</f>
        <v>0</v>
      </c>
      <c r="X7" s="13">
        <f>'TUSD BE'!$X$7*'TUSD BE'!$X$58</f>
        <v>0</v>
      </c>
      <c r="Y7" s="13">
        <f>'TUSD BE'!$Y$7*'TUSD BE'!$Y$58</f>
        <v>0</v>
      </c>
      <c r="Z7" s="13">
        <f>'TUSD BE'!$Z$7*'TUSD BE'!$Z$58</f>
        <v>0</v>
      </c>
      <c r="AA7" s="13">
        <f>'TUSD BE'!$AA$7*'TUSD BE'!$AA$58</f>
        <v>0</v>
      </c>
      <c r="AB7" s="13">
        <f>SUM($U$7:$AA$7)</f>
        <v>0</v>
      </c>
      <c r="AC7" s="13">
        <f>'TUSD BE'!$AC$7*'TUSD BE'!$AC$58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BE'!$AH$58</f>
        <v>0.42522429103963932</v>
      </c>
      <c r="AI7" s="13">
        <f>'TUSD BE'!$AI$7*'TUSD BE'!$AI$58</f>
        <v>1.4917144160493874E-2</v>
      </c>
      <c r="AJ7" s="13">
        <f ca="1">'TUSD BE'!$AJ$7*'TUSD BE'!$AJ$58</f>
        <v>0</v>
      </c>
      <c r="AK7" s="13">
        <f ca="1">'TUSD BE'!$AK$7*'TUSD BE'!$AK$58</f>
        <v>0</v>
      </c>
      <c r="AL7" s="13">
        <f ca="1">SUM($AH$7:$AK$7)</f>
        <v>0.44014143520013321</v>
      </c>
      <c r="AM7" s="13">
        <f ca="1">SUMIF($L$4:$AL$4,"SUBTOTAL",$L$7:$AL$7)</f>
        <v>0.40959534923870444</v>
      </c>
      <c r="AO7" s="26">
        <f ca="1">+'TUSD BE'!$T$7+'TUSD BE'!$AB$7+'TUSD BE'!$AD$7+'TUSD BE'!$AL$7</f>
        <v>96.284087237413871</v>
      </c>
      <c r="AP7" s="26">
        <f ca="1">+'TUSD BE'!$T$7+'TUSD BE'!$AB$7+'TUSD BE'!$AD$7+'TUSD BE'!$AL$7</f>
        <v>96.284087237413871</v>
      </c>
    </row>
    <row r="8" spans="1:42" ht="11.25" customHeight="1" x14ac:dyDescent="0.25">
      <c r="A8" s="109"/>
      <c r="B8" s="109"/>
      <c r="C8" s="109"/>
      <c r="D8" s="109"/>
      <c r="E8" s="23" t="s">
        <v>81</v>
      </c>
      <c r="F8" s="23" t="s">
        <v>25</v>
      </c>
      <c r="G8" s="24" t="s">
        <v>77</v>
      </c>
      <c r="H8" s="24" t="s">
        <v>73</v>
      </c>
      <c r="I8" s="24">
        <f>'MERCADO TUSD'!$U$5</f>
        <v>0</v>
      </c>
      <c r="J8" s="15"/>
      <c r="L8" s="13">
        <f>'TUSD BE'!$L$8*'TUSD BE'!$L$58</f>
        <v>0</v>
      </c>
      <c r="M8" s="13">
        <f>'TUSD BE'!$M$8*'TUSD BE'!$M$58</f>
        <v>1.0141202074027021E-2</v>
      </c>
      <c r="N8" s="13">
        <f ca="1">'TUSD BE'!$N$8*'TUSD BE'!$N$58</f>
        <v>0</v>
      </c>
      <c r="O8" s="13">
        <f>'TUSD BE'!$O$8*'TUSD BE'!$O$58</f>
        <v>0</v>
      </c>
      <c r="P8" s="13">
        <f>'TUSD BE'!$P$8*'TUSD BE'!$P$58</f>
        <v>0</v>
      </c>
      <c r="Q8" s="13">
        <f>'TUSD BE'!$Q$8*'TUSD BE'!$Q$58</f>
        <v>0</v>
      </c>
      <c r="R8" s="13">
        <f>'TUSD BE'!$R$8*'TUSD BE'!$R$58</f>
        <v>0</v>
      </c>
      <c r="S8" s="13">
        <f>'TUSD BE'!$R$8*'TUSD BE'!$S$58</f>
        <v>0</v>
      </c>
      <c r="T8" s="13">
        <f ca="1">SUM($L$8:$S$8)</f>
        <v>1.0141202074027021E-2</v>
      </c>
      <c r="U8" s="13">
        <f>'TUSD BE'!$U$8*'TUSD BE'!$U$58</f>
        <v>0</v>
      </c>
      <c r="V8" s="13">
        <f>'TUSD BE'!$V$8*'TUSD BE'!$V$58</f>
        <v>0</v>
      </c>
      <c r="W8" s="13">
        <f>'TUSD BE'!$W$8*'TUSD BE'!$W$58</f>
        <v>0</v>
      </c>
      <c r="X8" s="13">
        <f>'TUSD BE'!$X$8*'TUSD BE'!$X$58</f>
        <v>0</v>
      </c>
      <c r="Y8" s="13">
        <f>'TUSD BE'!$Y$8*'TUSD BE'!$Y$58</f>
        <v>0</v>
      </c>
      <c r="Z8" s="13">
        <f>'TUSD BE'!$Z$8*'TUSD BE'!$Z$58</f>
        <v>0</v>
      </c>
      <c r="AA8" s="13">
        <f>'TUSD BE'!$AA$8*'TUSD BE'!$AA$58</f>
        <v>0</v>
      </c>
      <c r="AB8" s="13">
        <f>SUM($U$8:$AA$8)</f>
        <v>0</v>
      </c>
      <c r="AC8" s="13">
        <f>'TUSD BE'!$AC$8*'TUSD BE'!$AC$58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BE'!$AH$58</f>
        <v>0.42522429103963932</v>
      </c>
      <c r="AI8" s="13">
        <f>'TUSD BE'!$AI$8*'TUSD BE'!$AI$58</f>
        <v>1.4917144160493874E-2</v>
      </c>
      <c r="AJ8" s="13">
        <f ca="1">'TUSD BE'!$AJ$8*'TUSD BE'!$AJ$58</f>
        <v>0</v>
      </c>
      <c r="AK8" s="13">
        <f ca="1">'TUSD BE'!$AK$8*'TUSD BE'!$AK$58</f>
        <v>0</v>
      </c>
      <c r="AL8" s="13">
        <f ca="1">SUM($AH$8:$AK$8)</f>
        <v>0.44014143520013321</v>
      </c>
      <c r="AM8" s="13">
        <f ca="1">SUMIF($L$4:$AL$4,"SUBTOTAL",$L$8:$AL$8)</f>
        <v>0.45028263727416024</v>
      </c>
      <c r="AO8" s="26">
        <f ca="1">+'TUSD BE'!$T$8+'TUSD BE'!$AB$8+'TUSD BE'!$AD$8+'TUSD BE'!$AL$8</f>
        <v>6.5442910670896497</v>
      </c>
      <c r="AP8" s="26">
        <f ca="1">+'TUSD BE'!$T$8+'TUSD BE'!$AB$8+'TUSD BE'!$AD$8+'TUSD BE'!$AL$8</f>
        <v>6.5442910670896497</v>
      </c>
    </row>
    <row r="9" spans="1:42" ht="11.25" customHeight="1" x14ac:dyDescent="0.25">
      <c r="A9" s="109"/>
      <c r="B9" s="23" t="s">
        <v>53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78</v>
      </c>
      <c r="I9" s="24">
        <f>'MERCADO TUSD'!$U$6</f>
        <v>20640</v>
      </c>
      <c r="J9" s="15"/>
      <c r="L9" s="13">
        <f>'TUSD BE'!$L$9*'TUSD BE'!$L$58</f>
        <v>0</v>
      </c>
      <c r="M9" s="13">
        <f>'TUSD BE'!$M$9*'TUSD BE'!$M$58</f>
        <v>1.4159036206360194E-3</v>
      </c>
      <c r="N9" s="13">
        <f ca="1">'TUSD BE'!$N$9*'TUSD BE'!$N$58</f>
        <v>0</v>
      </c>
      <c r="O9" s="13">
        <f>'TUSD BE'!$O$9*'TUSD BE'!$O$58</f>
        <v>0</v>
      </c>
      <c r="P9" s="13">
        <f>'TUSD BE'!$P$9*'TUSD BE'!$P$58</f>
        <v>0</v>
      </c>
      <c r="Q9" s="13">
        <f>'TUSD BE'!$Q$9*'TUSD BE'!$Q$58</f>
        <v>0</v>
      </c>
      <c r="R9" s="13">
        <f>'TUSD BE'!$R$9*'TUSD BE'!$R$58</f>
        <v>0</v>
      </c>
      <c r="S9" s="13">
        <f>'TUSD BE'!$R$9*'TUSD BE'!$S$58</f>
        <v>0</v>
      </c>
      <c r="T9" s="13">
        <f ca="1">SUM($L$9:$S$9)</f>
        <v>1.4159036206360194E-3</v>
      </c>
      <c r="U9" s="13">
        <f>'TUSD BE'!$U$9*'TUSD BE'!$U$58</f>
        <v>0</v>
      </c>
      <c r="V9" s="13">
        <f>'TUSD BE'!$V$9*'TUSD BE'!$V$58</f>
        <v>0</v>
      </c>
      <c r="W9" s="13">
        <f>'TUSD BE'!$W$9*'TUSD BE'!$W$58</f>
        <v>0</v>
      </c>
      <c r="X9" s="13">
        <f>'TUSD BE'!$X$9*'TUSD BE'!$X$58</f>
        <v>0</v>
      </c>
      <c r="Y9" s="13">
        <f>'TUSD BE'!$Y$9*'TUSD BE'!$Y$58</f>
        <v>0</v>
      </c>
      <c r="Z9" s="13">
        <f>'TUSD BE'!$Z$9*'TUSD BE'!$Z$58</f>
        <v>0</v>
      </c>
      <c r="AA9" s="13">
        <f>'TUSD BE'!$AA$9*'TUSD BE'!$AA$58</f>
        <v>0</v>
      </c>
      <c r="AB9" s="13">
        <f>SUM($U$9:$AA$9)</f>
        <v>0</v>
      </c>
      <c r="AC9" s="13">
        <f>'TUSD BE'!$AC$9*'TUSD BE'!$AC$58</f>
        <v>-7.7470768060211306</v>
      </c>
      <c r="AD9" s="13">
        <f>SUM($AC$9:$AC$9)</f>
        <v>-7.7470768060211306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BE'!$AH$58</f>
        <v>0</v>
      </c>
      <c r="AI9" s="13">
        <f>'TUSD BE'!$AI$9*'TUSD BE'!$AI$58</f>
        <v>0</v>
      </c>
      <c r="AJ9" s="13">
        <f ca="1">'TUSD BE'!$AJ$9*'TUSD BE'!$AJ$58</f>
        <v>0</v>
      </c>
      <c r="AK9" s="13">
        <f ca="1">'TUSD BE'!$AK$9*'TUSD BE'!$AK$58</f>
        <v>0</v>
      </c>
      <c r="AL9" s="13">
        <f ca="1">SUM($AH$9:$AK$9)</f>
        <v>0</v>
      </c>
      <c r="AM9" s="13">
        <f ca="1">SUMIF($L$4:$AL$4,"SUBTOTAL",$L$9:$AL$9)</f>
        <v>-7.7456609024004948</v>
      </c>
      <c r="AO9" s="26">
        <f ca="1">+'TUSD BE'!$T$9+'TUSD BE'!$AB$9+'TUSD BE'!$AD$9+'TUSD BE'!$AL$9</f>
        <v>19.837419477664362</v>
      </c>
      <c r="AP9" s="26">
        <f ca="1">+'TUSD BE'!$T$9+'TUSD BE'!$AB$9+'TUSD BE'!$AD$9+'TUSD BE'!$AL$9</f>
        <v>19.837419477664362</v>
      </c>
    </row>
    <row r="10" spans="1:42" ht="11.25" customHeight="1" x14ac:dyDescent="0.25">
      <c r="A10" s="109"/>
      <c r="B10" s="109" t="s">
        <v>39</v>
      </c>
      <c r="C10" s="109" t="s">
        <v>25</v>
      </c>
      <c r="D10" s="109" t="s">
        <v>25</v>
      </c>
      <c r="E10" s="109" t="s">
        <v>25</v>
      </c>
      <c r="F10" s="109" t="s">
        <v>25</v>
      </c>
      <c r="G10" s="24" t="s">
        <v>9</v>
      </c>
      <c r="H10" s="24" t="s">
        <v>78</v>
      </c>
      <c r="I10" s="24">
        <f>'MERCADO TUSD'!$U$7</f>
        <v>71511</v>
      </c>
      <c r="J10" s="15"/>
      <c r="L10" s="13">
        <f>'TUSD BE'!$L$10*'TUSD BE'!$L$58</f>
        <v>0</v>
      </c>
      <c r="M10" s="13">
        <f>'TUSD BE'!$M$10*'TUSD BE'!$M$58</f>
        <v>0</v>
      </c>
      <c r="N10" s="13">
        <f ca="1">'TUSD BE'!$N$10*'TUSD BE'!$N$58</f>
        <v>0</v>
      </c>
      <c r="O10" s="13">
        <f>'TUSD BE'!$O$10*'TUSD BE'!$O$58</f>
        <v>0</v>
      </c>
      <c r="P10" s="13">
        <f>'TUSD BE'!$P$10*'TUSD BE'!$P$58</f>
        <v>0</v>
      </c>
      <c r="Q10" s="13">
        <f>'TUSD BE'!$Q$10*'TUSD BE'!$Q$58</f>
        <v>0</v>
      </c>
      <c r="R10" s="13">
        <f>'TUSD BE'!$R$10*'TUSD BE'!$R$58</f>
        <v>0</v>
      </c>
      <c r="S10" s="13">
        <f>'TUSD BE'!$R$10*'TUSD BE'!$S$58</f>
        <v>0</v>
      </c>
      <c r="T10" s="13">
        <f ca="1">SUM($L$10:$S$10)</f>
        <v>0</v>
      </c>
      <c r="U10" s="13">
        <f>'TUSD BE'!$U$10*'TUSD BE'!$U$58</f>
        <v>0</v>
      </c>
      <c r="V10" s="13">
        <f>'TUSD BE'!$V$10*'TUSD BE'!$V$58</f>
        <v>0</v>
      </c>
      <c r="W10" s="13">
        <f>'TUSD BE'!$W$10*'TUSD BE'!$W$58</f>
        <v>0</v>
      </c>
      <c r="X10" s="13">
        <f>'TUSD BE'!$X$10*'TUSD BE'!$X$58</f>
        <v>0</v>
      </c>
      <c r="Y10" s="13">
        <f>'TUSD BE'!$Y$10*'TUSD BE'!$Y$58</f>
        <v>0.71259216228120836</v>
      </c>
      <c r="Z10" s="13">
        <f>'TUSD BE'!$Z$10*'TUSD BE'!$Z$58</f>
        <v>0</v>
      </c>
      <c r="AA10" s="13">
        <f>'TUSD BE'!$AA$10*'TUSD BE'!$AA$58</f>
        <v>0</v>
      </c>
      <c r="AB10" s="13">
        <f>SUM($U$10:$AA$10)</f>
        <v>0.71259216228120836</v>
      </c>
      <c r="AC10" s="13">
        <f>'TUSD BE'!$AC$10*'TUSD BE'!$AC$58</f>
        <v>-13.796952233751231</v>
      </c>
      <c r="AD10" s="13">
        <f>SUM($AC$10:$AC$10)</f>
        <v>-13.796952233751231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BE'!$AH$58</f>
        <v>0</v>
      </c>
      <c r="AI10" s="13">
        <f>'TUSD BE'!$AI$10*'TUSD BE'!$AI$58</f>
        <v>0</v>
      </c>
      <c r="AJ10" s="13">
        <f ca="1">'TUSD BE'!$AJ$10*'TUSD BE'!$AJ$58</f>
        <v>0</v>
      </c>
      <c r="AK10" s="13">
        <f ca="1">'TUSD BE'!$AK$10*'TUSD BE'!$AK$58</f>
        <v>0</v>
      </c>
      <c r="AL10" s="13">
        <f ca="1">SUM($AH$10:$AK$10)</f>
        <v>0</v>
      </c>
      <c r="AM10" s="13">
        <f ca="1">SUMIF($L$4:$AL$4,"SUBTOTAL",$L$10:$AL$10)</f>
        <v>-13.084360071470023</v>
      </c>
      <c r="AO10" s="26">
        <f ca="1">+'TUSD BE'!$T$10+'TUSD BE'!$AB$10+'TUSD BE'!$AD$10+'TUSD BE'!$AL$10</f>
        <v>57.339573617855834</v>
      </c>
      <c r="AP10" s="26">
        <f ca="1">+'TUSD BE'!$T$10+'TUSD BE'!$AB$10+'TUSD BE'!$AD$10+'TUSD BE'!$AL$10</f>
        <v>57.339573617855834</v>
      </c>
    </row>
    <row r="11" spans="1:42" ht="11.25" customHeight="1" x14ac:dyDescent="0.25">
      <c r="A11" s="109"/>
      <c r="B11" s="109"/>
      <c r="C11" s="109"/>
      <c r="D11" s="109"/>
      <c r="E11" s="109"/>
      <c r="F11" s="109"/>
      <c r="G11" s="24" t="s">
        <v>74</v>
      </c>
      <c r="H11" s="24" t="s">
        <v>73</v>
      </c>
      <c r="I11" s="24">
        <f>'MERCADO TUSD'!$U$8</f>
        <v>353.77000000000004</v>
      </c>
      <c r="J11" s="15"/>
      <c r="L11" s="13">
        <f>'TUSD BE'!$L$11*'TUSD BE'!$L$58</f>
        <v>0</v>
      </c>
      <c r="M11" s="13">
        <f>'TUSD BE'!$M$11*'TUSD BE'!$M$58</f>
        <v>1.0141202074027021E-2</v>
      </c>
      <c r="N11" s="13">
        <f ca="1">'TUSD BE'!$N$11*'TUSD BE'!$N$58</f>
        <v>0</v>
      </c>
      <c r="O11" s="13">
        <f>'TUSD BE'!$O$11*'TUSD BE'!$O$58</f>
        <v>0</v>
      </c>
      <c r="P11" s="13">
        <f>'TUSD BE'!$P$11*'TUSD BE'!$P$58</f>
        <v>0</v>
      </c>
      <c r="Q11" s="13">
        <f>'TUSD BE'!$Q$11*'TUSD BE'!$Q$58</f>
        <v>-1.4879965379390053E-2</v>
      </c>
      <c r="R11" s="13">
        <f>'TUSD BE'!$R$11*'TUSD BE'!$R$58</f>
        <v>-2.5807322656065765E-2</v>
      </c>
      <c r="S11" s="13">
        <f>'TUSD BE'!$R$11*'TUSD BE'!$S$58</f>
        <v>0</v>
      </c>
      <c r="T11" s="13">
        <f ca="1">SUM($L$11:$S$11)</f>
        <v>-3.0546085961428798E-2</v>
      </c>
      <c r="U11" s="13">
        <f>'TUSD BE'!$U$11*'TUSD BE'!$U$58</f>
        <v>0</v>
      </c>
      <c r="V11" s="13">
        <f>'TUSD BE'!$V$11*'TUSD BE'!$V$58</f>
        <v>0</v>
      </c>
      <c r="W11" s="13">
        <f>'TUSD BE'!$W$11*'TUSD BE'!$W$58</f>
        <v>0</v>
      </c>
      <c r="X11" s="13">
        <f>'TUSD BE'!$X$11*'TUSD BE'!$X$58</f>
        <v>0</v>
      </c>
      <c r="Y11" s="13">
        <f>'TUSD BE'!$Y$11*'TUSD BE'!$Y$58</f>
        <v>32.456237162839102</v>
      </c>
      <c r="Z11" s="13">
        <f>'TUSD BE'!$Z$11*'TUSD BE'!$Z$58</f>
        <v>0</v>
      </c>
      <c r="AA11" s="13">
        <f>'TUSD BE'!$AA$11*'TUSD BE'!$AA$58</f>
        <v>0</v>
      </c>
      <c r="AB11" s="13">
        <f>SUM($U$11:$AA$11)</f>
        <v>32.456237162839102</v>
      </c>
      <c r="AC11" s="13">
        <f>'TUSD BE'!$AC$11*'TUSD BE'!$AC$58</f>
        <v>-739.952129597512</v>
      </c>
      <c r="AD11" s="13">
        <f>SUM($AC$11:$AC$11)</f>
        <v>-739.952129597512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BE'!$AH$58</f>
        <v>0.42522429103963932</v>
      </c>
      <c r="AI11" s="13">
        <f>'TUSD BE'!$AI$11*'TUSD BE'!$AI$58</f>
        <v>1.4917144160493874E-2</v>
      </c>
      <c r="AJ11" s="13">
        <f ca="1">'TUSD BE'!$AJ$11*'TUSD BE'!$AJ$58</f>
        <v>0</v>
      </c>
      <c r="AK11" s="13">
        <f ca="1">'TUSD BE'!$AK$11*'TUSD BE'!$AK$58</f>
        <v>0</v>
      </c>
      <c r="AL11" s="13">
        <f ca="1">SUM($AH$11:$AK$11)</f>
        <v>0.44014143520013321</v>
      </c>
      <c r="AM11" s="13">
        <f ca="1">SUMIF($L$4:$AL$4,"SUBTOTAL",$L$11:$AL$11)</f>
        <v>-707.08629708543413</v>
      </c>
      <c r="AO11" s="26">
        <f ca="1">+'TUSD BE'!$T$11+'TUSD BE'!$AB$11+'TUSD BE'!$AD$11+'TUSD BE'!$AL$11</f>
        <v>2991.3022322325064</v>
      </c>
      <c r="AP11" s="26">
        <f ca="1">+'TUSD BE'!$T$11+'TUSD BE'!$AB$11+'TUSD BE'!$AD$11+'TUSD BE'!$AL$11</f>
        <v>2991.3022322325064</v>
      </c>
    </row>
    <row r="12" spans="1:42" ht="11.25" customHeight="1" x14ac:dyDescent="0.25">
      <c r="A12" s="109"/>
      <c r="B12" s="109"/>
      <c r="C12" s="109"/>
      <c r="D12" s="109"/>
      <c r="E12" s="109"/>
      <c r="F12" s="109"/>
      <c r="G12" s="24" t="s">
        <v>75</v>
      </c>
      <c r="H12" s="24" t="s">
        <v>73</v>
      </c>
      <c r="I12" s="24">
        <f>'MERCADO TUSD'!$U$9</f>
        <v>15360.976999999999</v>
      </c>
      <c r="J12" s="15"/>
      <c r="L12" s="13">
        <f>'TUSD BE'!$L$12*'TUSD BE'!$L$58</f>
        <v>0</v>
      </c>
      <c r="M12" s="13">
        <f>'TUSD BE'!$M$12*'TUSD BE'!$M$58</f>
        <v>1.0141202074027021E-2</v>
      </c>
      <c r="N12" s="13">
        <f ca="1">'TUSD BE'!$N$12*'TUSD BE'!$N$58</f>
        <v>0</v>
      </c>
      <c r="O12" s="13">
        <f>'TUSD BE'!$O$12*'TUSD BE'!$O$58</f>
        <v>0</v>
      </c>
      <c r="P12" s="13">
        <f>'TUSD BE'!$P$12*'TUSD BE'!$P$58</f>
        <v>0</v>
      </c>
      <c r="Q12" s="13">
        <f>'TUSD BE'!$Q$12*'TUSD BE'!$Q$58</f>
        <v>-1.4879965379390053E-2</v>
      </c>
      <c r="R12" s="13">
        <f>'TUSD BE'!$R$12*'TUSD BE'!$R$58</f>
        <v>-2.5807322656065765E-2</v>
      </c>
      <c r="S12" s="13">
        <f>'TUSD BE'!$R$12*'TUSD BE'!$S$58</f>
        <v>0</v>
      </c>
      <c r="T12" s="13">
        <f ca="1">SUM($L$12:$S$12)</f>
        <v>-3.0546085961428798E-2</v>
      </c>
      <c r="U12" s="13">
        <f>'TUSD BE'!$U$12*'TUSD BE'!$U$58</f>
        <v>0</v>
      </c>
      <c r="V12" s="13">
        <f>'TUSD BE'!$V$12*'TUSD BE'!$V$58</f>
        <v>0</v>
      </c>
      <c r="W12" s="13">
        <f>'TUSD BE'!$W$12*'TUSD BE'!$W$58</f>
        <v>0</v>
      </c>
      <c r="X12" s="13">
        <f>'TUSD BE'!$X$12*'TUSD BE'!$X$58</f>
        <v>0</v>
      </c>
      <c r="Y12" s="13">
        <f>'TUSD BE'!$Y$12*'TUSD BE'!$Y$58</f>
        <v>0</v>
      </c>
      <c r="Z12" s="13">
        <f>'TUSD BE'!$Z$12*'TUSD BE'!$Z$58</f>
        <v>0</v>
      </c>
      <c r="AA12" s="13">
        <f>'TUSD BE'!$AA$12*'TUSD BE'!$AA$58</f>
        <v>0</v>
      </c>
      <c r="AB12" s="13">
        <f>SUM($U$12:$AA$12)</f>
        <v>0</v>
      </c>
      <c r="AC12" s="13">
        <f>'TUSD BE'!$AC$12*'TUSD BE'!$AC$58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BE'!$AH$58</f>
        <v>0.42522429103963932</v>
      </c>
      <c r="AI12" s="13">
        <f>'TUSD BE'!$AI$12*'TUSD BE'!$AI$58</f>
        <v>1.4917144160493874E-2</v>
      </c>
      <c r="AJ12" s="13">
        <f ca="1">'TUSD BE'!$AJ$12*'TUSD BE'!$AJ$58</f>
        <v>0</v>
      </c>
      <c r="AK12" s="13">
        <f ca="1">'TUSD BE'!$AK$12*'TUSD BE'!$AK$58</f>
        <v>0</v>
      </c>
      <c r="AL12" s="13">
        <f ca="1">SUM($AH$12:$AK$12)</f>
        <v>0.44014143520013321</v>
      </c>
      <c r="AM12" s="13">
        <f ca="1">SUMIF($L$4:$AL$4,"SUBTOTAL",$L$12:$AL$12)</f>
        <v>0.40959534923870444</v>
      </c>
      <c r="AO12" s="26">
        <f ca="1">+'TUSD BE'!$T$12+'TUSD BE'!$AB$12+'TUSD BE'!$AD$12+'TUSD BE'!$AL$12</f>
        <v>96.284087237413871</v>
      </c>
      <c r="AP12" s="26">
        <f ca="1">+'TUSD BE'!$T$12+'TUSD BE'!$AB$12+'TUSD BE'!$AD$12+'TUSD BE'!$AL$12</f>
        <v>96.284087237413871</v>
      </c>
    </row>
    <row r="13" spans="1:42" ht="11.25" customHeight="1" x14ac:dyDescent="0.25">
      <c r="A13" s="109"/>
      <c r="B13" s="109"/>
      <c r="C13" s="109"/>
      <c r="D13" s="109"/>
      <c r="E13" s="109" t="s">
        <v>81</v>
      </c>
      <c r="F13" s="109" t="s">
        <v>25</v>
      </c>
      <c r="G13" s="24" t="s">
        <v>74</v>
      </c>
      <c r="H13" s="24" t="s">
        <v>73</v>
      </c>
      <c r="I13" s="24">
        <f>'MERCADO TUSD'!$U$10</f>
        <v>0</v>
      </c>
      <c r="J13" s="15"/>
      <c r="L13" s="13">
        <f>'TUSD BE'!$L$13*'TUSD BE'!$L$58</f>
        <v>0</v>
      </c>
      <c r="M13" s="13">
        <f>'TUSD BE'!$M$13*'TUSD BE'!$M$58</f>
        <v>1.0141202074027021E-2</v>
      </c>
      <c r="N13" s="13">
        <f ca="1">'TUSD BE'!$N$13*'TUSD BE'!$N$58</f>
        <v>0</v>
      </c>
      <c r="O13" s="13">
        <f>'TUSD BE'!$O$13*'TUSD BE'!$O$58</f>
        <v>0</v>
      </c>
      <c r="P13" s="13">
        <f>'TUSD BE'!$P$13*'TUSD BE'!$P$58</f>
        <v>0</v>
      </c>
      <c r="Q13" s="13">
        <f>'TUSD BE'!$Q$13*'TUSD BE'!$Q$58</f>
        <v>0</v>
      </c>
      <c r="R13" s="13">
        <f>'TUSD BE'!$R$13*'TUSD BE'!$R$58</f>
        <v>0</v>
      </c>
      <c r="S13" s="13">
        <f>'TUSD BE'!$R$13*'TUSD BE'!$S$58</f>
        <v>0</v>
      </c>
      <c r="T13" s="13">
        <f ca="1">SUM($L$13:$S$13)</f>
        <v>1.0141202074027021E-2</v>
      </c>
      <c r="U13" s="13">
        <f>'TUSD BE'!$U$13*'TUSD BE'!$U$58</f>
        <v>0</v>
      </c>
      <c r="V13" s="13">
        <f>'TUSD BE'!$V$13*'TUSD BE'!$V$58</f>
        <v>0</v>
      </c>
      <c r="W13" s="13">
        <f>'TUSD BE'!$W$13*'TUSD BE'!$W$58</f>
        <v>0</v>
      </c>
      <c r="X13" s="13">
        <f>'TUSD BE'!$X$13*'TUSD BE'!$X$58</f>
        <v>0</v>
      </c>
      <c r="Y13" s="13">
        <f>'TUSD BE'!$Y$13*'TUSD BE'!$Y$58</f>
        <v>32.456237162839102</v>
      </c>
      <c r="Z13" s="13">
        <f>'TUSD BE'!$Z$13*'TUSD BE'!$Z$58</f>
        <v>0</v>
      </c>
      <c r="AA13" s="13">
        <f>'TUSD BE'!$AA$13*'TUSD BE'!$AA$58</f>
        <v>0</v>
      </c>
      <c r="AB13" s="13">
        <f>SUM($U$13:$AA$13)</f>
        <v>32.456237162839102</v>
      </c>
      <c r="AC13" s="13">
        <f>'TUSD BE'!$AC$13*'TUSD BE'!$AC$58</f>
        <v>-739.952129597512</v>
      </c>
      <c r="AD13" s="13">
        <f>SUM($AC$13:$AC$13)</f>
        <v>-739.952129597512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BE'!$AH$58</f>
        <v>0.42522429103963932</v>
      </c>
      <c r="AI13" s="13">
        <f>'TUSD BE'!$AI$13*'TUSD BE'!$AI$58</f>
        <v>1.4917144160493874E-2</v>
      </c>
      <c r="AJ13" s="13">
        <f ca="1">'TUSD BE'!$AJ$13*'TUSD BE'!$AJ$58</f>
        <v>0</v>
      </c>
      <c r="AK13" s="13">
        <f ca="1">'TUSD BE'!$AK$13*'TUSD BE'!$AK$58</f>
        <v>0</v>
      </c>
      <c r="AL13" s="13">
        <f ca="1">SUM($AH$13:$AK$13)</f>
        <v>0.44014143520013321</v>
      </c>
      <c r="AM13" s="13">
        <f ca="1">SUMIF($L$4:$AL$4,"SUBTOTAL",$L$13:$AL$13)</f>
        <v>-707.0456097973987</v>
      </c>
      <c r="AO13" s="26">
        <f ca="1">+'TUSD BE'!$T$13+'TUSD BE'!$AB$13+'TUSD BE'!$AD$13+'TUSD BE'!$AL$13</f>
        <v>2901.5624360621819</v>
      </c>
      <c r="AP13" s="26">
        <f ca="1">+'TUSD BE'!$T$13+'TUSD BE'!$AB$13+'TUSD BE'!$AD$13+'TUSD BE'!$AL$13</f>
        <v>2901.5624360621819</v>
      </c>
    </row>
    <row r="14" spans="1:42" ht="11.25" customHeight="1" x14ac:dyDescent="0.25">
      <c r="A14" s="109"/>
      <c r="B14" s="109"/>
      <c r="C14" s="109"/>
      <c r="D14" s="109"/>
      <c r="E14" s="109"/>
      <c r="F14" s="109"/>
      <c r="G14" s="24" t="s">
        <v>75</v>
      </c>
      <c r="H14" s="24" t="s">
        <v>73</v>
      </c>
      <c r="I14" s="24">
        <f>'MERCADO TUSD'!$U$11</f>
        <v>0</v>
      </c>
      <c r="J14" s="15"/>
      <c r="L14" s="13">
        <f>'TUSD BE'!$L$14*'TUSD BE'!$L$58</f>
        <v>0</v>
      </c>
      <c r="M14" s="13">
        <f>'TUSD BE'!$M$14*'TUSD BE'!$M$58</f>
        <v>1.0141202074027021E-2</v>
      </c>
      <c r="N14" s="13">
        <f ca="1">'TUSD BE'!$N$14*'TUSD BE'!$N$58</f>
        <v>0</v>
      </c>
      <c r="O14" s="13">
        <f>'TUSD BE'!$O$14*'TUSD BE'!$O$58</f>
        <v>0</v>
      </c>
      <c r="P14" s="13">
        <f>'TUSD BE'!$P$14*'TUSD BE'!$P$58</f>
        <v>0</v>
      </c>
      <c r="Q14" s="13">
        <f>'TUSD BE'!$Q$14*'TUSD BE'!$Q$58</f>
        <v>0</v>
      </c>
      <c r="R14" s="13">
        <f>'TUSD BE'!$R$14*'TUSD BE'!$R$58</f>
        <v>0</v>
      </c>
      <c r="S14" s="13">
        <f>'TUSD BE'!$R$14*'TUSD BE'!$S$58</f>
        <v>0</v>
      </c>
      <c r="T14" s="13">
        <f ca="1">SUM($L$14:$S$14)</f>
        <v>1.0141202074027021E-2</v>
      </c>
      <c r="U14" s="13">
        <f>'TUSD BE'!$U$14*'TUSD BE'!$U$58</f>
        <v>0</v>
      </c>
      <c r="V14" s="13">
        <f>'TUSD BE'!$V$14*'TUSD BE'!$V$58</f>
        <v>0</v>
      </c>
      <c r="W14" s="13">
        <f>'TUSD BE'!$W$14*'TUSD BE'!$W$58</f>
        <v>0</v>
      </c>
      <c r="X14" s="13">
        <f>'TUSD BE'!$X$14*'TUSD BE'!$X$58</f>
        <v>0</v>
      </c>
      <c r="Y14" s="13">
        <f>'TUSD BE'!$Y$14*'TUSD BE'!$Y$58</f>
        <v>0</v>
      </c>
      <c r="Z14" s="13">
        <f>'TUSD BE'!$Z$14*'TUSD BE'!$Z$58</f>
        <v>0</v>
      </c>
      <c r="AA14" s="13">
        <f>'TUSD BE'!$AA$14*'TUSD BE'!$AA$58</f>
        <v>0</v>
      </c>
      <c r="AB14" s="13">
        <f>SUM($U$14:$AA$14)</f>
        <v>0</v>
      </c>
      <c r="AC14" s="13">
        <f>'TUSD BE'!$AC$14*'TUSD BE'!$AC$58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BE'!$AH$58</f>
        <v>0.42522429103963932</v>
      </c>
      <c r="AI14" s="13">
        <f>'TUSD BE'!$AI$14*'TUSD BE'!$AI$58</f>
        <v>1.4917144160493874E-2</v>
      </c>
      <c r="AJ14" s="13">
        <f ca="1">'TUSD BE'!$AJ$14*'TUSD BE'!$AJ$58</f>
        <v>0</v>
      </c>
      <c r="AK14" s="13">
        <f ca="1">'TUSD BE'!$AK$14*'TUSD BE'!$AK$58</f>
        <v>0</v>
      </c>
      <c r="AL14" s="13">
        <f ca="1">SUM($AH$14:$AK$14)</f>
        <v>0.44014143520013321</v>
      </c>
      <c r="AM14" s="13">
        <f ca="1">SUMIF($L$4:$AL$4,"SUBTOTAL",$L$14:$AL$14)</f>
        <v>0.45028263727416024</v>
      </c>
      <c r="AO14" s="26">
        <f ca="1">+'TUSD BE'!$T$14+'TUSD BE'!$AB$14+'TUSD BE'!$AD$14+'TUSD BE'!$AL$14</f>
        <v>6.5442910670896497</v>
      </c>
      <c r="AP14" s="26">
        <f ca="1">+'TUSD BE'!$T$14+'TUSD BE'!$AB$14+'TUSD BE'!$AD$14+'TUSD BE'!$AL$14</f>
        <v>6.5442910670896497</v>
      </c>
    </row>
    <row r="15" spans="1:42" ht="11.25" customHeight="1" x14ac:dyDescent="0.25">
      <c r="A15" s="109" t="s">
        <v>82</v>
      </c>
      <c r="B15" s="109" t="s">
        <v>53</v>
      </c>
      <c r="C15" s="109" t="s">
        <v>25</v>
      </c>
      <c r="D15" s="109" t="s">
        <v>25</v>
      </c>
      <c r="E15" s="23" t="s">
        <v>83</v>
      </c>
      <c r="F15" s="23" t="s">
        <v>25</v>
      </c>
      <c r="G15" s="24" t="s">
        <v>9</v>
      </c>
      <c r="H15" s="24" t="s">
        <v>78</v>
      </c>
      <c r="I15" s="24">
        <f>'MERCADO TUSD'!$U$12+0.00000001</f>
        <v>1E-8</v>
      </c>
      <c r="J15" s="15"/>
      <c r="L15" s="13">
        <f>'TUSD BE'!$L$15*'TUSD BE'!$L$58</f>
        <v>0</v>
      </c>
      <c r="M15" s="13">
        <f>'TUSD BE'!$M$15*'TUSD BE'!$M$58</f>
        <v>6.3751328007226305E-4</v>
      </c>
      <c r="N15" s="13">
        <f ca="1">'TUSD BE'!$N$15*'TUSD BE'!$N$58</f>
        <v>0</v>
      </c>
      <c r="O15" s="13">
        <f>'TUSD BE'!$O$15*'TUSD BE'!$O$58</f>
        <v>0</v>
      </c>
      <c r="P15" s="13">
        <f>'TUSD BE'!$P$15*'TUSD BE'!$P$58</f>
        <v>0</v>
      </c>
      <c r="Q15" s="13">
        <f>'TUSD BE'!$Q$15*'TUSD BE'!$Q$58</f>
        <v>0</v>
      </c>
      <c r="R15" s="13">
        <f>'TUSD BE'!$R$15*'TUSD BE'!$R$58</f>
        <v>0</v>
      </c>
      <c r="S15" s="13">
        <f>'TUSD BE'!$R$15*'TUSD BE'!$S$58</f>
        <v>0</v>
      </c>
      <c r="T15" s="13">
        <f ca="1">SUM($L$15:$S$15)</f>
        <v>6.3751328007226305E-4</v>
      </c>
      <c r="U15" s="13">
        <f>'TUSD BE'!$U$15*'TUSD BE'!$U$58</f>
        <v>0</v>
      </c>
      <c r="V15" s="13">
        <f>'TUSD BE'!$V$15*'TUSD BE'!$V$58</f>
        <v>0</v>
      </c>
      <c r="W15" s="13">
        <f>'TUSD BE'!$W$15*'TUSD BE'!$W$58</f>
        <v>0</v>
      </c>
      <c r="X15" s="13">
        <f>'TUSD BE'!$X$15*'TUSD BE'!$X$58</f>
        <v>0</v>
      </c>
      <c r="Y15" s="13">
        <f>'TUSD BE'!$Y$15*'TUSD BE'!$Y$58</f>
        <v>0</v>
      </c>
      <c r="Z15" s="13">
        <f>'TUSD BE'!$Z$15*'TUSD BE'!$Z$58</f>
        <v>0</v>
      </c>
      <c r="AA15" s="13">
        <f>'TUSD BE'!$AA$15*'TUSD BE'!$AA$58</f>
        <v>0</v>
      </c>
      <c r="AB15" s="13">
        <f>SUM($U$15:$AA$15)</f>
        <v>0</v>
      </c>
      <c r="AC15" s="13">
        <f>'TUSD BE'!$AC$15*'TUSD BE'!$AC$58</f>
        <v>-6.9741137076204067</v>
      </c>
      <c r="AD15" s="13">
        <f>SUM($AC$15:$AC$15)</f>
        <v>-6.9741137076204067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BE'!$AH$58</f>
        <v>0</v>
      </c>
      <c r="AI15" s="13">
        <f>'TUSD BE'!$AI$15*'TUSD BE'!$AI$58</f>
        <v>0</v>
      </c>
      <c r="AJ15" s="13">
        <f ca="1">'TUSD BE'!$AJ$15*'TUSD BE'!$AJ$58</f>
        <v>0</v>
      </c>
      <c r="AK15" s="13">
        <f ca="1">'TUSD BE'!$AK$15*'TUSD BE'!$AK$58</f>
        <v>0</v>
      </c>
      <c r="AL15" s="13">
        <f ca="1">SUM($AH$15:$AK$15)</f>
        <v>0</v>
      </c>
      <c r="AM15" s="13">
        <f ca="1">SUMIF($L$4:$AL$4,"SUBTOTAL",$L$15:$AL$15)</f>
        <v>-6.9734761943403347</v>
      </c>
      <c r="AO15" s="26">
        <f ca="1">+'TUSD BE'!$T$15+'TUSD BE'!$AB$15+'TUSD BE'!$AD$15+'TUSD BE'!$AL$15</f>
        <v>17.788132351552896</v>
      </c>
      <c r="AP15" s="26">
        <f ca="1">+'TUSD BE'!$T$15+'TUSD BE'!$AB$15+'TUSD BE'!$AD$15+'TUSD BE'!$AL$15</f>
        <v>17.788132351552896</v>
      </c>
    </row>
    <row r="16" spans="1:42" ht="11.25" customHeight="1" x14ac:dyDescent="0.25">
      <c r="A16" s="109"/>
      <c r="B16" s="109"/>
      <c r="C16" s="109"/>
      <c r="D16" s="109"/>
      <c r="E16" s="23" t="s">
        <v>84</v>
      </c>
      <c r="F16" s="23" t="s">
        <v>25</v>
      </c>
      <c r="G16" s="24" t="s">
        <v>9</v>
      </c>
      <c r="H16" s="24" t="s">
        <v>78</v>
      </c>
      <c r="I16" s="24">
        <f>'MERCADO TUSD'!$U$13+0.00000001</f>
        <v>1E-8</v>
      </c>
      <c r="J16" s="15"/>
      <c r="L16" s="13">
        <f>'TUSD BE'!$L$16*'TUSD BE'!$L$58</f>
        <v>0</v>
      </c>
      <c r="M16" s="13">
        <f>'TUSD BE'!$M$16*'TUSD BE'!$M$58</f>
        <v>6.3751328007226305E-4</v>
      </c>
      <c r="N16" s="13">
        <f ca="1">'TUSD BE'!$N$16*'TUSD BE'!$N$58</f>
        <v>0</v>
      </c>
      <c r="O16" s="13">
        <f>'TUSD BE'!$O$16*'TUSD BE'!$O$58</f>
        <v>0</v>
      </c>
      <c r="P16" s="13">
        <f>'TUSD BE'!$P$16*'TUSD BE'!$P$58</f>
        <v>0</v>
      </c>
      <c r="Q16" s="13">
        <f>'TUSD BE'!$Q$16*'TUSD BE'!$Q$58</f>
        <v>0</v>
      </c>
      <c r="R16" s="13">
        <f>'TUSD BE'!$R$16*'TUSD BE'!$R$58</f>
        <v>0</v>
      </c>
      <c r="S16" s="13">
        <f>'TUSD BE'!$R$16*'TUSD BE'!$S$58</f>
        <v>0</v>
      </c>
      <c r="T16" s="13">
        <f ca="1">SUM($L$16:$S$16)</f>
        <v>6.3751328007226305E-4</v>
      </c>
      <c r="U16" s="13">
        <f>'TUSD BE'!$U$16*'TUSD BE'!$U$58</f>
        <v>0</v>
      </c>
      <c r="V16" s="13">
        <f>'TUSD BE'!$V$16*'TUSD BE'!$V$58</f>
        <v>0</v>
      </c>
      <c r="W16" s="13">
        <f>'TUSD BE'!$W$16*'TUSD BE'!$W$58</f>
        <v>0</v>
      </c>
      <c r="X16" s="13">
        <f>'TUSD BE'!$X$16*'TUSD BE'!$X$58</f>
        <v>0</v>
      </c>
      <c r="Y16" s="13">
        <f>'TUSD BE'!$Y$16*'TUSD BE'!$Y$58</f>
        <v>0</v>
      </c>
      <c r="Z16" s="13">
        <f>'TUSD BE'!$Z$16*'TUSD BE'!$Z$58</f>
        <v>0</v>
      </c>
      <c r="AA16" s="13">
        <f>'TUSD BE'!$AA$16*'TUSD BE'!$AA$58</f>
        <v>0</v>
      </c>
      <c r="AB16" s="13">
        <f>SUM($U$16:$AA$16)</f>
        <v>0</v>
      </c>
      <c r="AC16" s="13">
        <f>'TUSD BE'!$AC$16*'TUSD BE'!$AC$58</f>
        <v>-17.315505236029466</v>
      </c>
      <c r="AD16" s="13">
        <f>SUM($AC$16:$AC$16)</f>
        <v>-17.315505236029466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BE'!$AH$58</f>
        <v>0</v>
      </c>
      <c r="AI16" s="13">
        <f>'TUSD BE'!$AI$16*'TUSD BE'!$AI$58</f>
        <v>0</v>
      </c>
      <c r="AJ16" s="13">
        <f ca="1">'TUSD BE'!$AJ$16*'TUSD BE'!$AJ$58</f>
        <v>0</v>
      </c>
      <c r="AK16" s="13">
        <f ca="1">'TUSD BE'!$AK$16*'TUSD BE'!$AK$58</f>
        <v>0</v>
      </c>
      <c r="AL16" s="13">
        <f ca="1">SUM($AH$16:$AK$16)</f>
        <v>0</v>
      </c>
      <c r="AM16" s="13">
        <f ca="1">SUMIF($L$4:$AL$4,"SUBTOTAL",$L$16:$AL$16)</f>
        <v>-17.314867722749394</v>
      </c>
      <c r="AO16" s="26">
        <f ca="1">+'TUSD BE'!$T$16+'TUSD BE'!$AB$16+'TUSD BE'!$AD$16+'TUSD BE'!$AL$16</f>
        <v>44.060942755628894</v>
      </c>
      <c r="AP16" s="26">
        <f ca="1">+'TUSD BE'!$T$16+'TUSD BE'!$AB$16+'TUSD BE'!$AD$16+'TUSD BE'!$AL$16</f>
        <v>44.060942755628894</v>
      </c>
    </row>
    <row r="17" spans="1:42" ht="11.25" customHeight="1" x14ac:dyDescent="0.25">
      <c r="A17" s="109" t="s">
        <v>22</v>
      </c>
      <c r="B17" s="109" t="s">
        <v>86</v>
      </c>
      <c r="C17" s="109" t="s">
        <v>24</v>
      </c>
      <c r="D17" s="109" t="s">
        <v>24</v>
      </c>
      <c r="E17" s="109" t="s">
        <v>25</v>
      </c>
      <c r="F17" s="109" t="s">
        <v>25</v>
      </c>
      <c r="G17" s="24" t="s">
        <v>74</v>
      </c>
      <c r="H17" s="24" t="s">
        <v>73</v>
      </c>
      <c r="I17" s="24">
        <f>'MERCADO TUSD'!$U$14</f>
        <v>0</v>
      </c>
      <c r="J17" s="15"/>
      <c r="L17" s="13">
        <f>'TUSD BE'!$L$17*'TUSD BE'!$L$58</f>
        <v>0</v>
      </c>
      <c r="M17" s="13">
        <f>'TUSD BE'!$M$17*'TUSD BE'!$M$58</f>
        <v>1.9852577602251825E-2</v>
      </c>
      <c r="N17" s="13">
        <f ca="1">'TUSD BE'!$N$17*'TUSD BE'!$N$58</f>
        <v>0</v>
      </c>
      <c r="O17" s="13">
        <f>'TUSD BE'!$O$17*'TUSD BE'!$O$58</f>
        <v>0</v>
      </c>
      <c r="P17" s="13">
        <f>'TUSD BE'!$P$17*'TUSD BE'!$P$58</f>
        <v>0</v>
      </c>
      <c r="Q17" s="13">
        <f>'TUSD BE'!$Q$17*'TUSD BE'!$Q$58</f>
        <v>-1.7714244499273869E-2</v>
      </c>
      <c r="R17" s="13">
        <f>'TUSD BE'!$R$17*'TUSD BE'!$R$58</f>
        <v>-2.5807322656065765E-2</v>
      </c>
      <c r="S17" s="13">
        <f>'TUSD BE'!$R$17*'TUSD BE'!$S$58</f>
        <v>0</v>
      </c>
      <c r="T17" s="13">
        <f ca="1">SUM($L$17:$S$17)</f>
        <v>-2.366898955308781E-2</v>
      </c>
      <c r="U17" s="13">
        <f>'TUSD BE'!$U$17*'TUSD BE'!$U$58</f>
        <v>0</v>
      </c>
      <c r="V17" s="13">
        <f>'TUSD BE'!$V$17*'TUSD BE'!$V$58</f>
        <v>0</v>
      </c>
      <c r="W17" s="13">
        <f>'TUSD BE'!$W$17*'TUSD BE'!$W$58</f>
        <v>0</v>
      </c>
      <c r="X17" s="13">
        <f>'TUSD BE'!$X$17*'TUSD BE'!$X$58</f>
        <v>0</v>
      </c>
      <c r="Y17" s="13">
        <f>'TUSD BE'!$Y$17*'TUSD BE'!$Y$58</f>
        <v>13.686562717608735</v>
      </c>
      <c r="Z17" s="13">
        <f>'TUSD BE'!$Z$17*'TUSD BE'!$Z$58</f>
        <v>0</v>
      </c>
      <c r="AA17" s="13">
        <f>'TUSD BE'!$AA$17*'TUSD BE'!$AA$58</f>
        <v>0</v>
      </c>
      <c r="AB17" s="13">
        <f>SUM($U$17:$AA$17)</f>
        <v>13.686562717608735</v>
      </c>
      <c r="AC17" s="13">
        <f>'TUSD BE'!$AC$17*'TUSD BE'!$AC$58</f>
        <v>-584.52093960016271</v>
      </c>
      <c r="AD17" s="13">
        <f>SUM($AC$17:$AC$17)</f>
        <v>-584.52093960016271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BE'!$AH$58</f>
        <v>2.2906483539244862</v>
      </c>
      <c r="AI17" s="13">
        <f>'TUSD BE'!$AI$17*'TUSD BE'!$AI$58</f>
        <v>8.0357431211059954E-2</v>
      </c>
      <c r="AJ17" s="13">
        <f ca="1">'TUSD BE'!$AJ$17*'TUSD BE'!$AJ$58</f>
        <v>0</v>
      </c>
      <c r="AK17" s="13">
        <f ca="1">'TUSD BE'!$AK$17*'TUSD BE'!$AK$58</f>
        <v>0</v>
      </c>
      <c r="AL17" s="13">
        <f ca="1">SUM($AH$17:$AK$17)</f>
        <v>2.3710057851355462</v>
      </c>
      <c r="AM17" s="13">
        <f ca="1">SUMIF($L$4:$AL$4,"SUBTOTAL",$L$17:$AL$17)</f>
        <v>-568.48704008697143</v>
      </c>
      <c r="AO17" s="26">
        <f ca="1">+'TUSD BE'!$T$17+'TUSD BE'!$AB$17+'TUSD BE'!$AD$17+'TUSD BE'!$AL$17</f>
        <v>2048.6368098814273</v>
      </c>
      <c r="AP17" s="26">
        <f ca="1">+'TUSD BE'!$T$17+'TUSD BE'!$AB$17+'TUSD BE'!$AD$17+'TUSD BE'!$AL$17</f>
        <v>2048.6368098814273</v>
      </c>
    </row>
    <row r="18" spans="1:42" ht="11.25" customHeight="1" x14ac:dyDescent="0.25">
      <c r="A18" s="109"/>
      <c r="B18" s="109"/>
      <c r="C18" s="109"/>
      <c r="D18" s="109"/>
      <c r="E18" s="109"/>
      <c r="F18" s="109"/>
      <c r="G18" s="24" t="s">
        <v>85</v>
      </c>
      <c r="H18" s="24" t="s">
        <v>73</v>
      </c>
      <c r="I18" s="24">
        <f>'MERCADO TUSD'!$U$15</f>
        <v>0</v>
      </c>
      <c r="J18" s="15"/>
      <c r="L18" s="13">
        <f>'TUSD BE'!$L$18*'TUSD BE'!$L$58</f>
        <v>0</v>
      </c>
      <c r="M18" s="13">
        <f>'TUSD BE'!$M$18*'TUSD BE'!$M$58</f>
        <v>1.9852577602251825E-2</v>
      </c>
      <c r="N18" s="13">
        <f ca="1">'TUSD BE'!$N$18*'TUSD BE'!$N$58</f>
        <v>0</v>
      </c>
      <c r="O18" s="13">
        <f>'TUSD BE'!$O$18*'TUSD BE'!$O$58</f>
        <v>0</v>
      </c>
      <c r="P18" s="13">
        <f>'TUSD BE'!$P$18*'TUSD BE'!$P$58</f>
        <v>0</v>
      </c>
      <c r="Q18" s="13">
        <f>'TUSD BE'!$Q$18*'TUSD BE'!$Q$58</f>
        <v>-1.7714244499273869E-2</v>
      </c>
      <c r="R18" s="13">
        <f>'TUSD BE'!$R$18*'TUSD BE'!$R$58</f>
        <v>-2.5807322656065765E-2</v>
      </c>
      <c r="S18" s="13">
        <f>'TUSD BE'!$R$18*'TUSD BE'!$S$58</f>
        <v>0</v>
      </c>
      <c r="T18" s="13">
        <f ca="1">SUM($L$18:$S$18)</f>
        <v>-2.366898955308781E-2</v>
      </c>
      <c r="U18" s="13">
        <f>'TUSD BE'!$U$18*'TUSD BE'!$U$58</f>
        <v>0</v>
      </c>
      <c r="V18" s="13">
        <f>'TUSD BE'!$V$18*'TUSD BE'!$V$58</f>
        <v>0</v>
      </c>
      <c r="W18" s="13">
        <f>'TUSD BE'!$W$18*'TUSD BE'!$W$58</f>
        <v>0</v>
      </c>
      <c r="X18" s="13">
        <f>'TUSD BE'!$X$18*'TUSD BE'!$X$58</f>
        <v>0</v>
      </c>
      <c r="Y18" s="13">
        <f>'TUSD BE'!$Y$18*'TUSD BE'!$Y$58</f>
        <v>8.2119355106175167</v>
      </c>
      <c r="Z18" s="13">
        <f>'TUSD BE'!$Z$18*'TUSD BE'!$Z$58</f>
        <v>0</v>
      </c>
      <c r="AA18" s="13">
        <f>'TUSD BE'!$AA$18*'TUSD BE'!$AA$58</f>
        <v>0</v>
      </c>
      <c r="AB18" s="13">
        <f>SUM($U$18:$AA$18)</f>
        <v>8.2119355106175167</v>
      </c>
      <c r="AC18" s="13">
        <f>'TUSD BE'!$AC$18*'TUSD BE'!$AC$58</f>
        <v>-350.71257937157139</v>
      </c>
      <c r="AD18" s="13">
        <f>SUM($AC$18:$AC$18)</f>
        <v>-350.71257937157139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BE'!$AH$58</f>
        <v>2.2906483539244862</v>
      </c>
      <c r="AI18" s="13">
        <f>'TUSD BE'!$AI$18*'TUSD BE'!$AI$58</f>
        <v>8.0357431211059954E-2</v>
      </c>
      <c r="AJ18" s="13">
        <f ca="1">'TUSD BE'!$AJ$18*'TUSD BE'!$AJ$58</f>
        <v>0</v>
      </c>
      <c r="AK18" s="13">
        <f ca="1">'TUSD BE'!$AK$18*'TUSD BE'!$AK$58</f>
        <v>0</v>
      </c>
      <c r="AL18" s="13">
        <f ca="1">SUM($AH$18:$AK$18)</f>
        <v>2.3710057851355462</v>
      </c>
      <c r="AM18" s="13">
        <f ca="1">SUMIF($L$4:$AL$4,"SUBTOTAL",$L$18:$AL$18)</f>
        <v>-340.15330706537145</v>
      </c>
      <c r="AO18" s="26">
        <f ca="1">+'TUSD BE'!$T$18+'TUSD BE'!$AB$18+'TUSD BE'!$AD$18+'TUSD BE'!$AL$18</f>
        <v>1283.4053531872928</v>
      </c>
      <c r="AP18" s="26">
        <f ca="1">+'TUSD BE'!$T$18+'TUSD BE'!$AB$18+'TUSD BE'!$AD$18+'TUSD BE'!$AL$18</f>
        <v>1283.4053531872928</v>
      </c>
    </row>
    <row r="19" spans="1:42" ht="11.25" customHeight="1" x14ac:dyDescent="0.25">
      <c r="A19" s="109"/>
      <c r="B19" s="109"/>
      <c r="C19" s="109"/>
      <c r="D19" s="109"/>
      <c r="E19" s="109"/>
      <c r="F19" s="109"/>
      <c r="G19" s="24" t="s">
        <v>75</v>
      </c>
      <c r="H19" s="24" t="s">
        <v>73</v>
      </c>
      <c r="I19" s="24">
        <f>'MERCADO TUSD'!$U$16</f>
        <v>0</v>
      </c>
      <c r="J19" s="15"/>
      <c r="L19" s="13">
        <f>'TUSD BE'!$L$19*'TUSD BE'!$L$58</f>
        <v>0</v>
      </c>
      <c r="M19" s="13">
        <f>'TUSD BE'!$M$19*'TUSD BE'!$M$58</f>
        <v>1.9852577602251825E-2</v>
      </c>
      <c r="N19" s="13">
        <f ca="1">'TUSD BE'!$N$19*'TUSD BE'!$N$58</f>
        <v>0</v>
      </c>
      <c r="O19" s="13">
        <f>'TUSD BE'!$O$19*'TUSD BE'!$O$58</f>
        <v>0</v>
      </c>
      <c r="P19" s="13">
        <f>'TUSD BE'!$P$19*'TUSD BE'!$P$58</f>
        <v>0</v>
      </c>
      <c r="Q19" s="13">
        <f>'TUSD BE'!$Q$19*'TUSD BE'!$Q$58</f>
        <v>-1.7714244499273869E-2</v>
      </c>
      <c r="R19" s="13">
        <f>'TUSD BE'!$R$19*'TUSD BE'!$R$58</f>
        <v>-2.5807322656065765E-2</v>
      </c>
      <c r="S19" s="13">
        <f>'TUSD BE'!$R$19*'TUSD BE'!$S$58</f>
        <v>0</v>
      </c>
      <c r="T19" s="13">
        <f ca="1">SUM($L$19:$S$19)</f>
        <v>-2.366898955308781E-2</v>
      </c>
      <c r="U19" s="13">
        <f>'TUSD BE'!$U$19*'TUSD BE'!$U$58</f>
        <v>0</v>
      </c>
      <c r="V19" s="13">
        <f>'TUSD BE'!$V$19*'TUSD BE'!$V$58</f>
        <v>0</v>
      </c>
      <c r="W19" s="13">
        <f>'TUSD BE'!$W$19*'TUSD BE'!$W$58</f>
        <v>0</v>
      </c>
      <c r="X19" s="13">
        <f>'TUSD BE'!$X$19*'TUSD BE'!$X$58</f>
        <v>0</v>
      </c>
      <c r="Y19" s="13">
        <f>'TUSD BE'!$Y$19*'TUSD BE'!$Y$58</f>
        <v>2.7373118368725051</v>
      </c>
      <c r="Z19" s="13">
        <f>'TUSD BE'!$Z$19*'TUSD BE'!$Z$58</f>
        <v>0</v>
      </c>
      <c r="AA19" s="13">
        <f>'TUSD BE'!$AA$19*'TUSD BE'!$AA$58</f>
        <v>0</v>
      </c>
      <c r="AB19" s="13">
        <f>SUM($U$19:$AA$19)</f>
        <v>2.7373118368725051</v>
      </c>
      <c r="AC19" s="13">
        <f>'TUSD BE'!$AC$19*'TUSD BE'!$AC$58</f>
        <v>-116.9041801142956</v>
      </c>
      <c r="AD19" s="13">
        <f>SUM($AC$19:$AC$19)</f>
        <v>-116.9041801142956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BE'!$AH$58</f>
        <v>2.2906483539244862</v>
      </c>
      <c r="AI19" s="13">
        <f>'TUSD BE'!$AI$19*'TUSD BE'!$AI$58</f>
        <v>8.0357431211059954E-2</v>
      </c>
      <c r="AJ19" s="13">
        <f ca="1">'TUSD BE'!$AJ$19*'TUSD BE'!$AJ$58</f>
        <v>0</v>
      </c>
      <c r="AK19" s="13">
        <f ca="1">'TUSD BE'!$AK$19*'TUSD BE'!$AK$58</f>
        <v>0</v>
      </c>
      <c r="AL19" s="13">
        <f ca="1">SUM($AH$19:$AK$19)</f>
        <v>2.3710057851355462</v>
      </c>
      <c r="AM19" s="13">
        <f ca="1">SUMIF($L$4:$AL$4,"SUBTOTAL",$L$19:$AL$19)</f>
        <v>-111.81953148184063</v>
      </c>
      <c r="AO19" s="26">
        <f ca="1">+'TUSD BE'!$T$19+'TUSD BE'!$AB$19+'TUSD BE'!$AD$19+'TUSD BE'!$AL$19</f>
        <v>518.17390784820645</v>
      </c>
      <c r="AP19" s="26">
        <f ca="1">+'TUSD BE'!$T$19+'TUSD BE'!$AB$19+'TUSD BE'!$AD$19+'TUSD BE'!$AL$19</f>
        <v>518.17390784820645</v>
      </c>
    </row>
    <row r="20" spans="1:42" ht="11.25" customHeight="1" x14ac:dyDescent="0.25">
      <c r="A20" s="109"/>
      <c r="B20" s="109" t="s">
        <v>23</v>
      </c>
      <c r="C20" s="109" t="s">
        <v>24</v>
      </c>
      <c r="D20" s="23" t="s">
        <v>24</v>
      </c>
      <c r="E20" s="23" t="s">
        <v>25</v>
      </c>
      <c r="F20" s="23" t="s">
        <v>25</v>
      </c>
      <c r="G20" s="24" t="s">
        <v>77</v>
      </c>
      <c r="H20" s="24" t="s">
        <v>73</v>
      </c>
      <c r="I20" s="24">
        <f>'MERCADO TUSD'!$U$17</f>
        <v>4803.848</v>
      </c>
      <c r="J20" s="15"/>
      <c r="L20" s="13">
        <f>'TUSD BE'!$L$20*'TUSD BE'!$L$58</f>
        <v>0</v>
      </c>
      <c r="M20" s="13">
        <f>'TUSD BE'!$M$20*'TUSD BE'!$M$58</f>
        <v>1.9852577602251825E-2</v>
      </c>
      <c r="N20" s="13">
        <f ca="1">'TUSD BE'!$N$20*'TUSD BE'!$N$58</f>
        <v>0</v>
      </c>
      <c r="O20" s="13">
        <f>'TUSD BE'!$O$20*'TUSD BE'!$O$58</f>
        <v>0</v>
      </c>
      <c r="P20" s="13">
        <f>'TUSD BE'!$P$20*'TUSD BE'!$P$58</f>
        <v>0</v>
      </c>
      <c r="Q20" s="13">
        <f>'TUSD BE'!$Q$20*'TUSD BE'!$Q$58</f>
        <v>-1.7714244499273869E-2</v>
      </c>
      <c r="R20" s="13">
        <f>'TUSD BE'!$R$20*'TUSD BE'!$R$58</f>
        <v>-2.5807322656065765E-2</v>
      </c>
      <c r="S20" s="13">
        <f>'TUSD BE'!$R$20*'TUSD BE'!$S$58</f>
        <v>0</v>
      </c>
      <c r="T20" s="13">
        <f ca="1">SUM($L$20:$S$20)</f>
        <v>-2.366898955308781E-2</v>
      </c>
      <c r="U20" s="13">
        <f>'TUSD BE'!$U$20*'TUSD BE'!$U$58</f>
        <v>0</v>
      </c>
      <c r="V20" s="13">
        <f>'TUSD BE'!$V$20*'TUSD BE'!$V$58</f>
        <v>0</v>
      </c>
      <c r="W20" s="13">
        <f>'TUSD BE'!$W$20*'TUSD BE'!$W$58</f>
        <v>0</v>
      </c>
      <c r="X20" s="13">
        <f>'TUSD BE'!$X$20*'TUSD BE'!$X$58</f>
        <v>0</v>
      </c>
      <c r="Y20" s="13">
        <f>'TUSD BE'!$Y$20*'TUSD BE'!$Y$58</f>
        <v>4.4150208013651104</v>
      </c>
      <c r="Z20" s="13">
        <f>'TUSD BE'!$Z$20*'TUSD BE'!$Z$58</f>
        <v>0</v>
      </c>
      <c r="AA20" s="13">
        <f>'TUSD BE'!$AA$20*'TUSD BE'!$AA$58</f>
        <v>0</v>
      </c>
      <c r="AB20" s="13">
        <f>SUM($U$20:$AA$20)</f>
        <v>4.4150208013651104</v>
      </c>
      <c r="AC20" s="13">
        <f>'TUSD BE'!$AC$20*'TUSD BE'!$AC$58</f>
        <v>-188.55514684246336</v>
      </c>
      <c r="AD20" s="13">
        <f>SUM($AC$20:$AC$20)</f>
        <v>-188.55514684246336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BE'!$AH$58</f>
        <v>2.2906483539244862</v>
      </c>
      <c r="AI20" s="13">
        <f>'TUSD BE'!$AI$20*'TUSD BE'!$AI$58</f>
        <v>8.0357431211059954E-2</v>
      </c>
      <c r="AJ20" s="13">
        <f ca="1">'TUSD BE'!$AJ$20*'TUSD BE'!$AJ$58</f>
        <v>0</v>
      </c>
      <c r="AK20" s="13">
        <f ca="1">'TUSD BE'!$AK$20*'TUSD BE'!$AK$58</f>
        <v>0</v>
      </c>
      <c r="AL20" s="13">
        <f ca="1">SUM($AH$20:$AK$20)</f>
        <v>2.3710057851355462</v>
      </c>
      <c r="AM20" s="13">
        <f ca="1">SUMIF($L$4:$AL$4,"SUBTOTAL",$L$20:$AL$20)</f>
        <v>-181.79278924551579</v>
      </c>
      <c r="AO20" s="26">
        <f ca="1">+'TUSD BE'!$T$20+'TUSD BE'!$AB$20+'TUSD BE'!$AD$20+'TUSD BE'!$AL$20</f>
        <v>752.68038638225505</v>
      </c>
      <c r="AP20" s="26">
        <f ca="1">+'TUSD BE'!$T$20+'TUSD BE'!$AB$20+'TUSD BE'!$AD$20+'TUSD BE'!$AL$20</f>
        <v>752.68038638225505</v>
      </c>
    </row>
    <row r="21" spans="1:42" ht="11.25" customHeight="1" x14ac:dyDescent="0.25">
      <c r="A21" s="109"/>
      <c r="B21" s="109"/>
      <c r="C21" s="109"/>
      <c r="D21" s="23" t="s">
        <v>29</v>
      </c>
      <c r="E21" s="23" t="s">
        <v>25</v>
      </c>
      <c r="F21" s="23" t="s">
        <v>25</v>
      </c>
      <c r="G21" s="24" t="s">
        <v>77</v>
      </c>
      <c r="H21" s="24" t="s">
        <v>73</v>
      </c>
      <c r="I21" s="24">
        <f>'MERCADO TUSD'!$U$18</f>
        <v>28.29</v>
      </c>
      <c r="J21" s="15"/>
      <c r="L21" s="13">
        <f>'TUSD BE'!$L$21*'TUSD BE'!$L$58</f>
        <v>0</v>
      </c>
      <c r="M21" s="13">
        <f>'TUSD BE'!$M$21*'TUSD BE'!$M$58</f>
        <v>1.9852577602251825E-2</v>
      </c>
      <c r="N21" s="13">
        <f ca="1">'TUSD BE'!$N$21*'TUSD BE'!$N$58</f>
        <v>0</v>
      </c>
      <c r="O21" s="13">
        <f>'TUSD BE'!$O$21*'TUSD BE'!$O$58</f>
        <v>0</v>
      </c>
      <c r="P21" s="13">
        <f>'TUSD BE'!$P$21*'TUSD BE'!$P$58</f>
        <v>0</v>
      </c>
      <c r="Q21" s="13">
        <f>'TUSD BE'!$Q$21*'TUSD BE'!$Q$58</f>
        <v>0</v>
      </c>
      <c r="R21" s="13">
        <f>'TUSD BE'!$R$21*'TUSD BE'!$R$58</f>
        <v>0</v>
      </c>
      <c r="S21" s="13">
        <f>'TUSD BE'!$R$21*'TUSD BE'!$S$58</f>
        <v>0</v>
      </c>
      <c r="T21" s="13">
        <f ca="1">SUM($L$21:$S$21)</f>
        <v>1.9852577602251825E-2</v>
      </c>
      <c r="U21" s="13">
        <f>'TUSD BE'!$U$21*'TUSD BE'!$U$58</f>
        <v>0</v>
      </c>
      <c r="V21" s="13">
        <f>'TUSD BE'!$V$21*'TUSD BE'!$V$58</f>
        <v>0</v>
      </c>
      <c r="W21" s="13">
        <f>'TUSD BE'!$W$21*'TUSD BE'!$W$58</f>
        <v>0</v>
      </c>
      <c r="X21" s="13">
        <f>'TUSD BE'!$X$21*'TUSD BE'!$X$58</f>
        <v>0</v>
      </c>
      <c r="Y21" s="13">
        <f>'TUSD BE'!$Y$21*'TUSD BE'!$Y$58</f>
        <v>4.4150208013651104</v>
      </c>
      <c r="Z21" s="13">
        <f>'TUSD BE'!$Z$21*'TUSD BE'!$Z$58</f>
        <v>0</v>
      </c>
      <c r="AA21" s="13">
        <f>'TUSD BE'!$AA$21*'TUSD BE'!$AA$58</f>
        <v>0</v>
      </c>
      <c r="AB21" s="13">
        <f>SUM($U$21:$AA$21)</f>
        <v>4.4150208013651104</v>
      </c>
      <c r="AC21" s="13">
        <f>'TUSD BE'!$AC$21*'TUSD BE'!$AC$58</f>
        <v>-188.55514684246336</v>
      </c>
      <c r="AD21" s="13">
        <f>SUM($AC$21:$AC$21)</f>
        <v>-188.55514684246336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BE'!$AH$58</f>
        <v>2.2906483539244862</v>
      </c>
      <c r="AI21" s="13">
        <f>'TUSD BE'!$AI$21*'TUSD BE'!$AI$58</f>
        <v>8.0357431211059954E-2</v>
      </c>
      <c r="AJ21" s="13">
        <f ca="1">'TUSD BE'!$AJ$21*'TUSD BE'!$AJ$58</f>
        <v>0</v>
      </c>
      <c r="AK21" s="13">
        <f ca="1">'TUSD BE'!$AK$21*'TUSD BE'!$AK$58</f>
        <v>0</v>
      </c>
      <c r="AL21" s="13">
        <f ca="1">SUM($AH$21:$AK$21)</f>
        <v>2.3710057851355462</v>
      </c>
      <c r="AM21" s="13">
        <f ca="1">SUMIF($L$4:$AL$4,"SUBTOTAL",$L$21:$AL$21)</f>
        <v>-181.74926767836047</v>
      </c>
      <c r="AO21" s="26">
        <f ca="1">+'TUSD BE'!$T$21+'TUSD BE'!$AB$21+'TUSD BE'!$AD$21+'TUSD BE'!$AL$21</f>
        <v>648.55407034005043</v>
      </c>
      <c r="AP21" s="26">
        <f ca="1">+'TUSD BE'!$T$21+'TUSD BE'!$AB$21+'TUSD BE'!$AD$21+'TUSD BE'!$AL$21</f>
        <v>648.55407034005043</v>
      </c>
    </row>
    <row r="22" spans="1:42" ht="11.25" customHeight="1" x14ac:dyDescent="0.25">
      <c r="A22" s="109"/>
      <c r="B22" s="109"/>
      <c r="C22" s="109"/>
      <c r="D22" s="23" t="s">
        <v>30</v>
      </c>
      <c r="E22" s="23" t="s">
        <v>25</v>
      </c>
      <c r="F22" s="23" t="s">
        <v>25</v>
      </c>
      <c r="G22" s="24" t="s">
        <v>77</v>
      </c>
      <c r="H22" s="24" t="s">
        <v>73</v>
      </c>
      <c r="I22" s="24">
        <f>'MERCADO TUSD'!$U$19</f>
        <v>50.516000000000005</v>
      </c>
      <c r="J22" s="15"/>
      <c r="L22" s="13">
        <f>'TUSD BE'!$L$22*'TUSD BE'!$L$58</f>
        <v>0</v>
      </c>
      <c r="M22" s="13">
        <f>'TUSD BE'!$M$22*'TUSD BE'!$M$58</f>
        <v>1.9852577602251825E-2</v>
      </c>
      <c r="N22" s="13">
        <f ca="1">'TUSD BE'!$N$22*'TUSD BE'!$N$58</f>
        <v>0</v>
      </c>
      <c r="O22" s="13">
        <f>'TUSD BE'!$O$22*'TUSD BE'!$O$58</f>
        <v>0</v>
      </c>
      <c r="P22" s="13">
        <f>'TUSD BE'!$P$22*'TUSD BE'!$P$58</f>
        <v>0</v>
      </c>
      <c r="Q22" s="13">
        <f>'TUSD BE'!$Q$22*'TUSD BE'!$Q$58</f>
        <v>0</v>
      </c>
      <c r="R22" s="13">
        <f>'TUSD BE'!$R$22*'TUSD BE'!$R$58</f>
        <v>0</v>
      </c>
      <c r="S22" s="13">
        <f>'TUSD BE'!$R$22*'TUSD BE'!$S$58</f>
        <v>0</v>
      </c>
      <c r="T22" s="13">
        <f ca="1">SUM($L$22:$S$22)</f>
        <v>1.9852577602251825E-2</v>
      </c>
      <c r="U22" s="13">
        <f>'TUSD BE'!$U$22*'TUSD BE'!$U$58</f>
        <v>0</v>
      </c>
      <c r="V22" s="13">
        <f>'TUSD BE'!$V$22*'TUSD BE'!$V$58</f>
        <v>0</v>
      </c>
      <c r="W22" s="13">
        <f>'TUSD BE'!$W$22*'TUSD BE'!$W$58</f>
        <v>0</v>
      </c>
      <c r="X22" s="13">
        <f>'TUSD BE'!$X$22*'TUSD BE'!$X$58</f>
        <v>0</v>
      </c>
      <c r="Y22" s="13">
        <f>'TUSD BE'!$Y$22*'TUSD BE'!$Y$58</f>
        <v>4.4150208013651104</v>
      </c>
      <c r="Z22" s="13">
        <f>'TUSD BE'!$Z$22*'TUSD BE'!$Z$58</f>
        <v>0</v>
      </c>
      <c r="AA22" s="13">
        <f>'TUSD BE'!$AA$22*'TUSD BE'!$AA$58</f>
        <v>0</v>
      </c>
      <c r="AB22" s="13">
        <f>SUM($U$22:$AA$22)</f>
        <v>4.4150208013651104</v>
      </c>
      <c r="AC22" s="13">
        <f>'TUSD BE'!$AC$22*'TUSD BE'!$AC$58</f>
        <v>-188.55514684246336</v>
      </c>
      <c r="AD22" s="13">
        <f>SUM($AC$22:$AC$22)</f>
        <v>-188.55514684246336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BE'!$AH$58</f>
        <v>2.2906483539244862</v>
      </c>
      <c r="AI22" s="13">
        <f>'TUSD BE'!$AI$22*'TUSD BE'!$AI$58</f>
        <v>8.0357431211059954E-2</v>
      </c>
      <c r="AJ22" s="13">
        <f ca="1">'TUSD BE'!$AJ$22*'TUSD BE'!$AJ$58</f>
        <v>0</v>
      </c>
      <c r="AK22" s="13">
        <f ca="1">'TUSD BE'!$AK$22*'TUSD BE'!$AK$58</f>
        <v>0</v>
      </c>
      <c r="AL22" s="13">
        <f ca="1">SUM($AH$22:$AK$22)</f>
        <v>2.3710057851355462</v>
      </c>
      <c r="AM22" s="13">
        <f ca="1">SUMIF($L$4:$AL$4,"SUBTOTAL",$L$22:$AL$22)</f>
        <v>-181.74926767836047</v>
      </c>
      <c r="AO22" s="26">
        <f ca="1">+'TUSD BE'!$T$22+'TUSD BE'!$AB$22+'TUSD BE'!$AD$22+'TUSD BE'!$AL$22</f>
        <v>648.55407034005043</v>
      </c>
      <c r="AP22" s="26">
        <f ca="1">+'TUSD BE'!$T$22+'TUSD BE'!$AB$22+'TUSD BE'!$AD$22+'TUSD BE'!$AL$22</f>
        <v>648.55407034005043</v>
      </c>
    </row>
    <row r="23" spans="1:42" ht="11.25" customHeight="1" x14ac:dyDescent="0.25">
      <c r="A23" s="109"/>
      <c r="B23" s="109"/>
      <c r="C23" s="109"/>
      <c r="D23" s="23" t="s">
        <v>31</v>
      </c>
      <c r="E23" s="23" t="s">
        <v>25</v>
      </c>
      <c r="F23" s="23" t="s">
        <v>25</v>
      </c>
      <c r="G23" s="24" t="s">
        <v>77</v>
      </c>
      <c r="H23" s="24" t="s">
        <v>73</v>
      </c>
      <c r="I23" s="24">
        <f>'MERCADO TUSD'!$U$20</f>
        <v>39.111000000000004</v>
      </c>
      <c r="J23" s="15"/>
      <c r="L23" s="13">
        <f>'TUSD BE'!$L$23*'TUSD BE'!$L$58</f>
        <v>0</v>
      </c>
      <c r="M23" s="13">
        <f>'TUSD BE'!$M$23*'TUSD BE'!$M$58</f>
        <v>1.9852577602251825E-2</v>
      </c>
      <c r="N23" s="13">
        <f ca="1">'TUSD BE'!$N$23*'TUSD BE'!$N$58</f>
        <v>0</v>
      </c>
      <c r="O23" s="13">
        <f>'TUSD BE'!$O$23*'TUSD BE'!$O$58</f>
        <v>0</v>
      </c>
      <c r="P23" s="13">
        <f>'TUSD BE'!$P$23*'TUSD BE'!$P$58</f>
        <v>0</v>
      </c>
      <c r="Q23" s="13">
        <f>'TUSD BE'!$Q$23*'TUSD BE'!$Q$58</f>
        <v>0</v>
      </c>
      <c r="R23" s="13">
        <f>'TUSD BE'!$R$23*'TUSD BE'!$R$58</f>
        <v>0</v>
      </c>
      <c r="S23" s="13">
        <f>'TUSD BE'!$R$23*'TUSD BE'!$S$58</f>
        <v>0</v>
      </c>
      <c r="T23" s="13">
        <f ca="1">SUM($L$23:$S$23)</f>
        <v>1.9852577602251825E-2</v>
      </c>
      <c r="U23" s="13">
        <f>'TUSD BE'!$U$23*'TUSD BE'!$U$58</f>
        <v>0</v>
      </c>
      <c r="V23" s="13">
        <f>'TUSD BE'!$V$23*'TUSD BE'!$V$58</f>
        <v>0</v>
      </c>
      <c r="W23" s="13">
        <f>'TUSD BE'!$W$23*'TUSD BE'!$W$58</f>
        <v>0</v>
      </c>
      <c r="X23" s="13">
        <f>'TUSD BE'!$X$23*'TUSD BE'!$X$58</f>
        <v>0</v>
      </c>
      <c r="Y23" s="13">
        <f>'TUSD BE'!$Y$23*'TUSD BE'!$Y$58</f>
        <v>4.4150208013651104</v>
      </c>
      <c r="Z23" s="13">
        <f>'TUSD BE'!$Z$23*'TUSD BE'!$Z$58</f>
        <v>0</v>
      </c>
      <c r="AA23" s="13">
        <f>'TUSD BE'!$AA$23*'TUSD BE'!$AA$58</f>
        <v>0</v>
      </c>
      <c r="AB23" s="13">
        <f>SUM($U$23:$AA$23)</f>
        <v>4.4150208013651104</v>
      </c>
      <c r="AC23" s="13">
        <f>'TUSD BE'!$AC$23*'TUSD BE'!$AC$58</f>
        <v>-188.55514684246336</v>
      </c>
      <c r="AD23" s="13">
        <f>SUM($AC$23:$AC$23)</f>
        <v>-188.55514684246336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BE'!$AH$58</f>
        <v>2.2906483539244862</v>
      </c>
      <c r="AI23" s="13">
        <f>'TUSD BE'!$AI$23*'TUSD BE'!$AI$58</f>
        <v>8.0357431211059954E-2</v>
      </c>
      <c r="AJ23" s="13">
        <f ca="1">'TUSD BE'!$AJ$23*'TUSD BE'!$AJ$58</f>
        <v>0</v>
      </c>
      <c r="AK23" s="13">
        <f ca="1">'TUSD BE'!$AK$23*'TUSD BE'!$AK$58</f>
        <v>0</v>
      </c>
      <c r="AL23" s="13">
        <f ca="1">SUM($AH$23:$AK$23)</f>
        <v>2.3710057851355462</v>
      </c>
      <c r="AM23" s="13">
        <f ca="1">SUMIF($L$4:$AL$4,"SUBTOTAL",$L$23:$AL$23)</f>
        <v>-181.74926767836047</v>
      </c>
      <c r="AO23" s="26">
        <f ca="1">+'TUSD BE'!$T$23+'TUSD BE'!$AB$23+'TUSD BE'!$AD$23+'TUSD BE'!$AL$23</f>
        <v>648.55407034005043</v>
      </c>
      <c r="AP23" s="26">
        <f ca="1">+'TUSD BE'!$T$23+'TUSD BE'!$AB$23+'TUSD BE'!$AD$23+'TUSD BE'!$AL$23</f>
        <v>648.55407034005043</v>
      </c>
    </row>
    <row r="24" spans="1:42" ht="11.25" customHeight="1" x14ac:dyDescent="0.25">
      <c r="A24" s="109"/>
      <c r="B24" s="109"/>
      <c r="C24" s="109"/>
      <c r="D24" s="23" t="s">
        <v>32</v>
      </c>
      <c r="E24" s="23" t="s">
        <v>25</v>
      </c>
      <c r="F24" s="23" t="s">
        <v>25</v>
      </c>
      <c r="G24" s="24" t="s">
        <v>77</v>
      </c>
      <c r="H24" s="24" t="s">
        <v>73</v>
      </c>
      <c r="I24" s="24">
        <f>'MERCADO TUSD'!$U$21</f>
        <v>10.074999999999999</v>
      </c>
      <c r="J24" s="15"/>
      <c r="L24" s="13">
        <f>'TUSD BE'!$L$24*'TUSD BE'!$L$58</f>
        <v>0</v>
      </c>
      <c r="M24" s="13">
        <f>'TUSD BE'!$M$24*'TUSD BE'!$M$58</f>
        <v>1.9852577602251825E-2</v>
      </c>
      <c r="N24" s="13">
        <f ca="1">'TUSD BE'!$N$24*'TUSD BE'!$N$58</f>
        <v>0</v>
      </c>
      <c r="O24" s="13">
        <f>'TUSD BE'!$O$24*'TUSD BE'!$O$58</f>
        <v>0</v>
      </c>
      <c r="P24" s="13">
        <f>'TUSD BE'!$P$24*'TUSD BE'!$P$58</f>
        <v>0</v>
      </c>
      <c r="Q24" s="13">
        <f>'TUSD BE'!$Q$24*'TUSD BE'!$Q$58</f>
        <v>0</v>
      </c>
      <c r="R24" s="13">
        <f>'TUSD BE'!$R$24*'TUSD BE'!$R$58</f>
        <v>0</v>
      </c>
      <c r="S24" s="13">
        <f>'TUSD BE'!$R$24*'TUSD BE'!$S$58</f>
        <v>0</v>
      </c>
      <c r="T24" s="13">
        <f ca="1">SUM($L$24:$S$24)</f>
        <v>1.9852577602251825E-2</v>
      </c>
      <c r="U24" s="13">
        <f>'TUSD BE'!$U$24*'TUSD BE'!$U$58</f>
        <v>0</v>
      </c>
      <c r="V24" s="13">
        <f>'TUSD BE'!$V$24*'TUSD BE'!$V$58</f>
        <v>0</v>
      </c>
      <c r="W24" s="13">
        <f>'TUSD BE'!$W$24*'TUSD BE'!$W$58</f>
        <v>0</v>
      </c>
      <c r="X24" s="13">
        <f>'TUSD BE'!$X$24*'TUSD BE'!$X$58</f>
        <v>0</v>
      </c>
      <c r="Y24" s="13">
        <f>'TUSD BE'!$Y$24*'TUSD BE'!$Y$58</f>
        <v>4.4150208013651104</v>
      </c>
      <c r="Z24" s="13">
        <f>'TUSD BE'!$Z$24*'TUSD BE'!$Z$58</f>
        <v>0</v>
      </c>
      <c r="AA24" s="13">
        <f>'TUSD BE'!$AA$24*'TUSD BE'!$AA$58</f>
        <v>0</v>
      </c>
      <c r="AB24" s="13">
        <f>SUM($U$24:$AA$24)</f>
        <v>4.4150208013651104</v>
      </c>
      <c r="AC24" s="13">
        <f>'TUSD BE'!$AC$24*'TUSD BE'!$AC$58</f>
        <v>-188.55514684246336</v>
      </c>
      <c r="AD24" s="13">
        <f>SUM($AC$24:$AC$24)</f>
        <v>-188.55514684246336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BE'!$AH$58</f>
        <v>2.2906483539244862</v>
      </c>
      <c r="AI24" s="13">
        <f>'TUSD BE'!$AI$24*'TUSD BE'!$AI$58</f>
        <v>8.0357431211059954E-2</v>
      </c>
      <c r="AJ24" s="13">
        <f ca="1">'TUSD BE'!$AJ$24*'TUSD BE'!$AJ$58</f>
        <v>0</v>
      </c>
      <c r="AK24" s="13">
        <f ca="1">'TUSD BE'!$AK$24*'TUSD BE'!$AK$58</f>
        <v>0</v>
      </c>
      <c r="AL24" s="13">
        <f ca="1">SUM($AH$24:$AK$24)</f>
        <v>2.3710057851355462</v>
      </c>
      <c r="AM24" s="13">
        <f ca="1">SUMIF($L$4:$AL$4,"SUBTOTAL",$L$24:$AL$24)</f>
        <v>-181.74926767836047</v>
      </c>
      <c r="AO24" s="26">
        <f ca="1">+'TUSD BE'!$T$24+'TUSD BE'!$AB$24+'TUSD BE'!$AD$24+'TUSD BE'!$AL$24</f>
        <v>648.55407034005043</v>
      </c>
      <c r="AP24" s="26">
        <f ca="1">+'TUSD BE'!$T$24+'TUSD BE'!$AB$24+'TUSD BE'!$AD$24+'TUSD BE'!$AL$24</f>
        <v>648.55407034005043</v>
      </c>
    </row>
    <row r="25" spans="1:42" ht="11.25" customHeight="1" x14ac:dyDescent="0.25">
      <c r="A25" s="109"/>
      <c r="B25" s="109" t="s">
        <v>88</v>
      </c>
      <c r="C25" s="109" t="s">
        <v>24</v>
      </c>
      <c r="D25" s="23" t="s">
        <v>24</v>
      </c>
      <c r="E25" s="23" t="s">
        <v>25</v>
      </c>
      <c r="F25" s="23" t="s">
        <v>25</v>
      </c>
      <c r="G25" s="24" t="s">
        <v>77</v>
      </c>
      <c r="H25" s="24" t="s">
        <v>73</v>
      </c>
      <c r="I25" s="24">
        <f>'MERCADO TUSD'!$U$22</f>
        <v>0</v>
      </c>
      <c r="J25" s="15"/>
      <c r="L25" s="13">
        <f>'TUSD BE'!$L$25*'TUSD BE'!$L$58</f>
        <v>0</v>
      </c>
      <c r="M25" s="13">
        <f>'TUSD BE'!$M$25*'TUSD BE'!$M$58</f>
        <v>1.9852577602251825E-2</v>
      </c>
      <c r="N25" s="13">
        <f ca="1">'TUSD BE'!$N$25*'TUSD BE'!$N$58</f>
        <v>0</v>
      </c>
      <c r="O25" s="13">
        <f>'TUSD BE'!$O$25*'TUSD BE'!$O$58</f>
        <v>0</v>
      </c>
      <c r="P25" s="13">
        <f>'TUSD BE'!$P$25*'TUSD BE'!$P$58</f>
        <v>0</v>
      </c>
      <c r="Q25" s="13">
        <f>'TUSD BE'!$Q$25*'TUSD BE'!$Q$58</f>
        <v>-1.7714244499273869E-2</v>
      </c>
      <c r="R25" s="13">
        <f>'TUSD BE'!$R$25*'TUSD BE'!$R$58</f>
        <v>-2.5807322656065765E-2</v>
      </c>
      <c r="S25" s="13">
        <f>'TUSD BE'!$R$25*'TUSD BE'!$S$58</f>
        <v>0</v>
      </c>
      <c r="T25" s="13">
        <f ca="1">SUM($L$25:$S$25)</f>
        <v>-2.366898955308781E-2</v>
      </c>
      <c r="U25" s="13">
        <f>'TUSD BE'!$U$25*'TUSD BE'!$U$58</f>
        <v>0</v>
      </c>
      <c r="V25" s="13">
        <f>'TUSD BE'!$V$25*'TUSD BE'!$V$58</f>
        <v>0</v>
      </c>
      <c r="W25" s="13">
        <f>'TUSD BE'!$W$25*'TUSD BE'!$W$58</f>
        <v>0</v>
      </c>
      <c r="X25" s="13">
        <f>'TUSD BE'!$X$25*'TUSD BE'!$X$58</f>
        <v>0</v>
      </c>
      <c r="Y25" s="13">
        <f>'TUSD BE'!$Y$25*'TUSD BE'!$Y$58</f>
        <v>4.4150208013651104</v>
      </c>
      <c r="Z25" s="13">
        <f>'TUSD BE'!$Z$25*'TUSD BE'!$Z$58</f>
        <v>0</v>
      </c>
      <c r="AA25" s="13">
        <f>'TUSD BE'!$AA$25*'TUSD BE'!$AA$58</f>
        <v>0</v>
      </c>
      <c r="AB25" s="13">
        <f>SUM($U$25:$AA$25)</f>
        <v>4.4150208013651104</v>
      </c>
      <c r="AC25" s="13">
        <f>'TUSD BE'!$AC$25*'TUSD BE'!$AC$58</f>
        <v>-188.55514684246336</v>
      </c>
      <c r="AD25" s="13">
        <f>SUM($AC$25:$AC$25)</f>
        <v>-188.55514684246336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BE'!$AH$58</f>
        <v>2.2906483539244862</v>
      </c>
      <c r="AI25" s="13">
        <f>'TUSD BE'!$AI$25*'TUSD BE'!$AI$58</f>
        <v>8.0357431211059954E-2</v>
      </c>
      <c r="AJ25" s="13">
        <f ca="1">'TUSD BE'!$AJ$25*'TUSD BE'!$AJ$58</f>
        <v>0</v>
      </c>
      <c r="AK25" s="13">
        <f ca="1">'TUSD BE'!$AK$25*'TUSD BE'!$AK$58</f>
        <v>0</v>
      </c>
      <c r="AL25" s="13">
        <f ca="1">SUM($AH$25:$AK$25)</f>
        <v>2.3710057851355462</v>
      </c>
      <c r="AM25" s="13">
        <f ca="1">SUMIF($L$4:$AL$4,"SUBTOTAL",$L$25:$AL$25)</f>
        <v>-181.79278924551579</v>
      </c>
      <c r="AO25" s="26">
        <f ca="1">+'TUSD BE'!$T$25+'TUSD BE'!$AB$25+'TUSD BE'!$AD$25+'TUSD BE'!$AL$25</f>
        <v>752.68038638225505</v>
      </c>
      <c r="AP25" s="26">
        <f ca="1">+'TUSD BE'!$T$25+'TUSD BE'!$AB$25+'TUSD BE'!$AD$25+'TUSD BE'!$AL$25</f>
        <v>752.68038638225505</v>
      </c>
    </row>
    <row r="26" spans="1:42" ht="11.25" customHeight="1" x14ac:dyDescent="0.25">
      <c r="A26" s="109"/>
      <c r="B26" s="109"/>
      <c r="C26" s="109"/>
      <c r="D26" s="23" t="s">
        <v>29</v>
      </c>
      <c r="E26" s="23" t="s">
        <v>25</v>
      </c>
      <c r="F26" s="23" t="s">
        <v>25</v>
      </c>
      <c r="G26" s="24" t="s">
        <v>77</v>
      </c>
      <c r="H26" s="24" t="s">
        <v>73</v>
      </c>
      <c r="I26" s="24">
        <f>'MERCADO TUSD'!$U$23</f>
        <v>0</v>
      </c>
      <c r="J26" s="15"/>
      <c r="L26" s="13">
        <f>'TUSD BE'!$L$26*'TUSD BE'!$L$58</f>
        <v>0</v>
      </c>
      <c r="M26" s="13">
        <f>'TUSD BE'!$M$26*'TUSD BE'!$M$58</f>
        <v>1.9852577602251825E-2</v>
      </c>
      <c r="N26" s="13">
        <f ca="1">'TUSD BE'!$N$26*'TUSD BE'!$N$58</f>
        <v>0</v>
      </c>
      <c r="O26" s="13">
        <f>'TUSD BE'!$O$26*'TUSD BE'!$O$58</f>
        <v>0</v>
      </c>
      <c r="P26" s="13">
        <f>'TUSD BE'!$P$26*'TUSD BE'!$P$58</f>
        <v>0</v>
      </c>
      <c r="Q26" s="13">
        <f>'TUSD BE'!$Q$26*'TUSD BE'!$Q$58</f>
        <v>0</v>
      </c>
      <c r="R26" s="13">
        <f>'TUSD BE'!$R$26*'TUSD BE'!$R$58</f>
        <v>0</v>
      </c>
      <c r="S26" s="13">
        <f>'TUSD BE'!$R$26*'TUSD BE'!$S$58</f>
        <v>0</v>
      </c>
      <c r="T26" s="13">
        <f ca="1">SUM($L$26:$S$26)</f>
        <v>1.9852577602251825E-2</v>
      </c>
      <c r="U26" s="13">
        <f>'TUSD BE'!$U$26*'TUSD BE'!$U$58</f>
        <v>0</v>
      </c>
      <c r="V26" s="13">
        <f>'TUSD BE'!$V$26*'TUSD BE'!$V$58</f>
        <v>0</v>
      </c>
      <c r="W26" s="13">
        <f>'TUSD BE'!$W$26*'TUSD BE'!$W$58</f>
        <v>0</v>
      </c>
      <c r="X26" s="13">
        <f>'TUSD BE'!$X$26*'TUSD BE'!$X$58</f>
        <v>0</v>
      </c>
      <c r="Y26" s="13">
        <f>'TUSD BE'!$Y$26*'TUSD BE'!$Y$58</f>
        <v>4.4150208013651104</v>
      </c>
      <c r="Z26" s="13">
        <f>'TUSD BE'!$Z$26*'TUSD BE'!$Z$58</f>
        <v>0</v>
      </c>
      <c r="AA26" s="13">
        <f>'TUSD BE'!$AA$26*'TUSD BE'!$AA$58</f>
        <v>0</v>
      </c>
      <c r="AB26" s="13">
        <f>SUM($U$26:$AA$26)</f>
        <v>4.4150208013651104</v>
      </c>
      <c r="AC26" s="13">
        <f>'TUSD BE'!$AC$26*'TUSD BE'!$AC$58</f>
        <v>-188.55514684246336</v>
      </c>
      <c r="AD26" s="13">
        <f>SUM($AC$26:$AC$26)</f>
        <v>-188.55514684246336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BE'!$AH$58</f>
        <v>2.2906483539244862</v>
      </c>
      <c r="AI26" s="13">
        <f>'TUSD BE'!$AI$26*'TUSD BE'!$AI$58</f>
        <v>8.0357431211059954E-2</v>
      </c>
      <c r="AJ26" s="13">
        <f ca="1">'TUSD BE'!$AJ$26*'TUSD BE'!$AJ$58</f>
        <v>0</v>
      </c>
      <c r="AK26" s="13">
        <f ca="1">'TUSD BE'!$AK$26*'TUSD BE'!$AK$58</f>
        <v>0</v>
      </c>
      <c r="AL26" s="13">
        <f ca="1">SUM($AH$26:$AK$26)</f>
        <v>2.3710057851355462</v>
      </c>
      <c r="AM26" s="13">
        <f ca="1">SUMIF($L$4:$AL$4,"SUBTOTAL",$L$26:$AL$26)</f>
        <v>-181.74926767836047</v>
      </c>
      <c r="AO26" s="26">
        <f ca="1">+'TUSD BE'!$T$26+'TUSD BE'!$AB$26+'TUSD BE'!$AD$26+'TUSD BE'!$AL$26</f>
        <v>648.55407034005043</v>
      </c>
      <c r="AP26" s="26">
        <f ca="1">+'TUSD BE'!$T$26+'TUSD BE'!$AB$26+'TUSD BE'!$AD$26+'TUSD BE'!$AL$26</f>
        <v>648.55407034005043</v>
      </c>
    </row>
    <row r="27" spans="1:42" ht="11.25" customHeight="1" x14ac:dyDescent="0.25">
      <c r="A27" s="109"/>
      <c r="B27" s="109"/>
      <c r="C27" s="109"/>
      <c r="D27" s="23" t="s">
        <v>30</v>
      </c>
      <c r="E27" s="23" t="s">
        <v>25</v>
      </c>
      <c r="F27" s="23" t="s">
        <v>25</v>
      </c>
      <c r="G27" s="24" t="s">
        <v>77</v>
      </c>
      <c r="H27" s="24" t="s">
        <v>73</v>
      </c>
      <c r="I27" s="24">
        <f>'MERCADO TUSD'!$U$24</f>
        <v>0</v>
      </c>
      <c r="J27" s="15"/>
      <c r="L27" s="13">
        <f>'TUSD BE'!$L$27*'TUSD BE'!$L$58</f>
        <v>0</v>
      </c>
      <c r="M27" s="13">
        <f>'TUSD BE'!$M$27*'TUSD BE'!$M$58</f>
        <v>1.9852577602251825E-2</v>
      </c>
      <c r="N27" s="13">
        <f ca="1">'TUSD BE'!$N$27*'TUSD BE'!$N$58</f>
        <v>0</v>
      </c>
      <c r="O27" s="13">
        <f>'TUSD BE'!$O$27*'TUSD BE'!$O$58</f>
        <v>0</v>
      </c>
      <c r="P27" s="13">
        <f>'TUSD BE'!$P$27*'TUSD BE'!$P$58</f>
        <v>0</v>
      </c>
      <c r="Q27" s="13">
        <f>'TUSD BE'!$Q$27*'TUSD BE'!$Q$58</f>
        <v>0</v>
      </c>
      <c r="R27" s="13">
        <f>'TUSD BE'!$R$27*'TUSD BE'!$R$58</f>
        <v>0</v>
      </c>
      <c r="S27" s="13">
        <f>'TUSD BE'!$R$27*'TUSD BE'!$S$58</f>
        <v>0</v>
      </c>
      <c r="T27" s="13">
        <f ca="1">SUM($L$27:$S$27)</f>
        <v>1.9852577602251825E-2</v>
      </c>
      <c r="U27" s="13">
        <f>'TUSD BE'!$U$27*'TUSD BE'!$U$58</f>
        <v>0</v>
      </c>
      <c r="V27" s="13">
        <f>'TUSD BE'!$V$27*'TUSD BE'!$V$58</f>
        <v>0</v>
      </c>
      <c r="W27" s="13">
        <f>'TUSD BE'!$W$27*'TUSD BE'!$W$58</f>
        <v>0</v>
      </c>
      <c r="X27" s="13">
        <f>'TUSD BE'!$X$27*'TUSD BE'!$X$58</f>
        <v>0</v>
      </c>
      <c r="Y27" s="13">
        <f>'TUSD BE'!$Y$27*'TUSD BE'!$Y$58</f>
        <v>4.4150208013651104</v>
      </c>
      <c r="Z27" s="13">
        <f>'TUSD BE'!$Z$27*'TUSD BE'!$Z$58</f>
        <v>0</v>
      </c>
      <c r="AA27" s="13">
        <f>'TUSD BE'!$AA$27*'TUSD BE'!$AA$58</f>
        <v>0</v>
      </c>
      <c r="AB27" s="13">
        <f>SUM($U$27:$AA$27)</f>
        <v>4.4150208013651104</v>
      </c>
      <c r="AC27" s="13">
        <f>'TUSD BE'!$AC$27*'TUSD BE'!$AC$58</f>
        <v>-188.55514684246336</v>
      </c>
      <c r="AD27" s="13">
        <f>SUM($AC$27:$AC$27)</f>
        <v>-188.55514684246336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BE'!$AH$58</f>
        <v>2.2906483539244862</v>
      </c>
      <c r="AI27" s="13">
        <f>'TUSD BE'!$AI$27*'TUSD BE'!$AI$58</f>
        <v>8.0357431211059954E-2</v>
      </c>
      <c r="AJ27" s="13">
        <f ca="1">'TUSD BE'!$AJ$27*'TUSD BE'!$AJ$58</f>
        <v>0</v>
      </c>
      <c r="AK27" s="13">
        <f ca="1">'TUSD BE'!$AK$27*'TUSD BE'!$AK$58</f>
        <v>0</v>
      </c>
      <c r="AL27" s="13">
        <f ca="1">SUM($AH$27:$AK$27)</f>
        <v>2.3710057851355462</v>
      </c>
      <c r="AM27" s="13">
        <f ca="1">SUMIF($L$4:$AL$4,"SUBTOTAL",$L$27:$AL$27)</f>
        <v>-181.74926767836047</v>
      </c>
      <c r="AO27" s="26">
        <f ca="1">+'TUSD BE'!$T$27+'TUSD BE'!$AB$27+'TUSD BE'!$AD$27+'TUSD BE'!$AL$27</f>
        <v>648.55407034005043</v>
      </c>
      <c r="AP27" s="26">
        <f ca="1">+'TUSD BE'!$T$27+'TUSD BE'!$AB$27+'TUSD BE'!$AD$27+'TUSD BE'!$AL$27</f>
        <v>648.55407034005043</v>
      </c>
    </row>
    <row r="28" spans="1:42" ht="11.25" customHeight="1" x14ac:dyDescent="0.25">
      <c r="A28" s="109"/>
      <c r="B28" s="109"/>
      <c r="C28" s="109"/>
      <c r="D28" s="23" t="s">
        <v>31</v>
      </c>
      <c r="E28" s="23" t="s">
        <v>25</v>
      </c>
      <c r="F28" s="23" t="s">
        <v>25</v>
      </c>
      <c r="G28" s="24" t="s">
        <v>77</v>
      </c>
      <c r="H28" s="24" t="s">
        <v>73</v>
      </c>
      <c r="I28" s="24">
        <f>'MERCADO TUSD'!$U$25</f>
        <v>0</v>
      </c>
      <c r="J28" s="15"/>
      <c r="L28" s="13">
        <f>'TUSD BE'!$L$28*'TUSD BE'!$L$58</f>
        <v>0</v>
      </c>
      <c r="M28" s="13">
        <f>'TUSD BE'!$M$28*'TUSD BE'!$M$58</f>
        <v>1.9852577602251825E-2</v>
      </c>
      <c r="N28" s="13">
        <f ca="1">'TUSD BE'!$N$28*'TUSD BE'!$N$58</f>
        <v>0</v>
      </c>
      <c r="O28" s="13">
        <f>'TUSD BE'!$O$28*'TUSD BE'!$O$58</f>
        <v>0</v>
      </c>
      <c r="P28" s="13">
        <f>'TUSD BE'!$P$28*'TUSD BE'!$P$58</f>
        <v>0</v>
      </c>
      <c r="Q28" s="13">
        <f>'TUSD BE'!$Q$28*'TUSD BE'!$Q$58</f>
        <v>0</v>
      </c>
      <c r="R28" s="13">
        <f>'TUSD BE'!$R$28*'TUSD BE'!$R$58</f>
        <v>0</v>
      </c>
      <c r="S28" s="13">
        <f>'TUSD BE'!$R$28*'TUSD BE'!$S$58</f>
        <v>0</v>
      </c>
      <c r="T28" s="13">
        <f ca="1">SUM($L$28:$S$28)</f>
        <v>1.9852577602251825E-2</v>
      </c>
      <c r="U28" s="13">
        <f>'TUSD BE'!$U$28*'TUSD BE'!$U$58</f>
        <v>0</v>
      </c>
      <c r="V28" s="13">
        <f>'TUSD BE'!$V$28*'TUSD BE'!$V$58</f>
        <v>0</v>
      </c>
      <c r="W28" s="13">
        <f>'TUSD BE'!$W$28*'TUSD BE'!$W$58</f>
        <v>0</v>
      </c>
      <c r="X28" s="13">
        <f>'TUSD BE'!$X$28*'TUSD BE'!$X$58</f>
        <v>0</v>
      </c>
      <c r="Y28" s="13">
        <f>'TUSD BE'!$Y$28*'TUSD BE'!$Y$58</f>
        <v>4.4150208013651104</v>
      </c>
      <c r="Z28" s="13">
        <f>'TUSD BE'!$Z$28*'TUSD BE'!$Z$58</f>
        <v>0</v>
      </c>
      <c r="AA28" s="13">
        <f>'TUSD BE'!$AA$28*'TUSD BE'!$AA$58</f>
        <v>0</v>
      </c>
      <c r="AB28" s="13">
        <f>SUM($U$28:$AA$28)</f>
        <v>4.4150208013651104</v>
      </c>
      <c r="AC28" s="13">
        <f>'TUSD BE'!$AC$28*'TUSD BE'!$AC$58</f>
        <v>-188.55514684246336</v>
      </c>
      <c r="AD28" s="13">
        <f>SUM($AC$28:$AC$28)</f>
        <v>-188.55514684246336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BE'!$AH$58</f>
        <v>2.2906483539244862</v>
      </c>
      <c r="AI28" s="13">
        <f>'TUSD BE'!$AI$28*'TUSD BE'!$AI$58</f>
        <v>8.0357431211059954E-2</v>
      </c>
      <c r="AJ28" s="13">
        <f ca="1">'TUSD BE'!$AJ$28*'TUSD BE'!$AJ$58</f>
        <v>0</v>
      </c>
      <c r="AK28" s="13">
        <f ca="1">'TUSD BE'!$AK$28*'TUSD BE'!$AK$58</f>
        <v>0</v>
      </c>
      <c r="AL28" s="13">
        <f ca="1">SUM($AH$28:$AK$28)</f>
        <v>2.3710057851355462</v>
      </c>
      <c r="AM28" s="13">
        <f ca="1">SUMIF($L$4:$AL$4,"SUBTOTAL",$L$28:$AL$28)</f>
        <v>-181.74926767836047</v>
      </c>
      <c r="AO28" s="26">
        <f ca="1">+'TUSD BE'!$T$28+'TUSD BE'!$AB$28+'TUSD BE'!$AD$28+'TUSD BE'!$AL$28</f>
        <v>648.55407034005043</v>
      </c>
      <c r="AP28" s="26">
        <f ca="1">+'TUSD BE'!$T$28+'TUSD BE'!$AB$28+'TUSD BE'!$AD$28+'TUSD BE'!$AL$28</f>
        <v>648.55407034005043</v>
      </c>
    </row>
    <row r="29" spans="1:42" ht="11.25" customHeight="1" x14ac:dyDescent="0.25">
      <c r="A29" s="109"/>
      <c r="B29" s="109"/>
      <c r="C29" s="109"/>
      <c r="D29" s="23" t="s">
        <v>32</v>
      </c>
      <c r="E29" s="23" t="s">
        <v>25</v>
      </c>
      <c r="F29" s="23" t="s">
        <v>25</v>
      </c>
      <c r="G29" s="24" t="s">
        <v>77</v>
      </c>
      <c r="H29" s="24" t="s">
        <v>73</v>
      </c>
      <c r="I29" s="24">
        <f>'MERCADO TUSD'!$U$26</f>
        <v>0</v>
      </c>
      <c r="J29" s="15"/>
      <c r="L29" s="13">
        <f>'TUSD BE'!$L$29*'TUSD BE'!$L$58</f>
        <v>0</v>
      </c>
      <c r="M29" s="13">
        <f>'TUSD BE'!$M$29*'TUSD BE'!$M$58</f>
        <v>1.9852577602251825E-2</v>
      </c>
      <c r="N29" s="13">
        <f ca="1">'TUSD BE'!$N$29*'TUSD BE'!$N$58</f>
        <v>0</v>
      </c>
      <c r="O29" s="13">
        <f>'TUSD BE'!$O$29*'TUSD BE'!$O$58</f>
        <v>0</v>
      </c>
      <c r="P29" s="13">
        <f>'TUSD BE'!$P$29*'TUSD BE'!$P$58</f>
        <v>0</v>
      </c>
      <c r="Q29" s="13">
        <f>'TUSD BE'!$Q$29*'TUSD BE'!$Q$58</f>
        <v>0</v>
      </c>
      <c r="R29" s="13">
        <f>'TUSD BE'!$R$29*'TUSD BE'!$R$58</f>
        <v>0</v>
      </c>
      <c r="S29" s="13">
        <f>'TUSD BE'!$R$29*'TUSD BE'!$S$58</f>
        <v>0</v>
      </c>
      <c r="T29" s="13">
        <f ca="1">SUM($L$29:$S$29)</f>
        <v>1.9852577602251825E-2</v>
      </c>
      <c r="U29" s="13">
        <f>'TUSD BE'!$U$29*'TUSD BE'!$U$58</f>
        <v>0</v>
      </c>
      <c r="V29" s="13">
        <f>'TUSD BE'!$V$29*'TUSD BE'!$V$58</f>
        <v>0</v>
      </c>
      <c r="W29" s="13">
        <f>'TUSD BE'!$W$29*'TUSD BE'!$W$58</f>
        <v>0</v>
      </c>
      <c r="X29" s="13">
        <f>'TUSD BE'!$X$29*'TUSD BE'!$X$58</f>
        <v>0</v>
      </c>
      <c r="Y29" s="13">
        <f>'TUSD BE'!$Y$29*'TUSD BE'!$Y$58</f>
        <v>4.4150208013651104</v>
      </c>
      <c r="Z29" s="13">
        <f>'TUSD BE'!$Z$29*'TUSD BE'!$Z$58</f>
        <v>0</v>
      </c>
      <c r="AA29" s="13">
        <f>'TUSD BE'!$AA$29*'TUSD BE'!$AA$58</f>
        <v>0</v>
      </c>
      <c r="AB29" s="13">
        <f>SUM($U$29:$AA$29)</f>
        <v>4.4150208013651104</v>
      </c>
      <c r="AC29" s="13">
        <f>'TUSD BE'!$AC$29*'TUSD BE'!$AC$58</f>
        <v>-188.55514684246336</v>
      </c>
      <c r="AD29" s="13">
        <f>SUM($AC$29:$AC$29)</f>
        <v>-188.55514684246336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BE'!$AH$58</f>
        <v>2.2906483539244862</v>
      </c>
      <c r="AI29" s="13">
        <f>'TUSD BE'!$AI$29*'TUSD BE'!$AI$58</f>
        <v>8.0357431211059954E-2</v>
      </c>
      <c r="AJ29" s="13">
        <f ca="1">'TUSD BE'!$AJ$29*'TUSD BE'!$AJ$58</f>
        <v>0</v>
      </c>
      <c r="AK29" s="13">
        <f ca="1">'TUSD BE'!$AK$29*'TUSD BE'!$AK$58</f>
        <v>0</v>
      </c>
      <c r="AL29" s="13">
        <f ca="1">SUM($AH$29:$AK$29)</f>
        <v>2.3710057851355462</v>
      </c>
      <c r="AM29" s="13">
        <f ca="1">SUMIF($L$4:$AL$4,"SUBTOTAL",$L$29:$AL$29)</f>
        <v>-181.74926767836047</v>
      </c>
      <c r="AO29" s="26">
        <f ca="1">+'TUSD BE'!$T$29+'TUSD BE'!$AB$29+'TUSD BE'!$AD$29+'TUSD BE'!$AL$29</f>
        <v>648.55407034005043</v>
      </c>
      <c r="AP29" s="26">
        <f ca="1">+'TUSD BE'!$T$29+'TUSD BE'!$AB$29+'TUSD BE'!$AD$29+'TUSD BE'!$AL$29</f>
        <v>648.55407034005043</v>
      </c>
    </row>
    <row r="30" spans="1:42" ht="11.25" customHeight="1" x14ac:dyDescent="0.25">
      <c r="A30" s="109" t="s">
        <v>41</v>
      </c>
      <c r="B30" s="109" t="s">
        <v>86</v>
      </c>
      <c r="C30" s="109" t="s">
        <v>42</v>
      </c>
      <c r="D30" s="109" t="s">
        <v>25</v>
      </c>
      <c r="E30" s="109" t="s">
        <v>25</v>
      </c>
      <c r="F30" s="109" t="s">
        <v>25</v>
      </c>
      <c r="G30" s="24" t="s">
        <v>74</v>
      </c>
      <c r="H30" s="24" t="s">
        <v>73</v>
      </c>
      <c r="I30" s="24">
        <f>'MERCADO TUSD'!$U$27</f>
        <v>0</v>
      </c>
      <c r="J30" s="15"/>
      <c r="L30" s="13">
        <f>'TUSD BE'!$L$30*'TUSD BE'!$L$58</f>
        <v>0</v>
      </c>
      <c r="M30" s="13">
        <f>'TUSD BE'!$M$30*'TUSD BE'!$M$58</f>
        <v>1.9852577602251825E-2</v>
      </c>
      <c r="N30" s="13">
        <f ca="1">'TUSD BE'!$N$30*'TUSD BE'!$N$58</f>
        <v>0</v>
      </c>
      <c r="O30" s="13">
        <f>'TUSD BE'!$O$30*'TUSD BE'!$O$58</f>
        <v>0</v>
      </c>
      <c r="P30" s="13">
        <f>'TUSD BE'!$P$30*'TUSD BE'!$P$58</f>
        <v>0</v>
      </c>
      <c r="Q30" s="13">
        <f>'TUSD BE'!$Q$30*'TUSD BE'!$Q$58</f>
        <v>-1.7714244499273869E-2</v>
      </c>
      <c r="R30" s="13">
        <f>'TUSD BE'!$R$30*'TUSD BE'!$R$58</f>
        <v>-2.5807322656065765E-2</v>
      </c>
      <c r="S30" s="13">
        <f>'TUSD BE'!$R$30*'TUSD BE'!$S$58</f>
        <v>0</v>
      </c>
      <c r="T30" s="13">
        <f ca="1">SUM($L$30:$S$30)</f>
        <v>-2.366898955308781E-2</v>
      </c>
      <c r="U30" s="13">
        <f>'TUSD BE'!$U$30*'TUSD BE'!$U$58</f>
        <v>0</v>
      </c>
      <c r="V30" s="13">
        <f>'TUSD BE'!$V$30*'TUSD BE'!$V$58</f>
        <v>0</v>
      </c>
      <c r="W30" s="13">
        <f>'TUSD BE'!$W$30*'TUSD BE'!$W$58</f>
        <v>0</v>
      </c>
      <c r="X30" s="13">
        <f>'TUSD BE'!$X$30*'TUSD BE'!$X$58</f>
        <v>0</v>
      </c>
      <c r="Y30" s="13">
        <f>'TUSD BE'!$Y$30*'TUSD BE'!$Y$58</f>
        <v>12.008853753116131</v>
      </c>
      <c r="Z30" s="13">
        <f>'TUSD BE'!$Z$30*'TUSD BE'!$Z$58</f>
        <v>0</v>
      </c>
      <c r="AA30" s="13">
        <f>'TUSD BE'!$AA$30*'TUSD BE'!$AA$58</f>
        <v>0</v>
      </c>
      <c r="AB30" s="13">
        <f>SUM($U$30:$AA$30)</f>
        <v>12.008853753116131</v>
      </c>
      <c r="AC30" s="13">
        <f>'TUSD BE'!$AC$30*'TUSD BE'!$AC$58</f>
        <v>-512.86997287199483</v>
      </c>
      <c r="AD30" s="13">
        <f>SUM($AC$30:$AC$30)</f>
        <v>-512.86997287199483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BE'!$AH$58</f>
        <v>2.2906483539244862</v>
      </c>
      <c r="AI30" s="13">
        <f>'TUSD BE'!$AI$30*'TUSD BE'!$AI$58</f>
        <v>8.0357431211059954E-2</v>
      </c>
      <c r="AJ30" s="13">
        <f ca="1">'TUSD BE'!$AJ$30*'TUSD BE'!$AJ$58</f>
        <v>0</v>
      </c>
      <c r="AK30" s="13">
        <f ca="1">'TUSD BE'!$AK$30*'TUSD BE'!$AK$58</f>
        <v>0</v>
      </c>
      <c r="AL30" s="13">
        <f ca="1">SUM($AH$30:$AK$30)</f>
        <v>2.3710057851355462</v>
      </c>
      <c r="AM30" s="13">
        <f ca="1">SUMIF($L$4:$AL$4,"SUBTOTAL",$L$30:$AL$30)</f>
        <v>-498.51378232329625</v>
      </c>
      <c r="AO30" s="26">
        <f ca="1">+'TUSD BE'!$T$30+'TUSD BE'!$AB$30+'TUSD BE'!$AD$30+'TUSD BE'!$AL$30</f>
        <v>1814.1303313473791</v>
      </c>
      <c r="AP30" s="26">
        <f ca="1">+'TUSD BE'!$T$30+'TUSD BE'!$AB$30+'TUSD BE'!$AD$30+'TUSD BE'!$AL$30</f>
        <v>1814.1303313473791</v>
      </c>
    </row>
    <row r="31" spans="1:42" ht="11.25" customHeight="1" x14ac:dyDescent="0.25">
      <c r="A31" s="109"/>
      <c r="B31" s="109"/>
      <c r="C31" s="109"/>
      <c r="D31" s="109"/>
      <c r="E31" s="109"/>
      <c r="F31" s="109"/>
      <c r="G31" s="24" t="s">
        <v>85</v>
      </c>
      <c r="H31" s="24" t="s">
        <v>73</v>
      </c>
      <c r="I31" s="24">
        <f>'MERCADO TUSD'!$U$28</f>
        <v>0</v>
      </c>
      <c r="J31" s="15"/>
      <c r="L31" s="13">
        <f>'TUSD BE'!$L$31*'TUSD BE'!$L$58</f>
        <v>0</v>
      </c>
      <c r="M31" s="13">
        <f>'TUSD BE'!$M$31*'TUSD BE'!$M$58</f>
        <v>1.9852577602251825E-2</v>
      </c>
      <c r="N31" s="13">
        <f ca="1">'TUSD BE'!$N$31*'TUSD BE'!$N$58</f>
        <v>0</v>
      </c>
      <c r="O31" s="13">
        <f>'TUSD BE'!$O$31*'TUSD BE'!$O$58</f>
        <v>0</v>
      </c>
      <c r="P31" s="13">
        <f>'TUSD BE'!$P$31*'TUSD BE'!$P$58</f>
        <v>0</v>
      </c>
      <c r="Q31" s="13">
        <f>'TUSD BE'!$Q$31*'TUSD BE'!$Q$58</f>
        <v>-1.7714244499273869E-2</v>
      </c>
      <c r="R31" s="13">
        <f>'TUSD BE'!$R$31*'TUSD BE'!$R$58</f>
        <v>-2.5807322656065765E-2</v>
      </c>
      <c r="S31" s="13">
        <f>'TUSD BE'!$R$31*'TUSD BE'!$S$58</f>
        <v>0</v>
      </c>
      <c r="T31" s="13">
        <f ca="1">SUM($L$31:$S$31)</f>
        <v>-2.366898955308781E-2</v>
      </c>
      <c r="U31" s="13">
        <f>'TUSD BE'!$U$31*'TUSD BE'!$U$58</f>
        <v>0</v>
      </c>
      <c r="V31" s="13">
        <f>'TUSD BE'!$V$31*'TUSD BE'!$V$58</f>
        <v>0</v>
      </c>
      <c r="W31" s="13">
        <f>'TUSD BE'!$W$31*'TUSD BE'!$W$58</f>
        <v>0</v>
      </c>
      <c r="X31" s="13">
        <f>'TUSD BE'!$X$31*'TUSD BE'!$X$58</f>
        <v>0</v>
      </c>
      <c r="Y31" s="13">
        <f>'TUSD BE'!$Y$31*'TUSD BE'!$Y$58</f>
        <v>6.0044268765580657</v>
      </c>
      <c r="Z31" s="13">
        <f>'TUSD BE'!$Z$31*'TUSD BE'!$Z$58</f>
        <v>0</v>
      </c>
      <c r="AA31" s="13">
        <f>'TUSD BE'!$AA$31*'TUSD BE'!$AA$58</f>
        <v>0</v>
      </c>
      <c r="AB31" s="13">
        <f>SUM($U$31:$AA$31)</f>
        <v>6.0044268765580657</v>
      </c>
      <c r="AC31" s="13">
        <f>'TUSD BE'!$AC$31*'TUSD BE'!$AC$58</f>
        <v>-256.43500595033976</v>
      </c>
      <c r="AD31" s="13">
        <f>SUM($AC$31:$AC$31)</f>
        <v>-256.43500595033976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BE'!$AH$58</f>
        <v>2.2906483539244862</v>
      </c>
      <c r="AI31" s="13">
        <f>'TUSD BE'!$AI$31*'TUSD BE'!$AI$58</f>
        <v>8.0357431211059954E-2</v>
      </c>
      <c r="AJ31" s="13">
        <f ca="1">'TUSD BE'!$AJ$31*'TUSD BE'!$AJ$58</f>
        <v>0</v>
      </c>
      <c r="AK31" s="13">
        <f ca="1">'TUSD BE'!$AK$31*'TUSD BE'!$AK$58</f>
        <v>0</v>
      </c>
      <c r="AL31" s="13">
        <f ca="1">SUM($AH$31:$AK$31)</f>
        <v>2.3710057851355462</v>
      </c>
      <c r="AM31" s="13">
        <f ca="1">SUMIF($L$4:$AL$4,"SUBTOTAL",$L$31:$AL$31)</f>
        <v>-248.08324227819924</v>
      </c>
      <c r="AO31" s="26">
        <f ca="1">+'TUSD BE'!$T$31+'TUSD BE'!$AB$31+'TUSD BE'!$AD$31+'TUSD BE'!$AL$31</f>
        <v>974.84433262873108</v>
      </c>
      <c r="AP31" s="26">
        <f ca="1">+'TUSD BE'!$T$31+'TUSD BE'!$AB$31+'TUSD BE'!$AD$31+'TUSD BE'!$AL$31</f>
        <v>974.84433262873108</v>
      </c>
    </row>
    <row r="32" spans="1:42" ht="11.25" customHeight="1" x14ac:dyDescent="0.25">
      <c r="A32" s="109"/>
      <c r="B32" s="109"/>
      <c r="C32" s="109"/>
      <c r="D32" s="109"/>
      <c r="E32" s="109"/>
      <c r="F32" s="109"/>
      <c r="G32" s="24" t="s">
        <v>75</v>
      </c>
      <c r="H32" s="24" t="s">
        <v>73</v>
      </c>
      <c r="I32" s="24">
        <f>'MERCADO TUSD'!$U$29</f>
        <v>0</v>
      </c>
      <c r="J32" s="15"/>
      <c r="L32" s="13">
        <f>'TUSD BE'!$L$32*'TUSD BE'!$L$58</f>
        <v>0</v>
      </c>
      <c r="M32" s="13">
        <f>'TUSD BE'!$M$32*'TUSD BE'!$M$58</f>
        <v>1.9852577602251825E-2</v>
      </c>
      <c r="N32" s="13">
        <f ca="1">'TUSD BE'!$N$32*'TUSD BE'!$N$58</f>
        <v>0</v>
      </c>
      <c r="O32" s="13">
        <f>'TUSD BE'!$O$32*'TUSD BE'!$O$58</f>
        <v>0</v>
      </c>
      <c r="P32" s="13">
        <f>'TUSD BE'!$P$32*'TUSD BE'!$P$58</f>
        <v>0</v>
      </c>
      <c r="Q32" s="13">
        <f>'TUSD BE'!$Q$32*'TUSD BE'!$Q$58</f>
        <v>-1.7714244499273869E-2</v>
      </c>
      <c r="R32" s="13">
        <f>'TUSD BE'!$R$32*'TUSD BE'!$R$58</f>
        <v>-2.5807322656065765E-2</v>
      </c>
      <c r="S32" s="13">
        <f>'TUSD BE'!$R$32*'TUSD BE'!$S$58</f>
        <v>0</v>
      </c>
      <c r="T32" s="13">
        <f ca="1">SUM($L$32:$S$32)</f>
        <v>-2.366898955308781E-2</v>
      </c>
      <c r="U32" s="13">
        <f>'TUSD BE'!$U$32*'TUSD BE'!$U$58</f>
        <v>0</v>
      </c>
      <c r="V32" s="13">
        <f>'TUSD BE'!$V$32*'TUSD BE'!$V$58</f>
        <v>0</v>
      </c>
      <c r="W32" s="13">
        <f>'TUSD BE'!$W$32*'TUSD BE'!$W$58</f>
        <v>0</v>
      </c>
      <c r="X32" s="13">
        <f>'TUSD BE'!$X$32*'TUSD BE'!$X$58</f>
        <v>0</v>
      </c>
      <c r="Y32" s="13">
        <f>'TUSD BE'!$Y$32*'TUSD BE'!$Y$58</f>
        <v>3.0022134382790329</v>
      </c>
      <c r="Z32" s="13">
        <f>'TUSD BE'!$Z$32*'TUSD BE'!$Z$58</f>
        <v>0</v>
      </c>
      <c r="AA32" s="13">
        <f>'TUSD BE'!$AA$32*'TUSD BE'!$AA$58</f>
        <v>0</v>
      </c>
      <c r="AB32" s="13">
        <f>SUM($U$32:$AA$32)</f>
        <v>3.0022134382790329</v>
      </c>
      <c r="AC32" s="13">
        <f>'TUSD BE'!$AC$32*'TUSD BE'!$AC$58</f>
        <v>-128.21750297516988</v>
      </c>
      <c r="AD32" s="13">
        <f>SUM($AC$32:$AC$32)</f>
        <v>-128.21750297516988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BE'!$AH$58</f>
        <v>2.2906483539244862</v>
      </c>
      <c r="AI32" s="13">
        <f>'TUSD BE'!$AI$32*'TUSD BE'!$AI$58</f>
        <v>8.0357431211059954E-2</v>
      </c>
      <c r="AJ32" s="13">
        <f ca="1">'TUSD BE'!$AJ$32*'TUSD BE'!$AJ$58</f>
        <v>0</v>
      </c>
      <c r="AK32" s="13">
        <f ca="1">'TUSD BE'!$AK$32*'TUSD BE'!$AK$58</f>
        <v>0</v>
      </c>
      <c r="AL32" s="13">
        <f ca="1">SUM($AH$32:$AK$32)</f>
        <v>2.3710057851355462</v>
      </c>
      <c r="AM32" s="13">
        <f ca="1">SUMIF($L$4:$AL$4,"SUBTOTAL",$L$32:$AL$32)</f>
        <v>-122.86795274130839</v>
      </c>
      <c r="AO32" s="26">
        <f ca="1">+'TUSD BE'!$T$32+'TUSD BE'!$AB$32+'TUSD BE'!$AD$32+'TUSD BE'!$AL$32</f>
        <v>555.20128369226722</v>
      </c>
      <c r="AP32" s="26">
        <f ca="1">+'TUSD BE'!$T$32+'TUSD BE'!$AB$32+'TUSD BE'!$AD$32+'TUSD BE'!$AL$32</f>
        <v>555.20128369226722</v>
      </c>
    </row>
    <row r="33" spans="1:42" ht="11.25" customHeight="1" x14ac:dyDescent="0.25">
      <c r="A33" s="109"/>
      <c r="B33" s="23" t="s">
        <v>23</v>
      </c>
      <c r="C33" s="23" t="s">
        <v>42</v>
      </c>
      <c r="D33" s="23" t="s">
        <v>25</v>
      </c>
      <c r="E33" s="23" t="s">
        <v>25</v>
      </c>
      <c r="F33" s="23" t="s">
        <v>25</v>
      </c>
      <c r="G33" s="24" t="s">
        <v>77</v>
      </c>
      <c r="H33" s="24" t="s">
        <v>73</v>
      </c>
      <c r="I33" s="24">
        <f>'MERCADO TUSD'!$U$30</f>
        <v>21333.253999999997</v>
      </c>
      <c r="J33" s="15"/>
      <c r="L33" s="13">
        <f>'TUSD BE'!$L$33*'TUSD BE'!$L$58</f>
        <v>0</v>
      </c>
      <c r="M33" s="13">
        <f>'TUSD BE'!$M$33*'TUSD BE'!$M$58</f>
        <v>1.9852577602251825E-2</v>
      </c>
      <c r="N33" s="13">
        <f ca="1">'TUSD BE'!$N$33*'TUSD BE'!$N$58</f>
        <v>0</v>
      </c>
      <c r="O33" s="13">
        <f>'TUSD BE'!$O$33*'TUSD BE'!$O$58</f>
        <v>0</v>
      </c>
      <c r="P33" s="13">
        <f>'TUSD BE'!$P$33*'TUSD BE'!$P$58</f>
        <v>0</v>
      </c>
      <c r="Q33" s="13">
        <f>'TUSD BE'!$Q$33*'TUSD BE'!$Q$58</f>
        <v>-1.7714244499273869E-2</v>
      </c>
      <c r="R33" s="13">
        <f>'TUSD BE'!$R$33*'TUSD BE'!$R$58</f>
        <v>-2.5807322656065765E-2</v>
      </c>
      <c r="S33" s="13">
        <f>'TUSD BE'!$R$33*'TUSD BE'!$S$58</f>
        <v>0</v>
      </c>
      <c r="T33" s="13">
        <f ca="1">SUM($L$33:$S$33)</f>
        <v>-2.366898955308781E-2</v>
      </c>
      <c r="U33" s="13">
        <f>'TUSD BE'!$U$33*'TUSD BE'!$U$58</f>
        <v>0</v>
      </c>
      <c r="V33" s="13">
        <f>'TUSD BE'!$V$33*'TUSD BE'!$V$58</f>
        <v>0</v>
      </c>
      <c r="W33" s="13">
        <f>'TUSD BE'!$W$33*'TUSD BE'!$W$58</f>
        <v>0</v>
      </c>
      <c r="X33" s="13">
        <f>'TUSD BE'!$X$33*'TUSD BE'!$X$58</f>
        <v>0</v>
      </c>
      <c r="Y33" s="13">
        <f>'TUSD BE'!$Y$33*'TUSD BE'!$Y$58</f>
        <v>4.4150208013651104</v>
      </c>
      <c r="Z33" s="13">
        <f>'TUSD BE'!$Z$33*'TUSD BE'!$Z$58</f>
        <v>0</v>
      </c>
      <c r="AA33" s="13">
        <f>'TUSD BE'!$AA$33*'TUSD BE'!$AA$58</f>
        <v>0</v>
      </c>
      <c r="AB33" s="13">
        <f>SUM($U$33:$AA$33)</f>
        <v>4.4150208013651104</v>
      </c>
      <c r="AC33" s="13">
        <f>'TUSD BE'!$AC$33*'TUSD BE'!$AC$58</f>
        <v>-188.55514684246336</v>
      </c>
      <c r="AD33" s="13">
        <f>SUM($AC$33:$AC$33)</f>
        <v>-188.55514684246336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BE'!$AH$58</f>
        <v>2.2906483539244862</v>
      </c>
      <c r="AI33" s="13">
        <f>'TUSD BE'!$AI$33*'TUSD BE'!$AI$58</f>
        <v>8.0357431211059954E-2</v>
      </c>
      <c r="AJ33" s="13">
        <f ca="1">'TUSD BE'!$AJ$33*'TUSD BE'!$AJ$58</f>
        <v>0</v>
      </c>
      <c r="AK33" s="13">
        <f ca="1">'TUSD BE'!$AK$33*'TUSD BE'!$AK$58</f>
        <v>0</v>
      </c>
      <c r="AL33" s="13">
        <f ca="1">SUM($AH$33:$AK$33)</f>
        <v>2.3710057851355462</v>
      </c>
      <c r="AM33" s="13">
        <f ca="1">SUMIF($L$4:$AL$4,"SUBTOTAL",$L$33:$AL$33)</f>
        <v>-181.79278924551579</v>
      </c>
      <c r="AO33" s="26">
        <f ca="1">+'TUSD BE'!$T$33+'TUSD BE'!$AB$33+'TUSD BE'!$AD$33+'TUSD BE'!$AL$33</f>
        <v>752.68038638225505</v>
      </c>
      <c r="AP33" s="26">
        <f ca="1">+'TUSD BE'!$T$33+'TUSD BE'!$AB$33+'TUSD BE'!$AD$33+'TUSD BE'!$AL$33</f>
        <v>752.68038638225505</v>
      </c>
    </row>
    <row r="34" spans="1:42" ht="11.25" customHeight="1" x14ac:dyDescent="0.25">
      <c r="A34" s="109"/>
      <c r="B34" s="109" t="s">
        <v>86</v>
      </c>
      <c r="C34" s="109" t="s">
        <v>42</v>
      </c>
      <c r="D34" s="109" t="s">
        <v>89</v>
      </c>
      <c r="E34" s="109" t="s">
        <v>25</v>
      </c>
      <c r="F34" s="109" t="s">
        <v>25</v>
      </c>
      <c r="G34" s="24" t="s">
        <v>74</v>
      </c>
      <c r="H34" s="24" t="s">
        <v>73</v>
      </c>
      <c r="I34" s="24">
        <f>'MERCADO TUSD'!$U$31</f>
        <v>0</v>
      </c>
      <c r="J34" s="15"/>
      <c r="L34" s="13">
        <f>'TUSD BE'!$L$34*'TUSD BE'!$L$58</f>
        <v>0</v>
      </c>
      <c r="M34" s="13">
        <f>'TUSD BE'!$M$34*'TUSD BE'!$M$58</f>
        <v>1.9852577602251825E-2</v>
      </c>
      <c r="N34" s="13">
        <f ca="1">'TUSD BE'!$N$34*'TUSD BE'!$N$58</f>
        <v>0</v>
      </c>
      <c r="O34" s="13">
        <f>'TUSD BE'!$O$34*'TUSD BE'!$O$58</f>
        <v>0</v>
      </c>
      <c r="P34" s="13">
        <f>'TUSD BE'!$P$34*'TUSD BE'!$P$58</f>
        <v>0</v>
      </c>
      <c r="Q34" s="13">
        <f>'TUSD BE'!$Q$34*'TUSD BE'!$Q$58</f>
        <v>-1.7714244499273869E-2</v>
      </c>
      <c r="R34" s="13">
        <f>'TUSD BE'!$R$34*'TUSD BE'!$R$58</f>
        <v>-2.5807322656065765E-2</v>
      </c>
      <c r="S34" s="13">
        <f>'TUSD BE'!$R$34*'TUSD BE'!$S$58</f>
        <v>0</v>
      </c>
      <c r="T34" s="13">
        <f ca="1">SUM($L$34:$S$34)</f>
        <v>-2.366898955308781E-2</v>
      </c>
      <c r="U34" s="13">
        <f>'TUSD BE'!$U$34*'TUSD BE'!$U$58</f>
        <v>0</v>
      </c>
      <c r="V34" s="13">
        <f>'TUSD BE'!$V$34*'TUSD BE'!$V$58</f>
        <v>0</v>
      </c>
      <c r="W34" s="13">
        <f>'TUSD BE'!$W$34*'TUSD BE'!$W$58</f>
        <v>0</v>
      </c>
      <c r="X34" s="13">
        <f>'TUSD BE'!$X$34*'TUSD BE'!$X$58</f>
        <v>0</v>
      </c>
      <c r="Y34" s="13">
        <f>'TUSD BE'!$Y$34*'TUSD BE'!$Y$58</f>
        <v>12.008853753116131</v>
      </c>
      <c r="Z34" s="13">
        <f>'TUSD BE'!$Z$34*'TUSD BE'!$Z$58</f>
        <v>0</v>
      </c>
      <c r="AA34" s="13">
        <f>'TUSD BE'!$AA$34*'TUSD BE'!$AA$58</f>
        <v>0</v>
      </c>
      <c r="AB34" s="13">
        <f>SUM($U$34:$AA$34)</f>
        <v>12.008853753116131</v>
      </c>
      <c r="AC34" s="13">
        <f>'TUSD BE'!$AC$34*'TUSD BE'!$AC$58</f>
        <v>-512.86997287199483</v>
      </c>
      <c r="AD34" s="13">
        <f>SUM($AC$34:$AC$34)</f>
        <v>-512.86997287199483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BE'!$AH$58</f>
        <v>2.2906483539244862</v>
      </c>
      <c r="AI34" s="13">
        <f>'TUSD BE'!$AI$34*'TUSD BE'!$AI$58</f>
        <v>8.0357431211059954E-2</v>
      </c>
      <c r="AJ34" s="13">
        <f ca="1">'TUSD BE'!$AJ$34*'TUSD BE'!$AJ$58</f>
        <v>0</v>
      </c>
      <c r="AK34" s="13">
        <f ca="1">'TUSD BE'!$AK$34*'TUSD BE'!$AK$58</f>
        <v>0</v>
      </c>
      <c r="AL34" s="13">
        <f ca="1">SUM($AH$34:$AK$34)</f>
        <v>2.3710057851355462</v>
      </c>
      <c r="AM34" s="13">
        <f ca="1">SUMIF($L$4:$AL$4,"SUBTOTAL",$L$34:$AL$34)</f>
        <v>-498.51378232329625</v>
      </c>
      <c r="AO34" s="26">
        <f ca="1">+'TUSD BE'!$T$34+'TUSD BE'!$AB$34+'TUSD BE'!$AD$34+'TUSD BE'!$AL$34</f>
        <v>1814.1303313473791</v>
      </c>
      <c r="AP34" s="26">
        <f ca="1">+'TUSD BE'!$T$34+'TUSD BE'!$AB$34+'TUSD BE'!$AD$34+'TUSD BE'!$AL$34</f>
        <v>1814.1303313473791</v>
      </c>
    </row>
    <row r="35" spans="1:42" ht="11.25" customHeight="1" x14ac:dyDescent="0.25">
      <c r="A35" s="109"/>
      <c r="B35" s="109"/>
      <c r="C35" s="109"/>
      <c r="D35" s="109"/>
      <c r="E35" s="109"/>
      <c r="F35" s="109"/>
      <c r="G35" s="24" t="s">
        <v>85</v>
      </c>
      <c r="H35" s="24" t="s">
        <v>73</v>
      </c>
      <c r="I35" s="24">
        <f>'MERCADO TUSD'!$U$32</f>
        <v>0</v>
      </c>
      <c r="J35" s="15"/>
      <c r="L35" s="13">
        <f>'TUSD BE'!$L$35*'TUSD BE'!$L$58</f>
        <v>0</v>
      </c>
      <c r="M35" s="13">
        <f>'TUSD BE'!$M$35*'TUSD BE'!$M$58</f>
        <v>1.9852577602251825E-2</v>
      </c>
      <c r="N35" s="13">
        <f ca="1">'TUSD BE'!$N$35*'TUSD BE'!$N$58</f>
        <v>0</v>
      </c>
      <c r="O35" s="13">
        <f>'TUSD BE'!$O$35*'TUSD BE'!$O$58</f>
        <v>0</v>
      </c>
      <c r="P35" s="13">
        <f>'TUSD BE'!$P$35*'TUSD BE'!$P$58</f>
        <v>0</v>
      </c>
      <c r="Q35" s="13">
        <f>'TUSD BE'!$Q$35*'TUSD BE'!$Q$58</f>
        <v>-1.7714244499273869E-2</v>
      </c>
      <c r="R35" s="13">
        <f>'TUSD BE'!$R$35*'TUSD BE'!$R$58</f>
        <v>-2.5807322656065765E-2</v>
      </c>
      <c r="S35" s="13">
        <f>'TUSD BE'!$R$35*'TUSD BE'!$S$58</f>
        <v>0</v>
      </c>
      <c r="T35" s="13">
        <f ca="1">SUM($L$35:$S$35)</f>
        <v>-2.366898955308781E-2</v>
      </c>
      <c r="U35" s="13">
        <f>'TUSD BE'!$U$35*'TUSD BE'!$U$58</f>
        <v>0</v>
      </c>
      <c r="V35" s="13">
        <f>'TUSD BE'!$V$35*'TUSD BE'!$V$58</f>
        <v>0</v>
      </c>
      <c r="W35" s="13">
        <f>'TUSD BE'!$W$35*'TUSD BE'!$W$58</f>
        <v>0</v>
      </c>
      <c r="X35" s="13">
        <f>'TUSD BE'!$X$35*'TUSD BE'!$X$58</f>
        <v>0</v>
      </c>
      <c r="Y35" s="13">
        <f>'TUSD BE'!$Y$35*'TUSD BE'!$Y$58</f>
        <v>6.0044268765580657</v>
      </c>
      <c r="Z35" s="13">
        <f>'TUSD BE'!$Z$35*'TUSD BE'!$Z$58</f>
        <v>0</v>
      </c>
      <c r="AA35" s="13">
        <f>'TUSD BE'!$AA$35*'TUSD BE'!$AA$58</f>
        <v>0</v>
      </c>
      <c r="AB35" s="13">
        <f>SUM($U$35:$AA$35)</f>
        <v>6.0044268765580657</v>
      </c>
      <c r="AC35" s="13">
        <f>'TUSD BE'!$AC$35*'TUSD BE'!$AC$58</f>
        <v>-256.43500595033976</v>
      </c>
      <c r="AD35" s="13">
        <f>SUM($AC$35:$AC$35)</f>
        <v>-256.43500595033976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BE'!$AH$58</f>
        <v>2.2906483539244862</v>
      </c>
      <c r="AI35" s="13">
        <f>'TUSD BE'!$AI$35*'TUSD BE'!$AI$58</f>
        <v>8.0357431211059954E-2</v>
      </c>
      <c r="AJ35" s="13">
        <f ca="1">'TUSD BE'!$AJ$35*'TUSD BE'!$AJ$58</f>
        <v>0</v>
      </c>
      <c r="AK35" s="13">
        <f ca="1">'TUSD BE'!$AK$35*'TUSD BE'!$AK$58</f>
        <v>0</v>
      </c>
      <c r="AL35" s="13">
        <f ca="1">SUM($AH$35:$AK$35)</f>
        <v>2.3710057851355462</v>
      </c>
      <c r="AM35" s="13">
        <f ca="1">SUMIF($L$4:$AL$4,"SUBTOTAL",$L$35:$AL$35)</f>
        <v>-248.08324227819924</v>
      </c>
      <c r="AO35" s="26">
        <f ca="1">+'TUSD BE'!$T$35+'TUSD BE'!$AB$35+'TUSD BE'!$AD$35+'TUSD BE'!$AL$35</f>
        <v>974.84433262873108</v>
      </c>
      <c r="AP35" s="26">
        <f ca="1">+'TUSD BE'!$T$35+'TUSD BE'!$AB$35+'TUSD BE'!$AD$35+'TUSD BE'!$AL$35</f>
        <v>974.84433262873108</v>
      </c>
    </row>
    <row r="36" spans="1:42" ht="11.25" customHeight="1" x14ac:dyDescent="0.25">
      <c r="A36" s="109"/>
      <c r="B36" s="109"/>
      <c r="C36" s="109"/>
      <c r="D36" s="109"/>
      <c r="E36" s="109"/>
      <c r="F36" s="109"/>
      <c r="G36" s="24" t="s">
        <v>75</v>
      </c>
      <c r="H36" s="24" t="s">
        <v>73</v>
      </c>
      <c r="I36" s="24">
        <f>'MERCADO TUSD'!$U$33</f>
        <v>0</v>
      </c>
      <c r="J36" s="15"/>
      <c r="L36" s="13">
        <f>'TUSD BE'!$L$36*'TUSD BE'!$L$58</f>
        <v>0</v>
      </c>
      <c r="M36" s="13">
        <f>'TUSD BE'!$M$36*'TUSD BE'!$M$58</f>
        <v>1.9852577602251825E-2</v>
      </c>
      <c r="N36" s="13">
        <f ca="1">'TUSD BE'!$N$36*'TUSD BE'!$N$58</f>
        <v>0</v>
      </c>
      <c r="O36" s="13">
        <f>'TUSD BE'!$O$36*'TUSD BE'!$O$58</f>
        <v>0</v>
      </c>
      <c r="P36" s="13">
        <f>'TUSD BE'!$P$36*'TUSD BE'!$P$58</f>
        <v>0</v>
      </c>
      <c r="Q36" s="13">
        <f>'TUSD BE'!$Q$36*'TUSD BE'!$Q$58</f>
        <v>-1.7714244499273869E-2</v>
      </c>
      <c r="R36" s="13">
        <f>'TUSD BE'!$R$36*'TUSD BE'!$R$58</f>
        <v>-2.5807322656065765E-2</v>
      </c>
      <c r="S36" s="13">
        <f>'TUSD BE'!$R$36*'TUSD BE'!$S$58</f>
        <v>0</v>
      </c>
      <c r="T36" s="13">
        <f ca="1">SUM($L$36:$S$36)</f>
        <v>-2.366898955308781E-2</v>
      </c>
      <c r="U36" s="13">
        <f>'TUSD BE'!$U$36*'TUSD BE'!$U$58</f>
        <v>0</v>
      </c>
      <c r="V36" s="13">
        <f>'TUSD BE'!$V$36*'TUSD BE'!$V$58</f>
        <v>0</v>
      </c>
      <c r="W36" s="13">
        <f>'TUSD BE'!$W$36*'TUSD BE'!$W$58</f>
        <v>0</v>
      </c>
      <c r="X36" s="13">
        <f>'TUSD BE'!$X$36*'TUSD BE'!$X$58</f>
        <v>0</v>
      </c>
      <c r="Y36" s="13">
        <f>'TUSD BE'!$Y$36*'TUSD BE'!$Y$58</f>
        <v>3.0022134382790329</v>
      </c>
      <c r="Z36" s="13">
        <f>'TUSD BE'!$Z$36*'TUSD BE'!$Z$58</f>
        <v>0</v>
      </c>
      <c r="AA36" s="13">
        <f>'TUSD BE'!$AA$36*'TUSD BE'!$AA$58</f>
        <v>0</v>
      </c>
      <c r="AB36" s="13">
        <f>SUM($U$36:$AA$36)</f>
        <v>3.0022134382790329</v>
      </c>
      <c r="AC36" s="13">
        <f>'TUSD BE'!$AC$36*'TUSD BE'!$AC$58</f>
        <v>-128.21750297516988</v>
      </c>
      <c r="AD36" s="13">
        <f>SUM($AC$36:$AC$36)</f>
        <v>-128.21750297516988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BE'!$AH$58</f>
        <v>2.2906483539244862</v>
      </c>
      <c r="AI36" s="13">
        <f>'TUSD BE'!$AI$36*'TUSD BE'!$AI$58</f>
        <v>8.0357431211059954E-2</v>
      </c>
      <c r="AJ36" s="13">
        <f ca="1">'TUSD BE'!$AJ$36*'TUSD BE'!$AJ$58</f>
        <v>0</v>
      </c>
      <c r="AK36" s="13">
        <f ca="1">'TUSD BE'!$AK$36*'TUSD BE'!$AK$58</f>
        <v>0</v>
      </c>
      <c r="AL36" s="13">
        <f ca="1">SUM($AH$36:$AK$36)</f>
        <v>2.3710057851355462</v>
      </c>
      <c r="AM36" s="13">
        <f ca="1">SUMIF($L$4:$AL$4,"SUBTOTAL",$L$36:$AL$36)</f>
        <v>-122.86795274130839</v>
      </c>
      <c r="AO36" s="26">
        <f ca="1">+'TUSD BE'!$T$36+'TUSD BE'!$AB$36+'TUSD BE'!$AD$36+'TUSD BE'!$AL$36</f>
        <v>555.20128369226722</v>
      </c>
      <c r="AP36" s="26">
        <f ca="1">+'TUSD BE'!$T$36+'TUSD BE'!$AB$36+'TUSD BE'!$AD$36+'TUSD BE'!$AL$36</f>
        <v>555.20128369226722</v>
      </c>
    </row>
    <row r="37" spans="1:42" ht="11.25" customHeight="1" x14ac:dyDescent="0.25">
      <c r="A37" s="109"/>
      <c r="B37" s="23" t="s">
        <v>23</v>
      </c>
      <c r="C37" s="23" t="s">
        <v>42</v>
      </c>
      <c r="D37" s="23" t="s">
        <v>89</v>
      </c>
      <c r="E37" s="23" t="s">
        <v>25</v>
      </c>
      <c r="F37" s="23" t="s">
        <v>25</v>
      </c>
      <c r="G37" s="24" t="s">
        <v>77</v>
      </c>
      <c r="H37" s="24" t="s">
        <v>73</v>
      </c>
      <c r="I37" s="24">
        <f>'MERCADO TUSD'!$U$34</f>
        <v>0</v>
      </c>
      <c r="J37" s="15"/>
      <c r="L37" s="13">
        <f>'TUSD BE'!$L$37*'TUSD BE'!$L$58</f>
        <v>0</v>
      </c>
      <c r="M37" s="13">
        <f>'TUSD BE'!$M$37*'TUSD BE'!$M$58</f>
        <v>1.9852577602251825E-2</v>
      </c>
      <c r="N37" s="13">
        <f ca="1">'TUSD BE'!$N$37*'TUSD BE'!$N$58</f>
        <v>0</v>
      </c>
      <c r="O37" s="13">
        <f>'TUSD BE'!$O$37*'TUSD BE'!$O$58</f>
        <v>0</v>
      </c>
      <c r="P37" s="13">
        <f>'TUSD BE'!$P$37*'TUSD BE'!$P$58</f>
        <v>0</v>
      </c>
      <c r="Q37" s="13">
        <f>'TUSD BE'!$Q$37*'TUSD BE'!$Q$58</f>
        <v>-1.7714244499273869E-2</v>
      </c>
      <c r="R37" s="13">
        <f>'TUSD BE'!$R$37*'TUSD BE'!$R$58</f>
        <v>-2.5807322656065765E-2</v>
      </c>
      <c r="S37" s="13">
        <f>'TUSD BE'!$R$37*'TUSD BE'!$S$58</f>
        <v>0</v>
      </c>
      <c r="T37" s="13">
        <f ca="1">SUM($L$37:$S$37)</f>
        <v>-2.366898955308781E-2</v>
      </c>
      <c r="U37" s="13">
        <f>'TUSD BE'!$U$37*'TUSD BE'!$U$58</f>
        <v>0</v>
      </c>
      <c r="V37" s="13">
        <f>'TUSD BE'!$V$37*'TUSD BE'!$V$58</f>
        <v>0</v>
      </c>
      <c r="W37" s="13">
        <f>'TUSD BE'!$W$37*'TUSD BE'!$W$58</f>
        <v>0</v>
      </c>
      <c r="X37" s="13">
        <f>'TUSD BE'!$X$37*'TUSD BE'!$X$58</f>
        <v>0</v>
      </c>
      <c r="Y37" s="13">
        <f>'TUSD BE'!$Y$37*'TUSD BE'!$Y$58</f>
        <v>4.4150208013651104</v>
      </c>
      <c r="Z37" s="13">
        <f>'TUSD BE'!$Z$37*'TUSD BE'!$Z$58</f>
        <v>0</v>
      </c>
      <c r="AA37" s="13">
        <f>'TUSD BE'!$AA$37*'TUSD BE'!$AA$58</f>
        <v>0</v>
      </c>
      <c r="AB37" s="13">
        <f>SUM($U$37:$AA$37)</f>
        <v>4.4150208013651104</v>
      </c>
      <c r="AC37" s="13">
        <f>'TUSD BE'!$AC$37*'TUSD BE'!$AC$58</f>
        <v>-188.55514684246336</v>
      </c>
      <c r="AD37" s="13">
        <f>SUM($AC$37:$AC$37)</f>
        <v>-188.55514684246336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BE'!$AH$58</f>
        <v>2.2906483539244862</v>
      </c>
      <c r="AI37" s="13">
        <f>'TUSD BE'!$AI$37*'TUSD BE'!$AI$58</f>
        <v>8.0357431211059954E-2</v>
      </c>
      <c r="AJ37" s="13">
        <f ca="1">'TUSD BE'!$AJ$37*'TUSD BE'!$AJ$58</f>
        <v>0</v>
      </c>
      <c r="AK37" s="13">
        <f ca="1">'TUSD BE'!$AK$37*'TUSD BE'!$AK$58</f>
        <v>0</v>
      </c>
      <c r="AL37" s="13">
        <f ca="1">SUM($AH$37:$AK$37)</f>
        <v>2.3710057851355462</v>
      </c>
      <c r="AM37" s="13">
        <f ca="1">SUMIF($L$4:$AL$4,"SUBTOTAL",$L$37:$AL$37)</f>
        <v>-181.79278924551579</v>
      </c>
      <c r="AO37" s="26">
        <f ca="1">+'TUSD BE'!$T$37+'TUSD BE'!$AB$37+'TUSD BE'!$AD$37+'TUSD BE'!$AL$37</f>
        <v>752.68038638225505</v>
      </c>
      <c r="AP37" s="26">
        <f ca="1">+'TUSD BE'!$T$37+'TUSD BE'!$AB$37+'TUSD BE'!$AD$37+'TUSD BE'!$AL$37</f>
        <v>752.68038638225505</v>
      </c>
    </row>
    <row r="38" spans="1:42" ht="11.25" customHeight="1" x14ac:dyDescent="0.25">
      <c r="A38" s="109"/>
      <c r="B38" s="109" t="s">
        <v>86</v>
      </c>
      <c r="C38" s="109" t="s">
        <v>42</v>
      </c>
      <c r="D38" s="109" t="s">
        <v>90</v>
      </c>
      <c r="E38" s="109" t="s">
        <v>25</v>
      </c>
      <c r="F38" s="109" t="s">
        <v>25</v>
      </c>
      <c r="G38" s="24" t="s">
        <v>74</v>
      </c>
      <c r="H38" s="24" t="s">
        <v>73</v>
      </c>
      <c r="I38" s="24">
        <f>'MERCADO TUSD'!$U$35</f>
        <v>0</v>
      </c>
      <c r="J38" s="15"/>
      <c r="L38" s="13">
        <f>'TUSD BE'!$L$38*'TUSD BE'!$L$58</f>
        <v>0</v>
      </c>
      <c r="M38" s="13">
        <f>'TUSD BE'!$M$38*'TUSD BE'!$M$58</f>
        <v>1.9852577602251825E-2</v>
      </c>
      <c r="N38" s="13">
        <f ca="1">'TUSD BE'!$N$38*'TUSD BE'!$N$58</f>
        <v>0</v>
      </c>
      <c r="O38" s="13">
        <f>'TUSD BE'!$O$38*'TUSD BE'!$O$58</f>
        <v>0</v>
      </c>
      <c r="P38" s="13">
        <f>'TUSD BE'!$P$38*'TUSD BE'!$P$58</f>
        <v>0</v>
      </c>
      <c r="Q38" s="13">
        <f>'TUSD BE'!$Q$38*'TUSD BE'!$Q$58</f>
        <v>-1.7714244499273869E-2</v>
      </c>
      <c r="R38" s="13">
        <f>'TUSD BE'!$R$38*'TUSD BE'!$R$58</f>
        <v>-2.5807322656065765E-2</v>
      </c>
      <c r="S38" s="13">
        <f>'TUSD BE'!$R$38*'TUSD BE'!$S$58</f>
        <v>0</v>
      </c>
      <c r="T38" s="13">
        <f ca="1">SUM($L$38:$S$38)</f>
        <v>-2.366898955308781E-2</v>
      </c>
      <c r="U38" s="13">
        <f>'TUSD BE'!$U$38*'TUSD BE'!$U$58</f>
        <v>0</v>
      </c>
      <c r="V38" s="13">
        <f>'TUSD BE'!$V$38*'TUSD BE'!$V$58</f>
        <v>0</v>
      </c>
      <c r="W38" s="13">
        <f>'TUSD BE'!$W$38*'TUSD BE'!$W$58</f>
        <v>0</v>
      </c>
      <c r="X38" s="13">
        <f>'TUSD BE'!$X$38*'TUSD BE'!$X$58</f>
        <v>0</v>
      </c>
      <c r="Y38" s="13">
        <f>'TUSD BE'!$Y$38*'TUSD BE'!$Y$58</f>
        <v>12.008853753116131</v>
      </c>
      <c r="Z38" s="13">
        <f>'TUSD BE'!$Z$38*'TUSD BE'!$Z$58</f>
        <v>0</v>
      </c>
      <c r="AA38" s="13">
        <f>'TUSD BE'!$AA$38*'TUSD BE'!$AA$58</f>
        <v>0</v>
      </c>
      <c r="AB38" s="13">
        <f>SUM($U$38:$AA$38)</f>
        <v>12.008853753116131</v>
      </c>
      <c r="AC38" s="13">
        <f>'TUSD BE'!$AC$38*'TUSD BE'!$AC$58</f>
        <v>-512.86997287199483</v>
      </c>
      <c r="AD38" s="13">
        <f>SUM($AC$38:$AC$38)</f>
        <v>-512.86997287199483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BE'!$AH$58</f>
        <v>2.2906483539244862</v>
      </c>
      <c r="AI38" s="13">
        <f>'TUSD BE'!$AI$38*'TUSD BE'!$AI$58</f>
        <v>8.0357431211059954E-2</v>
      </c>
      <c r="AJ38" s="13">
        <f ca="1">'TUSD BE'!$AJ$38*'TUSD BE'!$AJ$58</f>
        <v>0</v>
      </c>
      <c r="AK38" s="13">
        <f ca="1">'TUSD BE'!$AK$38*'TUSD BE'!$AK$58</f>
        <v>0</v>
      </c>
      <c r="AL38" s="13">
        <f ca="1">SUM($AH$38:$AK$38)</f>
        <v>2.3710057851355462</v>
      </c>
      <c r="AM38" s="13">
        <f ca="1">SUMIF($L$4:$AL$4,"SUBTOTAL",$L$38:$AL$38)</f>
        <v>-498.51378232329625</v>
      </c>
      <c r="AO38" s="26">
        <f ca="1">+'TUSD BE'!$T$38+'TUSD BE'!$AB$38+'TUSD BE'!$AD$38+'TUSD BE'!$AL$38</f>
        <v>1814.1303313473791</v>
      </c>
      <c r="AP38" s="26">
        <f ca="1">+'TUSD BE'!$T$38+'TUSD BE'!$AB$38+'TUSD BE'!$AD$38+'TUSD BE'!$AL$38</f>
        <v>1814.1303313473791</v>
      </c>
    </row>
    <row r="39" spans="1:42" ht="11.25" customHeight="1" x14ac:dyDescent="0.25">
      <c r="A39" s="109"/>
      <c r="B39" s="109"/>
      <c r="C39" s="109"/>
      <c r="D39" s="109"/>
      <c r="E39" s="109"/>
      <c r="F39" s="109"/>
      <c r="G39" s="24" t="s">
        <v>85</v>
      </c>
      <c r="H39" s="24" t="s">
        <v>73</v>
      </c>
      <c r="I39" s="24">
        <f>'MERCADO TUSD'!$U$36</f>
        <v>0</v>
      </c>
      <c r="J39" s="15"/>
      <c r="L39" s="13">
        <f>'TUSD BE'!$L$39*'TUSD BE'!$L$58</f>
        <v>0</v>
      </c>
      <c r="M39" s="13">
        <f>'TUSD BE'!$M$39*'TUSD BE'!$M$58</f>
        <v>1.9852577602251825E-2</v>
      </c>
      <c r="N39" s="13">
        <f ca="1">'TUSD BE'!$N$39*'TUSD BE'!$N$58</f>
        <v>0</v>
      </c>
      <c r="O39" s="13">
        <f>'TUSD BE'!$O$39*'TUSD BE'!$O$58</f>
        <v>0</v>
      </c>
      <c r="P39" s="13">
        <f>'TUSD BE'!$P$39*'TUSD BE'!$P$58</f>
        <v>0</v>
      </c>
      <c r="Q39" s="13">
        <f>'TUSD BE'!$Q$39*'TUSD BE'!$Q$58</f>
        <v>-1.7714244499273869E-2</v>
      </c>
      <c r="R39" s="13">
        <f>'TUSD BE'!$R$39*'TUSD BE'!$R$58</f>
        <v>-2.5807322656065765E-2</v>
      </c>
      <c r="S39" s="13">
        <f>'TUSD BE'!$R$39*'TUSD BE'!$S$58</f>
        <v>0</v>
      </c>
      <c r="T39" s="13">
        <f ca="1">SUM($L$39:$S$39)</f>
        <v>-2.366898955308781E-2</v>
      </c>
      <c r="U39" s="13">
        <f>'TUSD BE'!$U$39*'TUSD BE'!$U$58</f>
        <v>0</v>
      </c>
      <c r="V39" s="13">
        <f>'TUSD BE'!$V$39*'TUSD BE'!$V$58</f>
        <v>0</v>
      </c>
      <c r="W39" s="13">
        <f>'TUSD BE'!$W$39*'TUSD BE'!$W$58</f>
        <v>0</v>
      </c>
      <c r="X39" s="13">
        <f>'TUSD BE'!$X$39*'TUSD BE'!$X$58</f>
        <v>0</v>
      </c>
      <c r="Y39" s="13">
        <f>'TUSD BE'!$Y$39*'TUSD BE'!$Y$58</f>
        <v>6.0044268765580657</v>
      </c>
      <c r="Z39" s="13">
        <f>'TUSD BE'!$Z$39*'TUSD BE'!$Z$58</f>
        <v>0</v>
      </c>
      <c r="AA39" s="13">
        <f>'TUSD BE'!$AA$39*'TUSD BE'!$AA$58</f>
        <v>0</v>
      </c>
      <c r="AB39" s="13">
        <f>SUM($U$39:$AA$39)</f>
        <v>6.0044268765580657</v>
      </c>
      <c r="AC39" s="13">
        <f>'TUSD BE'!$AC$39*'TUSD BE'!$AC$58</f>
        <v>-256.43500595033976</v>
      </c>
      <c r="AD39" s="13">
        <f>SUM($AC$39:$AC$39)</f>
        <v>-256.43500595033976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BE'!$AH$58</f>
        <v>2.2906483539244862</v>
      </c>
      <c r="AI39" s="13">
        <f>'TUSD BE'!$AI$39*'TUSD BE'!$AI$58</f>
        <v>8.0357431211059954E-2</v>
      </c>
      <c r="AJ39" s="13">
        <f ca="1">'TUSD BE'!$AJ$39*'TUSD BE'!$AJ$58</f>
        <v>0</v>
      </c>
      <c r="AK39" s="13">
        <f ca="1">'TUSD BE'!$AK$39*'TUSD BE'!$AK$58</f>
        <v>0</v>
      </c>
      <c r="AL39" s="13">
        <f ca="1">SUM($AH$39:$AK$39)</f>
        <v>2.3710057851355462</v>
      </c>
      <c r="AM39" s="13">
        <f ca="1">SUMIF($L$4:$AL$4,"SUBTOTAL",$L$39:$AL$39)</f>
        <v>-248.08324227819924</v>
      </c>
      <c r="AO39" s="26">
        <f ca="1">+'TUSD BE'!$T$39+'TUSD BE'!$AB$39+'TUSD BE'!$AD$39+'TUSD BE'!$AL$39</f>
        <v>974.84433262873108</v>
      </c>
      <c r="AP39" s="26">
        <f ca="1">+'TUSD BE'!$T$39+'TUSD BE'!$AB$39+'TUSD BE'!$AD$39+'TUSD BE'!$AL$39</f>
        <v>974.84433262873108</v>
      </c>
    </row>
    <row r="40" spans="1:42" ht="11.25" customHeight="1" x14ac:dyDescent="0.25">
      <c r="A40" s="109"/>
      <c r="B40" s="109"/>
      <c r="C40" s="109"/>
      <c r="D40" s="109"/>
      <c r="E40" s="109"/>
      <c r="F40" s="109"/>
      <c r="G40" s="24" t="s">
        <v>75</v>
      </c>
      <c r="H40" s="24" t="s">
        <v>73</v>
      </c>
      <c r="I40" s="24">
        <f>'MERCADO TUSD'!$U$37</f>
        <v>0</v>
      </c>
      <c r="J40" s="15"/>
      <c r="L40" s="13">
        <f>'TUSD BE'!$L$40*'TUSD BE'!$L$58</f>
        <v>0</v>
      </c>
      <c r="M40" s="13">
        <f>'TUSD BE'!$M$40*'TUSD BE'!$M$58</f>
        <v>1.9852577602251825E-2</v>
      </c>
      <c r="N40" s="13">
        <f ca="1">'TUSD BE'!$N$40*'TUSD BE'!$N$58</f>
        <v>0</v>
      </c>
      <c r="O40" s="13">
        <f>'TUSD BE'!$O$40*'TUSD BE'!$O$58</f>
        <v>0</v>
      </c>
      <c r="P40" s="13">
        <f>'TUSD BE'!$P$40*'TUSD BE'!$P$58</f>
        <v>0</v>
      </c>
      <c r="Q40" s="13">
        <f>'TUSD BE'!$Q$40*'TUSD BE'!$Q$58</f>
        <v>-1.7714244499273869E-2</v>
      </c>
      <c r="R40" s="13">
        <f>'TUSD BE'!$R$40*'TUSD BE'!$R$58</f>
        <v>-2.5807322656065765E-2</v>
      </c>
      <c r="S40" s="13">
        <f>'TUSD BE'!$R$40*'TUSD BE'!$S$58</f>
        <v>0</v>
      </c>
      <c r="T40" s="13">
        <f ca="1">SUM($L$40:$S$40)</f>
        <v>-2.366898955308781E-2</v>
      </c>
      <c r="U40" s="13">
        <f>'TUSD BE'!$U$40*'TUSD BE'!$U$58</f>
        <v>0</v>
      </c>
      <c r="V40" s="13">
        <f>'TUSD BE'!$V$40*'TUSD BE'!$V$58</f>
        <v>0</v>
      </c>
      <c r="W40" s="13">
        <f>'TUSD BE'!$W$40*'TUSD BE'!$W$58</f>
        <v>0</v>
      </c>
      <c r="X40" s="13">
        <f>'TUSD BE'!$X$40*'TUSD BE'!$X$58</f>
        <v>0</v>
      </c>
      <c r="Y40" s="13">
        <f>'TUSD BE'!$Y$40*'TUSD BE'!$Y$58</f>
        <v>3.0022134382790329</v>
      </c>
      <c r="Z40" s="13">
        <f>'TUSD BE'!$Z$40*'TUSD BE'!$Z$58</f>
        <v>0</v>
      </c>
      <c r="AA40" s="13">
        <f>'TUSD BE'!$AA$40*'TUSD BE'!$AA$58</f>
        <v>0</v>
      </c>
      <c r="AB40" s="13">
        <f>SUM($U$40:$AA$40)</f>
        <v>3.0022134382790329</v>
      </c>
      <c r="AC40" s="13">
        <f>'TUSD BE'!$AC$40*'TUSD BE'!$AC$58</f>
        <v>-128.21750297516988</v>
      </c>
      <c r="AD40" s="13">
        <f>SUM($AC$40:$AC$40)</f>
        <v>-128.21750297516988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BE'!$AH$58</f>
        <v>2.2906483539244862</v>
      </c>
      <c r="AI40" s="13">
        <f>'TUSD BE'!$AI$40*'TUSD BE'!$AI$58</f>
        <v>8.0357431211059954E-2</v>
      </c>
      <c r="AJ40" s="13">
        <f ca="1">'TUSD BE'!$AJ$40*'TUSD BE'!$AJ$58</f>
        <v>0</v>
      </c>
      <c r="AK40" s="13">
        <f ca="1">'TUSD BE'!$AK$40*'TUSD BE'!$AK$58</f>
        <v>0</v>
      </c>
      <c r="AL40" s="13">
        <f ca="1">SUM($AH$40:$AK$40)</f>
        <v>2.3710057851355462</v>
      </c>
      <c r="AM40" s="13">
        <f ca="1">SUMIF($L$4:$AL$4,"SUBTOTAL",$L$40:$AL$40)</f>
        <v>-122.86795274130839</v>
      </c>
      <c r="AO40" s="26">
        <f ca="1">+'TUSD BE'!$T$40+'TUSD BE'!$AB$40+'TUSD BE'!$AD$40+'TUSD BE'!$AL$40</f>
        <v>555.20128369226722</v>
      </c>
      <c r="AP40" s="26">
        <f ca="1">+'TUSD BE'!$T$40+'TUSD BE'!$AB$40+'TUSD BE'!$AD$40+'TUSD BE'!$AL$40</f>
        <v>555.20128369226722</v>
      </c>
    </row>
    <row r="41" spans="1:42" ht="11.25" customHeight="1" x14ac:dyDescent="0.25">
      <c r="A41" s="109"/>
      <c r="B41" s="23" t="s">
        <v>23</v>
      </c>
      <c r="C41" s="23" t="s">
        <v>42</v>
      </c>
      <c r="D41" s="23" t="s">
        <v>90</v>
      </c>
      <c r="E41" s="23" t="s">
        <v>25</v>
      </c>
      <c r="F41" s="23" t="s">
        <v>25</v>
      </c>
      <c r="G41" s="24" t="s">
        <v>77</v>
      </c>
      <c r="H41" s="24" t="s">
        <v>73</v>
      </c>
      <c r="I41" s="24">
        <f>'MERCADO TUSD'!$U$38</f>
        <v>0</v>
      </c>
      <c r="J41" s="15"/>
      <c r="L41" s="13">
        <f>'TUSD BE'!$L$41*'TUSD BE'!$L$58</f>
        <v>0</v>
      </c>
      <c r="M41" s="13">
        <f>'TUSD BE'!$M$41*'TUSD BE'!$M$58</f>
        <v>1.9852577602251825E-2</v>
      </c>
      <c r="N41" s="13">
        <f ca="1">'TUSD BE'!$N$41*'TUSD BE'!$N$58</f>
        <v>0</v>
      </c>
      <c r="O41" s="13">
        <f>'TUSD BE'!$O$41*'TUSD BE'!$O$58</f>
        <v>0</v>
      </c>
      <c r="P41" s="13">
        <f>'TUSD BE'!$P$41*'TUSD BE'!$P$58</f>
        <v>0</v>
      </c>
      <c r="Q41" s="13">
        <f>'TUSD BE'!$Q$41*'TUSD BE'!$Q$58</f>
        <v>-1.7714244499273869E-2</v>
      </c>
      <c r="R41" s="13">
        <f>'TUSD BE'!$R$41*'TUSD BE'!$R$58</f>
        <v>-2.5807322656065765E-2</v>
      </c>
      <c r="S41" s="13">
        <f>'TUSD BE'!$R$41*'TUSD BE'!$S$58</f>
        <v>0</v>
      </c>
      <c r="T41" s="13">
        <f ca="1">SUM($L$41:$S$41)</f>
        <v>-2.366898955308781E-2</v>
      </c>
      <c r="U41" s="13">
        <f>'TUSD BE'!$U$41*'TUSD BE'!$U$58</f>
        <v>0</v>
      </c>
      <c r="V41" s="13">
        <f>'TUSD BE'!$V$41*'TUSD BE'!$V$58</f>
        <v>0</v>
      </c>
      <c r="W41" s="13">
        <f>'TUSD BE'!$W$41*'TUSD BE'!$W$58</f>
        <v>0</v>
      </c>
      <c r="X41" s="13">
        <f>'TUSD BE'!$X$41*'TUSD BE'!$X$58</f>
        <v>0</v>
      </c>
      <c r="Y41" s="13">
        <f>'TUSD BE'!$Y$41*'TUSD BE'!$Y$58</f>
        <v>4.4150208013651104</v>
      </c>
      <c r="Z41" s="13">
        <f>'TUSD BE'!$Z$41*'TUSD BE'!$Z$58</f>
        <v>0</v>
      </c>
      <c r="AA41" s="13">
        <f>'TUSD BE'!$AA$41*'TUSD BE'!$AA$58</f>
        <v>0</v>
      </c>
      <c r="AB41" s="13">
        <f>SUM($U$41:$AA$41)</f>
        <v>4.4150208013651104</v>
      </c>
      <c r="AC41" s="13">
        <f>'TUSD BE'!$AC$41*'TUSD BE'!$AC$58</f>
        <v>-188.55514684246336</v>
      </c>
      <c r="AD41" s="13">
        <f>SUM($AC$41:$AC$41)</f>
        <v>-188.55514684246336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BE'!$AH$58</f>
        <v>2.2906483539244862</v>
      </c>
      <c r="AI41" s="13">
        <f>'TUSD BE'!$AI$41*'TUSD BE'!$AI$58</f>
        <v>8.0357431211059954E-2</v>
      </c>
      <c r="AJ41" s="13">
        <f ca="1">'TUSD BE'!$AJ$41*'TUSD BE'!$AJ$58</f>
        <v>0</v>
      </c>
      <c r="AK41" s="13">
        <f ca="1">'TUSD BE'!$AK$41*'TUSD BE'!$AK$58</f>
        <v>0</v>
      </c>
      <c r="AL41" s="13">
        <f ca="1">SUM($AH$41:$AK$41)</f>
        <v>2.3710057851355462</v>
      </c>
      <c r="AM41" s="13">
        <f ca="1">SUMIF($L$4:$AL$4,"SUBTOTAL",$L$41:$AL$41)</f>
        <v>-181.79278924551579</v>
      </c>
      <c r="AO41" s="26">
        <f ca="1">+'TUSD BE'!$T$41+'TUSD BE'!$AB$41+'TUSD BE'!$AD$41+'TUSD BE'!$AL$41</f>
        <v>752.68038638225505</v>
      </c>
      <c r="AP41" s="26">
        <f ca="1">+'TUSD BE'!$T$41+'TUSD BE'!$AB$41+'TUSD BE'!$AD$41+'TUSD BE'!$AL$41</f>
        <v>752.68038638225505</v>
      </c>
    </row>
    <row r="42" spans="1:42" ht="11.25" customHeight="1" x14ac:dyDescent="0.25">
      <c r="A42" s="109"/>
      <c r="B42" s="109" t="s">
        <v>88</v>
      </c>
      <c r="C42" s="109" t="s">
        <v>42</v>
      </c>
      <c r="D42" s="23" t="s">
        <v>25</v>
      </c>
      <c r="E42" s="23" t="s">
        <v>25</v>
      </c>
      <c r="F42" s="23" t="s">
        <v>25</v>
      </c>
      <c r="G42" s="24" t="s">
        <v>77</v>
      </c>
      <c r="H42" s="24" t="s">
        <v>73</v>
      </c>
      <c r="I42" s="24">
        <f>'MERCADO TUSD'!$U$39</f>
        <v>0</v>
      </c>
      <c r="J42" s="15"/>
      <c r="L42" s="13">
        <f>'TUSD BE'!$L$42*'TUSD BE'!$L$58</f>
        <v>0</v>
      </c>
      <c r="M42" s="13">
        <f>'TUSD BE'!$M$42*'TUSD BE'!$M$58</f>
        <v>1.9852577602251825E-2</v>
      </c>
      <c r="N42" s="13">
        <f ca="1">'TUSD BE'!$N$42*'TUSD BE'!$N$58</f>
        <v>0</v>
      </c>
      <c r="O42" s="13">
        <f>'TUSD BE'!$O$42*'TUSD BE'!$O$58</f>
        <v>0</v>
      </c>
      <c r="P42" s="13">
        <f>'TUSD BE'!$P$42*'TUSD BE'!$P$58</f>
        <v>0</v>
      </c>
      <c r="Q42" s="13">
        <f>'TUSD BE'!$Q$42*'TUSD BE'!$Q$58</f>
        <v>-1.7714244499273869E-2</v>
      </c>
      <c r="R42" s="13">
        <f>'TUSD BE'!$R$42*'TUSD BE'!$R$58</f>
        <v>-2.5807322656065765E-2</v>
      </c>
      <c r="S42" s="13">
        <f>'TUSD BE'!$R$42*'TUSD BE'!$S$58</f>
        <v>0</v>
      </c>
      <c r="T42" s="13">
        <f ca="1">SUM($L$42:$S$42)</f>
        <v>-2.366898955308781E-2</v>
      </c>
      <c r="U42" s="13">
        <f>'TUSD BE'!$U$42*'TUSD BE'!$U$58</f>
        <v>0</v>
      </c>
      <c r="V42" s="13">
        <f>'TUSD BE'!$V$42*'TUSD BE'!$V$58</f>
        <v>0</v>
      </c>
      <c r="W42" s="13">
        <f>'TUSD BE'!$W$42*'TUSD BE'!$W$58</f>
        <v>0</v>
      </c>
      <c r="X42" s="13">
        <f>'TUSD BE'!$X$42*'TUSD BE'!$X$58</f>
        <v>0</v>
      </c>
      <c r="Y42" s="13">
        <f>'TUSD BE'!$Y$42*'TUSD BE'!$Y$58</f>
        <v>4.4150208013651104</v>
      </c>
      <c r="Z42" s="13">
        <f>'TUSD BE'!$Z$42*'TUSD BE'!$Z$58</f>
        <v>0</v>
      </c>
      <c r="AA42" s="13">
        <f>'TUSD BE'!$AA$42*'TUSD BE'!$AA$58</f>
        <v>0</v>
      </c>
      <c r="AB42" s="13">
        <f>SUM($U$42:$AA$42)</f>
        <v>4.4150208013651104</v>
      </c>
      <c r="AC42" s="13">
        <f>'TUSD BE'!$AC$42*'TUSD BE'!$AC$58</f>
        <v>-188.55514684246336</v>
      </c>
      <c r="AD42" s="13">
        <f>SUM($AC$42:$AC$42)</f>
        <v>-188.55514684246336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BE'!$AH$58</f>
        <v>2.2906483539244862</v>
      </c>
      <c r="AI42" s="13">
        <f>'TUSD BE'!$AI$42*'TUSD BE'!$AI$58</f>
        <v>8.0357431211059954E-2</v>
      </c>
      <c r="AJ42" s="13">
        <f ca="1">'TUSD BE'!$AJ$42*'TUSD BE'!$AJ$58</f>
        <v>0</v>
      </c>
      <c r="AK42" s="13">
        <f ca="1">'TUSD BE'!$AK$42*'TUSD BE'!$AK$58</f>
        <v>0</v>
      </c>
      <c r="AL42" s="13">
        <f ca="1">SUM($AH$42:$AK$42)</f>
        <v>2.3710057851355462</v>
      </c>
      <c r="AM42" s="13">
        <f ca="1">SUMIF($L$4:$AL$4,"SUBTOTAL",$L$42:$AL$42)</f>
        <v>-181.79278924551579</v>
      </c>
      <c r="AO42" s="26">
        <f ca="1">+'TUSD BE'!$T$42+'TUSD BE'!$AB$42+'TUSD BE'!$AD$42+'TUSD BE'!$AL$42</f>
        <v>752.68038638225505</v>
      </c>
      <c r="AP42" s="26">
        <f ca="1">+'TUSD BE'!$T$42+'TUSD BE'!$AB$42+'TUSD BE'!$AD$42+'TUSD BE'!$AL$42</f>
        <v>752.68038638225505</v>
      </c>
    </row>
    <row r="43" spans="1:42" ht="11.25" customHeight="1" x14ac:dyDescent="0.25">
      <c r="A43" s="109"/>
      <c r="B43" s="109"/>
      <c r="C43" s="109"/>
      <c r="D43" s="23" t="s">
        <v>89</v>
      </c>
      <c r="E43" s="23" t="s">
        <v>25</v>
      </c>
      <c r="F43" s="23" t="s">
        <v>25</v>
      </c>
      <c r="G43" s="24" t="s">
        <v>77</v>
      </c>
      <c r="H43" s="24" t="s">
        <v>73</v>
      </c>
      <c r="I43" s="24">
        <f>'MERCADO TUSD'!$U$40</f>
        <v>0</v>
      </c>
      <c r="J43" s="15"/>
      <c r="L43" s="13">
        <f>'TUSD BE'!$L$43*'TUSD BE'!$L$58</f>
        <v>0</v>
      </c>
      <c r="M43" s="13">
        <f>'TUSD BE'!$M$43*'TUSD BE'!$M$58</f>
        <v>1.9852577602251825E-2</v>
      </c>
      <c r="N43" s="13">
        <f ca="1">'TUSD BE'!$N$43*'TUSD BE'!$N$58</f>
        <v>0</v>
      </c>
      <c r="O43" s="13">
        <f>'TUSD BE'!$O$43*'TUSD BE'!$O$58</f>
        <v>0</v>
      </c>
      <c r="P43" s="13">
        <f>'TUSD BE'!$P$43*'TUSD BE'!$P$58</f>
        <v>0</v>
      </c>
      <c r="Q43" s="13">
        <f>'TUSD BE'!$Q$43*'TUSD BE'!$Q$58</f>
        <v>-1.7714244499273869E-2</v>
      </c>
      <c r="R43" s="13">
        <f>'TUSD BE'!$R$43*'TUSD BE'!$R$58</f>
        <v>-2.5807322656065765E-2</v>
      </c>
      <c r="S43" s="13">
        <f>'TUSD BE'!$R$43*'TUSD BE'!$S$58</f>
        <v>0</v>
      </c>
      <c r="T43" s="13">
        <f ca="1">SUM($L$43:$S$43)</f>
        <v>-2.366898955308781E-2</v>
      </c>
      <c r="U43" s="13">
        <f>'TUSD BE'!$U$43*'TUSD BE'!$U$58</f>
        <v>0</v>
      </c>
      <c r="V43" s="13">
        <f>'TUSD BE'!$V$43*'TUSD BE'!$V$58</f>
        <v>0</v>
      </c>
      <c r="W43" s="13">
        <f>'TUSD BE'!$W$43*'TUSD BE'!$W$58</f>
        <v>0</v>
      </c>
      <c r="X43" s="13">
        <f>'TUSD BE'!$X$43*'TUSD BE'!$X$58</f>
        <v>0</v>
      </c>
      <c r="Y43" s="13">
        <f>'TUSD BE'!$Y$43*'TUSD BE'!$Y$58</f>
        <v>4.4150208013651104</v>
      </c>
      <c r="Z43" s="13">
        <f>'TUSD BE'!$Z$43*'TUSD BE'!$Z$58</f>
        <v>0</v>
      </c>
      <c r="AA43" s="13">
        <f>'TUSD BE'!$AA$43*'TUSD BE'!$AA$58</f>
        <v>0</v>
      </c>
      <c r="AB43" s="13">
        <f>SUM($U$43:$AA$43)</f>
        <v>4.4150208013651104</v>
      </c>
      <c r="AC43" s="13">
        <f>'TUSD BE'!$AC$43*'TUSD BE'!$AC$58</f>
        <v>-188.55514684246336</v>
      </c>
      <c r="AD43" s="13">
        <f>SUM($AC$43:$AC$43)</f>
        <v>-188.55514684246336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BE'!$AH$58</f>
        <v>2.2906483539244862</v>
      </c>
      <c r="AI43" s="13">
        <f>'TUSD BE'!$AI$43*'TUSD BE'!$AI$58</f>
        <v>8.0357431211059954E-2</v>
      </c>
      <c r="AJ43" s="13">
        <f ca="1">'TUSD BE'!$AJ$43*'TUSD BE'!$AJ$58</f>
        <v>0</v>
      </c>
      <c r="AK43" s="13">
        <f ca="1">'TUSD BE'!$AK$43*'TUSD BE'!$AK$58</f>
        <v>0</v>
      </c>
      <c r="AL43" s="13">
        <f ca="1">SUM($AH$43:$AK$43)</f>
        <v>2.3710057851355462</v>
      </c>
      <c r="AM43" s="13">
        <f ca="1">SUMIF($L$4:$AL$4,"SUBTOTAL",$L$43:$AL$43)</f>
        <v>-181.79278924551579</v>
      </c>
      <c r="AO43" s="26">
        <f ca="1">+'TUSD BE'!$T$43+'TUSD BE'!$AB$43+'TUSD BE'!$AD$43+'TUSD BE'!$AL$43</f>
        <v>752.68038638225505</v>
      </c>
      <c r="AP43" s="26">
        <f ca="1">+'TUSD BE'!$T$43+'TUSD BE'!$AB$43+'TUSD BE'!$AD$43+'TUSD BE'!$AL$43</f>
        <v>752.68038638225505</v>
      </c>
    </row>
    <row r="44" spans="1:42" ht="11.25" customHeight="1" x14ac:dyDescent="0.25">
      <c r="A44" s="109"/>
      <c r="B44" s="109"/>
      <c r="C44" s="109"/>
      <c r="D44" s="23" t="s">
        <v>90</v>
      </c>
      <c r="E44" s="23" t="s">
        <v>25</v>
      </c>
      <c r="F44" s="23" t="s">
        <v>25</v>
      </c>
      <c r="G44" s="24" t="s">
        <v>77</v>
      </c>
      <c r="H44" s="24" t="s">
        <v>73</v>
      </c>
      <c r="I44" s="24">
        <f>'MERCADO TUSD'!$U$41</f>
        <v>0</v>
      </c>
      <c r="J44" s="15"/>
      <c r="L44" s="13">
        <f>'TUSD BE'!$L$44*'TUSD BE'!$L$58</f>
        <v>0</v>
      </c>
      <c r="M44" s="13">
        <f>'TUSD BE'!$M$44*'TUSD BE'!$M$58</f>
        <v>1.9852577602251825E-2</v>
      </c>
      <c r="N44" s="13">
        <f ca="1">'TUSD BE'!$N$44*'TUSD BE'!$N$58</f>
        <v>0</v>
      </c>
      <c r="O44" s="13">
        <f>'TUSD BE'!$O$44*'TUSD BE'!$O$58</f>
        <v>0</v>
      </c>
      <c r="P44" s="13">
        <f>'TUSD BE'!$P$44*'TUSD BE'!$P$58</f>
        <v>0</v>
      </c>
      <c r="Q44" s="13">
        <f>'TUSD BE'!$Q$44*'TUSD BE'!$Q$58</f>
        <v>-1.7714244499273869E-2</v>
      </c>
      <c r="R44" s="13">
        <f>'TUSD BE'!$R$44*'TUSD BE'!$R$58</f>
        <v>-2.5807322656065765E-2</v>
      </c>
      <c r="S44" s="13">
        <f>'TUSD BE'!$R$44*'TUSD BE'!$S$58</f>
        <v>0</v>
      </c>
      <c r="T44" s="13">
        <f ca="1">SUM($L$44:$S$44)</f>
        <v>-2.366898955308781E-2</v>
      </c>
      <c r="U44" s="13">
        <f>'TUSD BE'!$U$44*'TUSD BE'!$U$58</f>
        <v>0</v>
      </c>
      <c r="V44" s="13">
        <f>'TUSD BE'!$V$44*'TUSD BE'!$V$58</f>
        <v>0</v>
      </c>
      <c r="W44" s="13">
        <f>'TUSD BE'!$W$44*'TUSD BE'!$W$58</f>
        <v>0</v>
      </c>
      <c r="X44" s="13">
        <f>'TUSD BE'!$X$44*'TUSD BE'!$X$58</f>
        <v>0</v>
      </c>
      <c r="Y44" s="13">
        <f>'TUSD BE'!$Y$44*'TUSD BE'!$Y$58</f>
        <v>4.4150208013651104</v>
      </c>
      <c r="Z44" s="13">
        <f>'TUSD BE'!$Z$44*'TUSD BE'!$Z$58</f>
        <v>0</v>
      </c>
      <c r="AA44" s="13">
        <f>'TUSD BE'!$AA$44*'TUSD BE'!$AA$58</f>
        <v>0</v>
      </c>
      <c r="AB44" s="13">
        <f>SUM($U$44:$AA$44)</f>
        <v>4.4150208013651104</v>
      </c>
      <c r="AC44" s="13">
        <f>'TUSD BE'!$AC$44*'TUSD BE'!$AC$58</f>
        <v>-188.55514684246336</v>
      </c>
      <c r="AD44" s="13">
        <f>SUM($AC$44:$AC$44)</f>
        <v>-188.55514684246336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BE'!$AH$58</f>
        <v>2.2906483539244862</v>
      </c>
      <c r="AI44" s="13">
        <f>'TUSD BE'!$AI$44*'TUSD BE'!$AI$58</f>
        <v>8.0357431211059954E-2</v>
      </c>
      <c r="AJ44" s="13">
        <f ca="1">'TUSD BE'!$AJ$44*'TUSD BE'!$AJ$58</f>
        <v>0</v>
      </c>
      <c r="AK44" s="13">
        <f ca="1">'TUSD BE'!$AK$44*'TUSD BE'!$AK$58</f>
        <v>0</v>
      </c>
      <c r="AL44" s="13">
        <f ca="1">SUM($AH$44:$AK$44)</f>
        <v>2.3710057851355462</v>
      </c>
      <c r="AM44" s="13">
        <f ca="1">SUMIF($L$4:$AL$4,"SUBTOTAL",$L$44:$AL$44)</f>
        <v>-181.79278924551579</v>
      </c>
      <c r="AO44" s="26">
        <f ca="1">+'TUSD BE'!$T$44+'TUSD BE'!$AB$44+'TUSD BE'!$AD$44+'TUSD BE'!$AL$44</f>
        <v>752.68038638225505</v>
      </c>
      <c r="AP44" s="26">
        <f ca="1">+'TUSD BE'!$T$44+'TUSD BE'!$AB$44+'TUSD BE'!$AD$44+'TUSD BE'!$AL$44</f>
        <v>752.68038638225505</v>
      </c>
    </row>
    <row r="45" spans="1:42" ht="11.25" customHeight="1" x14ac:dyDescent="0.25">
      <c r="A45" s="109" t="s">
        <v>33</v>
      </c>
      <c r="B45" s="109" t="s">
        <v>86</v>
      </c>
      <c r="C45" s="109" t="s">
        <v>25</v>
      </c>
      <c r="D45" s="109" t="s">
        <v>25</v>
      </c>
      <c r="E45" s="109" t="s">
        <v>25</v>
      </c>
      <c r="F45" s="109" t="s">
        <v>25</v>
      </c>
      <c r="G45" s="24" t="s">
        <v>74</v>
      </c>
      <c r="H45" s="24" t="s">
        <v>73</v>
      </c>
      <c r="I45" s="24">
        <f>'MERCADO TUSD'!$U$42</f>
        <v>0</v>
      </c>
      <c r="J45" s="15"/>
      <c r="L45" s="13">
        <f>'TUSD BE'!$L$45*'TUSD BE'!$L$58</f>
        <v>0</v>
      </c>
      <c r="M45" s="13">
        <f>'TUSD BE'!$M$45*'TUSD BE'!$M$58</f>
        <v>1.9852577602251825E-2</v>
      </c>
      <c r="N45" s="13">
        <f ca="1">'TUSD BE'!$N$45*'TUSD BE'!$N$58</f>
        <v>0</v>
      </c>
      <c r="O45" s="13">
        <f>'TUSD BE'!$O$45*'TUSD BE'!$O$58</f>
        <v>0</v>
      </c>
      <c r="P45" s="13">
        <f>'TUSD BE'!$P$45*'TUSD BE'!$P$58</f>
        <v>0</v>
      </c>
      <c r="Q45" s="13">
        <f>'TUSD BE'!$Q$45*'TUSD BE'!$Q$58</f>
        <v>-1.7714244499273869E-2</v>
      </c>
      <c r="R45" s="13">
        <f>'TUSD BE'!$R$45*'TUSD BE'!$R$58</f>
        <v>-2.5807322656065765E-2</v>
      </c>
      <c r="S45" s="13">
        <f>'TUSD BE'!$R$45*'TUSD BE'!$S$58</f>
        <v>0</v>
      </c>
      <c r="T45" s="13">
        <f ca="1">SUM($L$45:$S$45)</f>
        <v>-2.366898955308781E-2</v>
      </c>
      <c r="U45" s="13">
        <f>'TUSD BE'!$U$45*'TUSD BE'!$U$58</f>
        <v>0</v>
      </c>
      <c r="V45" s="13">
        <f>'TUSD BE'!$V$45*'TUSD BE'!$V$58</f>
        <v>0</v>
      </c>
      <c r="W45" s="13">
        <f>'TUSD BE'!$W$45*'TUSD BE'!$W$58</f>
        <v>0</v>
      </c>
      <c r="X45" s="13">
        <f>'TUSD BE'!$X$45*'TUSD BE'!$X$58</f>
        <v>0</v>
      </c>
      <c r="Y45" s="13">
        <f>'TUSD BE'!$Y$45*'TUSD BE'!$Y$58</f>
        <v>14.348816721125056</v>
      </c>
      <c r="Z45" s="13">
        <f>'TUSD BE'!$Z$45*'TUSD BE'!$Z$58</f>
        <v>0</v>
      </c>
      <c r="AA45" s="13">
        <f>'TUSD BE'!$AA$45*'TUSD BE'!$AA$58</f>
        <v>0</v>
      </c>
      <c r="AB45" s="13">
        <f>SUM($U$45:$AA$45)</f>
        <v>14.348816721125056</v>
      </c>
      <c r="AC45" s="13">
        <f>'TUSD BE'!$AC$45*'TUSD BE'!$AC$58</f>
        <v>-612.80420772366358</v>
      </c>
      <c r="AD45" s="13">
        <f>SUM($AC$45:$AC$45)</f>
        <v>-612.80420772366358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BE'!$AH$58</f>
        <v>2.2906483539244862</v>
      </c>
      <c r="AI45" s="13">
        <f>'TUSD BE'!$AI$45*'TUSD BE'!$AI$58</f>
        <v>8.0357431211059954E-2</v>
      </c>
      <c r="AJ45" s="13">
        <f ca="1">'TUSD BE'!$AJ$45*'TUSD BE'!$AJ$58</f>
        <v>0</v>
      </c>
      <c r="AK45" s="13">
        <f ca="1">'TUSD BE'!$AK$45*'TUSD BE'!$AK$58</f>
        <v>0</v>
      </c>
      <c r="AL45" s="13">
        <f ca="1">SUM($AH$45:$AK$45)</f>
        <v>2.3710057851355462</v>
      </c>
      <c r="AM45" s="13">
        <f ca="1">SUMIF($L$4:$AL$4,"SUBTOTAL",$L$45:$AL$45)</f>
        <v>-596.10805420695601</v>
      </c>
      <c r="AO45" s="26">
        <f ca="1">+'TUSD BE'!$T$45+'TUSD BE'!$AB$45+'TUSD BE'!$AD$45+'TUSD BE'!$AL$45</f>
        <v>2141.2051503372991</v>
      </c>
      <c r="AP45" s="26">
        <f ca="1">+'TUSD BE'!$T$45+'TUSD BE'!$AB$45+'TUSD BE'!$AD$45+'TUSD BE'!$AL$45</f>
        <v>2141.2051503372991</v>
      </c>
    </row>
    <row r="46" spans="1:42" ht="11.25" customHeight="1" x14ac:dyDescent="0.25">
      <c r="A46" s="109"/>
      <c r="B46" s="109"/>
      <c r="C46" s="109"/>
      <c r="D46" s="109"/>
      <c r="E46" s="109"/>
      <c r="F46" s="109"/>
      <c r="G46" s="24" t="s">
        <v>85</v>
      </c>
      <c r="H46" s="24" t="s">
        <v>73</v>
      </c>
      <c r="I46" s="24">
        <f>'MERCADO TUSD'!$U$43</f>
        <v>0</v>
      </c>
      <c r="J46" s="15"/>
      <c r="L46" s="13">
        <f>'TUSD BE'!$L$46*'TUSD BE'!$L$58</f>
        <v>0</v>
      </c>
      <c r="M46" s="13">
        <f>'TUSD BE'!$M$46*'TUSD BE'!$M$58</f>
        <v>1.9852577602251825E-2</v>
      </c>
      <c r="N46" s="13">
        <f ca="1">'TUSD BE'!$N$46*'TUSD BE'!$N$58</f>
        <v>0</v>
      </c>
      <c r="O46" s="13">
        <f>'TUSD BE'!$O$46*'TUSD BE'!$O$58</f>
        <v>0</v>
      </c>
      <c r="P46" s="13">
        <f>'TUSD BE'!$P$46*'TUSD BE'!$P$58</f>
        <v>0</v>
      </c>
      <c r="Q46" s="13">
        <f>'TUSD BE'!$Q$46*'TUSD BE'!$Q$58</f>
        <v>-1.7714244499273869E-2</v>
      </c>
      <c r="R46" s="13">
        <f>'TUSD BE'!$R$46*'TUSD BE'!$R$58</f>
        <v>-2.5807322656065765E-2</v>
      </c>
      <c r="S46" s="13">
        <f>'TUSD BE'!$R$46*'TUSD BE'!$S$58</f>
        <v>0</v>
      </c>
      <c r="T46" s="13">
        <f ca="1">SUM($L$46:$S$46)</f>
        <v>-2.366898955308781E-2</v>
      </c>
      <c r="U46" s="13">
        <f>'TUSD BE'!$U$46*'TUSD BE'!$U$58</f>
        <v>0</v>
      </c>
      <c r="V46" s="13">
        <f>'TUSD BE'!$V$46*'TUSD BE'!$V$58</f>
        <v>0</v>
      </c>
      <c r="W46" s="13">
        <f>'TUSD BE'!$W$46*'TUSD BE'!$W$58</f>
        <v>0</v>
      </c>
      <c r="X46" s="13">
        <f>'TUSD BE'!$X$46*'TUSD BE'!$X$58</f>
        <v>0</v>
      </c>
      <c r="Y46" s="13">
        <f>'TUSD BE'!$Y$46*'TUSD BE'!$Y$58</f>
        <v>8.6092879127273072</v>
      </c>
      <c r="Z46" s="13">
        <f>'TUSD BE'!$Z$46*'TUSD BE'!$Z$58</f>
        <v>0</v>
      </c>
      <c r="AA46" s="13">
        <f>'TUSD BE'!$AA$46*'TUSD BE'!$AA$58</f>
        <v>0</v>
      </c>
      <c r="AB46" s="13">
        <f>SUM($U$46:$AA$46)</f>
        <v>8.6092879127273072</v>
      </c>
      <c r="AC46" s="13">
        <f>'TUSD BE'!$AC$46*'TUSD BE'!$AC$58</f>
        <v>-367.68252463419822</v>
      </c>
      <c r="AD46" s="13">
        <f>SUM($AC$46:$AC$46)</f>
        <v>-367.68252463419822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BE'!$AH$58</f>
        <v>2.2906483539244862</v>
      </c>
      <c r="AI46" s="13">
        <f>'TUSD BE'!$AI$46*'TUSD BE'!$AI$58</f>
        <v>8.0357431211059954E-2</v>
      </c>
      <c r="AJ46" s="13">
        <f ca="1">'TUSD BE'!$AJ$46*'TUSD BE'!$AJ$58</f>
        <v>0</v>
      </c>
      <c r="AK46" s="13">
        <f ca="1">'TUSD BE'!$AK$46*'TUSD BE'!$AK$58</f>
        <v>0</v>
      </c>
      <c r="AL46" s="13">
        <f ca="1">SUM($AH$46:$AK$46)</f>
        <v>2.3710057851355462</v>
      </c>
      <c r="AM46" s="13">
        <f ca="1">SUMIF($L$4:$AL$4,"SUBTOTAL",$L$46:$AL$46)</f>
        <v>-356.72589992588848</v>
      </c>
      <c r="AO46" s="26">
        <f ca="1">+'TUSD BE'!$T$46+'TUSD BE'!$AB$46+'TUSD BE'!$AD$46+'TUSD BE'!$AL$46</f>
        <v>1338.9463177991038</v>
      </c>
      <c r="AP46" s="26">
        <f ca="1">+'TUSD BE'!$T$46+'TUSD BE'!$AB$46+'TUSD BE'!$AD$46+'TUSD BE'!$AL$46</f>
        <v>1338.9463177991038</v>
      </c>
    </row>
    <row r="47" spans="1:42" ht="11.25" customHeight="1" x14ac:dyDescent="0.25">
      <c r="A47" s="109"/>
      <c r="B47" s="109"/>
      <c r="C47" s="109"/>
      <c r="D47" s="109"/>
      <c r="E47" s="109"/>
      <c r="F47" s="109"/>
      <c r="G47" s="24" t="s">
        <v>75</v>
      </c>
      <c r="H47" s="24" t="s">
        <v>73</v>
      </c>
      <c r="I47" s="24">
        <f>'MERCADO TUSD'!$U$44</f>
        <v>0</v>
      </c>
      <c r="J47" s="15"/>
      <c r="L47" s="13">
        <f>'TUSD BE'!$L$47*'TUSD BE'!$L$58</f>
        <v>0</v>
      </c>
      <c r="M47" s="13">
        <f>'TUSD BE'!$M$47*'TUSD BE'!$M$58</f>
        <v>1.9852577602251825E-2</v>
      </c>
      <c r="N47" s="13">
        <f ca="1">'TUSD BE'!$N$47*'TUSD BE'!$N$58</f>
        <v>0</v>
      </c>
      <c r="O47" s="13">
        <f>'TUSD BE'!$O$47*'TUSD BE'!$O$58</f>
        <v>0</v>
      </c>
      <c r="P47" s="13">
        <f>'TUSD BE'!$P$47*'TUSD BE'!$P$58</f>
        <v>0</v>
      </c>
      <c r="Q47" s="13">
        <f>'TUSD BE'!$Q$47*'TUSD BE'!$Q$58</f>
        <v>-1.7714244499273869E-2</v>
      </c>
      <c r="R47" s="13">
        <f>'TUSD BE'!$R$47*'TUSD BE'!$R$58</f>
        <v>-2.5807322656065765E-2</v>
      </c>
      <c r="S47" s="13">
        <f>'TUSD BE'!$R$47*'TUSD BE'!$S$58</f>
        <v>0</v>
      </c>
      <c r="T47" s="13">
        <f ca="1">SUM($L$47:$S$47)</f>
        <v>-2.366898955308781E-2</v>
      </c>
      <c r="U47" s="13">
        <f>'TUSD BE'!$U$47*'TUSD BE'!$U$58</f>
        <v>0</v>
      </c>
      <c r="V47" s="13">
        <f>'TUSD BE'!$V$47*'TUSD BE'!$V$58</f>
        <v>0</v>
      </c>
      <c r="W47" s="13">
        <f>'TUSD BE'!$W$47*'TUSD BE'!$W$58</f>
        <v>0</v>
      </c>
      <c r="X47" s="13">
        <f>'TUSD BE'!$X$47*'TUSD BE'!$X$58</f>
        <v>0</v>
      </c>
      <c r="Y47" s="13">
        <f>'TUSD BE'!$Y$47*'TUSD BE'!$Y$58</f>
        <v>2.8697626375757692</v>
      </c>
      <c r="Z47" s="13">
        <f>'TUSD BE'!$Z$47*'TUSD BE'!$Z$58</f>
        <v>0</v>
      </c>
      <c r="AA47" s="13">
        <f>'TUSD BE'!$AA$47*'TUSD BE'!$AA$58</f>
        <v>0</v>
      </c>
      <c r="AB47" s="13">
        <f>SUM($U$47:$AA$47)</f>
        <v>2.8697626375757692</v>
      </c>
      <c r="AC47" s="13">
        <f>'TUSD BE'!$AC$47*'TUSD BE'!$AC$58</f>
        <v>-122.56084154473272</v>
      </c>
      <c r="AD47" s="13">
        <f>SUM($AC$47:$AC$47)</f>
        <v>-122.56084154473272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BE'!$AH$58</f>
        <v>2.2906483539244862</v>
      </c>
      <c r="AI47" s="13">
        <f>'TUSD BE'!$AI$47*'TUSD BE'!$AI$58</f>
        <v>8.0357431211059954E-2</v>
      </c>
      <c r="AJ47" s="13">
        <f ca="1">'TUSD BE'!$AJ$47*'TUSD BE'!$AJ$58</f>
        <v>0</v>
      </c>
      <c r="AK47" s="13">
        <f ca="1">'TUSD BE'!$AK$47*'TUSD BE'!$AK$58</f>
        <v>0</v>
      </c>
      <c r="AL47" s="13">
        <f ca="1">SUM($AH$47:$AK$47)</f>
        <v>2.3710057851355462</v>
      </c>
      <c r="AM47" s="13">
        <f ca="1">SUMIF($L$4:$AL$4,"SUBTOTAL",$L$47:$AL$47)</f>
        <v>-117.34374211157449</v>
      </c>
      <c r="AO47" s="26">
        <f ca="1">+'TUSD BE'!$T$47+'TUSD BE'!$AB$47+'TUSD BE'!$AD$47+'TUSD BE'!$AL$47</f>
        <v>536.68759577023684</v>
      </c>
      <c r="AP47" s="26">
        <f ca="1">+'TUSD BE'!$T$47+'TUSD BE'!$AB$47+'TUSD BE'!$AD$47+'TUSD BE'!$AL$47</f>
        <v>536.68759577023684</v>
      </c>
    </row>
    <row r="48" spans="1:42" ht="11.25" customHeight="1" x14ac:dyDescent="0.25">
      <c r="A48" s="109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77</v>
      </c>
      <c r="H48" s="24" t="s">
        <v>73</v>
      </c>
      <c r="I48" s="24">
        <f>'MERCADO TUSD'!$U$45</f>
        <v>3162.4160000000002</v>
      </c>
      <c r="J48" s="15"/>
      <c r="L48" s="13">
        <f>'TUSD BE'!$L$48*'TUSD BE'!$L$58</f>
        <v>0</v>
      </c>
      <c r="M48" s="13">
        <f>'TUSD BE'!$M$48*'TUSD BE'!$M$58</f>
        <v>1.9852577602251825E-2</v>
      </c>
      <c r="N48" s="13">
        <f ca="1">'TUSD BE'!$N$48*'TUSD BE'!$N$58</f>
        <v>0</v>
      </c>
      <c r="O48" s="13">
        <f>'TUSD BE'!$O$48*'TUSD BE'!$O$58</f>
        <v>0</v>
      </c>
      <c r="P48" s="13">
        <f>'TUSD BE'!$P$48*'TUSD BE'!$P$58</f>
        <v>0</v>
      </c>
      <c r="Q48" s="13">
        <f>'TUSD BE'!$Q$48*'TUSD BE'!$Q$58</f>
        <v>-1.7714244499273869E-2</v>
      </c>
      <c r="R48" s="13">
        <f>'TUSD BE'!$R$48*'TUSD BE'!$R$58</f>
        <v>-2.5807322656065765E-2</v>
      </c>
      <c r="S48" s="13">
        <f>'TUSD BE'!$R$48*'TUSD BE'!$S$58</f>
        <v>0</v>
      </c>
      <c r="T48" s="13">
        <f ca="1">SUM($L$48:$S$48)</f>
        <v>-2.366898955308781E-2</v>
      </c>
      <c r="U48" s="13">
        <f>'TUSD BE'!$U$48*'TUSD BE'!$U$58</f>
        <v>0</v>
      </c>
      <c r="V48" s="13">
        <f>'TUSD BE'!$V$48*'TUSD BE'!$V$58</f>
        <v>0</v>
      </c>
      <c r="W48" s="13">
        <f>'TUSD BE'!$W$48*'TUSD BE'!$W$58</f>
        <v>0</v>
      </c>
      <c r="X48" s="13">
        <f>'TUSD BE'!$X$48*'TUSD BE'!$X$58</f>
        <v>0</v>
      </c>
      <c r="Y48" s="13">
        <f>'TUSD BE'!$Y$48*'TUSD BE'!$Y$58</f>
        <v>4.4150208013651104</v>
      </c>
      <c r="Z48" s="13">
        <f>'TUSD BE'!$Z$48*'TUSD BE'!$Z$58</f>
        <v>0</v>
      </c>
      <c r="AA48" s="13">
        <f>'TUSD BE'!$AA$48*'TUSD BE'!$AA$58</f>
        <v>0</v>
      </c>
      <c r="AB48" s="13">
        <f>SUM($U$48:$AA$48)</f>
        <v>4.4150208013651104</v>
      </c>
      <c r="AC48" s="13">
        <f>'TUSD BE'!$AC$48*'TUSD BE'!$AC$58</f>
        <v>-188.55514684246336</v>
      </c>
      <c r="AD48" s="13">
        <f>SUM($AC$48:$AC$48)</f>
        <v>-188.55514684246336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BE'!$AH$58</f>
        <v>2.2906483539244862</v>
      </c>
      <c r="AI48" s="13">
        <f>'TUSD BE'!$AI$48*'TUSD BE'!$AI$58</f>
        <v>8.0357431211059954E-2</v>
      </c>
      <c r="AJ48" s="13">
        <f ca="1">'TUSD BE'!$AJ$48*'TUSD BE'!$AJ$58</f>
        <v>0</v>
      </c>
      <c r="AK48" s="13">
        <f ca="1">'TUSD BE'!$AK$48*'TUSD BE'!$AK$58</f>
        <v>0</v>
      </c>
      <c r="AL48" s="13">
        <f ca="1">SUM($AH$48:$AK$48)</f>
        <v>2.3710057851355462</v>
      </c>
      <c r="AM48" s="13">
        <f ca="1">SUMIF($L$4:$AL$4,"SUBTOTAL",$L$48:$AL$48)</f>
        <v>-181.79278924551579</v>
      </c>
      <c r="AO48" s="26">
        <f ca="1">+'TUSD BE'!$T$48+'TUSD BE'!$AB$48+'TUSD BE'!$AD$48+'TUSD BE'!$AL$48</f>
        <v>752.68038638225505</v>
      </c>
      <c r="AP48" s="26">
        <f ca="1">+'TUSD BE'!$T$48+'TUSD BE'!$AB$48+'TUSD BE'!$AD$48+'TUSD BE'!$AL$48</f>
        <v>752.68038638225505</v>
      </c>
    </row>
    <row r="49" spans="1:42" ht="11.25" customHeight="1" x14ac:dyDescent="0.25">
      <c r="A49" s="109"/>
      <c r="B49" s="23" t="s">
        <v>88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77</v>
      </c>
      <c r="H49" s="24" t="s">
        <v>73</v>
      </c>
      <c r="I49" s="24">
        <f>'MERCADO TUSD'!$U$46</f>
        <v>0</v>
      </c>
      <c r="J49" s="15"/>
      <c r="L49" s="13">
        <f>'TUSD BE'!$L$49*'TUSD BE'!$L$58</f>
        <v>0</v>
      </c>
      <c r="M49" s="13">
        <f>'TUSD BE'!$M$49*'TUSD BE'!$M$58</f>
        <v>1.9852577602251825E-2</v>
      </c>
      <c r="N49" s="13">
        <f ca="1">'TUSD BE'!$N$49*'TUSD BE'!$N$58</f>
        <v>0</v>
      </c>
      <c r="O49" s="13">
        <f>'TUSD BE'!$O$49*'TUSD BE'!$O$58</f>
        <v>0</v>
      </c>
      <c r="P49" s="13">
        <f>'TUSD BE'!$P$49*'TUSD BE'!$P$58</f>
        <v>0</v>
      </c>
      <c r="Q49" s="13">
        <f>'TUSD BE'!$Q$49*'TUSD BE'!$Q$58</f>
        <v>-1.7714244499273869E-2</v>
      </c>
      <c r="R49" s="13">
        <f>'TUSD BE'!$R$49*'TUSD BE'!$R$58</f>
        <v>-2.5807322656065765E-2</v>
      </c>
      <c r="S49" s="13">
        <f>'TUSD BE'!$R$49*'TUSD BE'!$S$58</f>
        <v>0</v>
      </c>
      <c r="T49" s="13">
        <f ca="1">SUM($L$49:$S$49)</f>
        <v>-2.366898955308781E-2</v>
      </c>
      <c r="U49" s="13">
        <f>'TUSD BE'!$U$49*'TUSD BE'!$U$58</f>
        <v>0</v>
      </c>
      <c r="V49" s="13">
        <f>'TUSD BE'!$V$49*'TUSD BE'!$V$58</f>
        <v>0</v>
      </c>
      <c r="W49" s="13">
        <f>'TUSD BE'!$W$49*'TUSD BE'!$W$58</f>
        <v>0</v>
      </c>
      <c r="X49" s="13">
        <f>'TUSD BE'!$X$49*'TUSD BE'!$X$58</f>
        <v>0</v>
      </c>
      <c r="Y49" s="13">
        <f>'TUSD BE'!$Y$49*'TUSD BE'!$Y$58</f>
        <v>4.4150208013651104</v>
      </c>
      <c r="Z49" s="13">
        <f>'TUSD BE'!$Z$49*'TUSD BE'!$Z$58</f>
        <v>0</v>
      </c>
      <c r="AA49" s="13">
        <f>'TUSD BE'!$AA$49*'TUSD BE'!$AA$58</f>
        <v>0</v>
      </c>
      <c r="AB49" s="13">
        <f>SUM($U$49:$AA$49)</f>
        <v>4.4150208013651104</v>
      </c>
      <c r="AC49" s="13">
        <f>'TUSD BE'!$AC$49*'TUSD BE'!$AC$58</f>
        <v>-188.55514684246336</v>
      </c>
      <c r="AD49" s="13">
        <f>SUM($AC$49:$AC$49)</f>
        <v>-188.55514684246336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BE'!$AH$58</f>
        <v>2.2906483539244862</v>
      </c>
      <c r="AI49" s="13">
        <f>'TUSD BE'!$AI$49*'TUSD BE'!$AI$58</f>
        <v>8.0357431211059954E-2</v>
      </c>
      <c r="AJ49" s="13">
        <f ca="1">'TUSD BE'!$AJ$49*'TUSD BE'!$AJ$58</f>
        <v>0</v>
      </c>
      <c r="AK49" s="13">
        <f ca="1">'TUSD BE'!$AK$49*'TUSD BE'!$AK$58</f>
        <v>0</v>
      </c>
      <c r="AL49" s="13">
        <f ca="1">SUM($AH$49:$AK$49)</f>
        <v>2.3710057851355462</v>
      </c>
      <c r="AM49" s="13">
        <f ca="1">SUMIF($L$4:$AL$4,"SUBTOTAL",$L$49:$AL$49)</f>
        <v>-181.79278924551579</v>
      </c>
      <c r="AO49" s="26">
        <f ca="1">+'TUSD BE'!$T$49+'TUSD BE'!$AB$49+'TUSD BE'!$AD$49+'TUSD BE'!$AL$49</f>
        <v>752.68038638225505</v>
      </c>
      <c r="AP49" s="26">
        <f ca="1">+'TUSD BE'!$T$49+'TUSD BE'!$AB$49+'TUSD BE'!$AD$49+'TUSD BE'!$AL$49</f>
        <v>752.68038638225505</v>
      </c>
    </row>
    <row r="50" spans="1:42" ht="11.25" customHeight="1" x14ac:dyDescent="0.25">
      <c r="A50" s="109" t="s">
        <v>44</v>
      </c>
      <c r="B50" s="109" t="s">
        <v>23</v>
      </c>
      <c r="C50" s="109" t="s">
        <v>45</v>
      </c>
      <c r="D50" s="23" t="s">
        <v>46</v>
      </c>
      <c r="E50" s="23" t="s">
        <v>25</v>
      </c>
      <c r="F50" s="23" t="s">
        <v>25</v>
      </c>
      <c r="G50" s="24" t="s">
        <v>77</v>
      </c>
      <c r="H50" s="24" t="s">
        <v>73</v>
      </c>
      <c r="I50" s="24">
        <f>'MERCADO TUSD'!$U$47</f>
        <v>905.86099999999999</v>
      </c>
      <c r="J50" s="15"/>
      <c r="L50" s="13">
        <f>'TUSD BE'!$L$50*'TUSD BE'!$L$58</f>
        <v>0</v>
      </c>
      <c r="M50" s="13">
        <f>'TUSD BE'!$M$50*'TUSD BE'!$M$58</f>
        <v>1.0918917681238503E-2</v>
      </c>
      <c r="N50" s="13">
        <f ca="1">'TUSD BE'!$N$50*'TUSD BE'!$N$58</f>
        <v>0</v>
      </c>
      <c r="O50" s="13">
        <f>'TUSD BE'!$O$50*'TUSD BE'!$O$58</f>
        <v>0</v>
      </c>
      <c r="P50" s="13">
        <f>'TUSD BE'!$P$50*'TUSD BE'!$P$58</f>
        <v>0</v>
      </c>
      <c r="Q50" s="13">
        <f>'TUSD BE'!$Q$50*'TUSD BE'!$Q$58</f>
        <v>-9.7428344746006302E-3</v>
      </c>
      <c r="R50" s="13">
        <f>'TUSD BE'!$R$50*'TUSD BE'!$R$58</f>
        <v>-1.4194027460836171E-2</v>
      </c>
      <c r="S50" s="13">
        <f>'TUSD BE'!$R$50*'TUSD BE'!$S$58</f>
        <v>0</v>
      </c>
      <c r="T50" s="13">
        <f ca="1">SUM($L$50:$S$50)</f>
        <v>-1.3017944254198298E-2</v>
      </c>
      <c r="U50" s="13">
        <f>'TUSD BE'!$U$50*'TUSD BE'!$U$58</f>
        <v>0</v>
      </c>
      <c r="V50" s="13">
        <f>'TUSD BE'!$V$50*'TUSD BE'!$V$58</f>
        <v>0</v>
      </c>
      <c r="W50" s="13">
        <f>'TUSD BE'!$W$50*'TUSD BE'!$W$58</f>
        <v>0</v>
      </c>
      <c r="X50" s="13">
        <f>'TUSD BE'!$X$50*'TUSD BE'!$X$58</f>
        <v>0</v>
      </c>
      <c r="Y50" s="13">
        <f>'TUSD BE'!$Y$50*'TUSD BE'!$Y$58</f>
        <v>2.428261440750811</v>
      </c>
      <c r="Z50" s="13">
        <f>'TUSD BE'!$Z$50*'TUSD BE'!$Z$58</f>
        <v>0</v>
      </c>
      <c r="AA50" s="13">
        <f>'TUSD BE'!$AA$50*'TUSD BE'!$AA$58</f>
        <v>0</v>
      </c>
      <c r="AB50" s="13">
        <f>SUM($U$50:$AA$50)</f>
        <v>2.428261440750811</v>
      </c>
      <c r="AC50" s="13">
        <f>'TUSD BE'!$AC$50*'TUSD BE'!$AC$58</f>
        <v>-103.70533076335487</v>
      </c>
      <c r="AD50" s="13">
        <f>SUM($AC$50:$AC$50)</f>
        <v>-103.70533076335487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BE'!$AH$58</f>
        <v>1.2598565946584674</v>
      </c>
      <c r="AI50" s="13">
        <f>'TUSD BE'!$AI$50*'TUSD BE'!$AI$58</f>
        <v>4.4196587166082969E-2</v>
      </c>
      <c r="AJ50" s="13">
        <f ca="1">'TUSD BE'!$AJ$50*'TUSD BE'!$AJ$58</f>
        <v>0</v>
      </c>
      <c r="AK50" s="13">
        <f ca="1">'TUSD BE'!$AK$50*'TUSD BE'!$AK$58</f>
        <v>0</v>
      </c>
      <c r="AL50" s="13">
        <f ca="1">SUM($AH$50:$AK$50)</f>
        <v>1.3040531818245504</v>
      </c>
      <c r="AM50" s="13">
        <f ca="1">SUMIF($L$4:$AL$4,"SUBTOTAL",$L$50:$AL$50)</f>
        <v>-99.986034085033694</v>
      </c>
      <c r="AO50" s="26">
        <f ca="1">+'TUSD BE'!$T$50+'TUSD BE'!$AB$50+'TUSD BE'!$AD$50+'TUSD BE'!$AL$50</f>
        <v>413.97421251024031</v>
      </c>
      <c r="AP50" s="26">
        <f ca="1">+'TUSD BE'!$T$50+'TUSD BE'!$AB$50+'TUSD BE'!$AD$50+'TUSD BE'!$AL$50</f>
        <v>413.97421251024031</v>
      </c>
    </row>
    <row r="51" spans="1:42" ht="11.25" customHeight="1" x14ac:dyDescent="0.25">
      <c r="A51" s="109"/>
      <c r="B51" s="109"/>
      <c r="C51" s="109"/>
      <c r="D51" s="24" t="s">
        <v>91</v>
      </c>
      <c r="E51" s="24" t="s">
        <v>25</v>
      </c>
      <c r="F51" s="24" t="s">
        <v>25</v>
      </c>
      <c r="G51" s="24" t="s">
        <v>77</v>
      </c>
      <c r="H51" s="24" t="s">
        <v>73</v>
      </c>
      <c r="I51" s="24">
        <f>'MERCADO TUSD'!$U$48</f>
        <v>0</v>
      </c>
      <c r="J51" s="15"/>
      <c r="L51" s="13">
        <f>'TUSD BE'!$L$51*'TUSD BE'!$L$58</f>
        <v>0</v>
      </c>
      <c r="M51" s="13">
        <f>'TUSD BE'!$M$51*'TUSD BE'!$M$58</f>
        <v>1.1911546561351093E-2</v>
      </c>
      <c r="N51" s="13">
        <f ca="1">'TUSD BE'!$N$51*'TUSD BE'!$N$58</f>
        <v>0</v>
      </c>
      <c r="O51" s="13">
        <f>'TUSD BE'!$O$51*'TUSD BE'!$O$58</f>
        <v>0</v>
      </c>
      <c r="P51" s="13">
        <f>'TUSD BE'!$P$51*'TUSD BE'!$P$58</f>
        <v>0</v>
      </c>
      <c r="Q51" s="13">
        <f>'TUSD BE'!$Q$51*'TUSD BE'!$Q$58</f>
        <v>-1.0628546699564322E-2</v>
      </c>
      <c r="R51" s="13">
        <f>'TUSD BE'!$R$51*'TUSD BE'!$R$58</f>
        <v>-1.548439359363946E-2</v>
      </c>
      <c r="S51" s="13">
        <f>'TUSD BE'!$R$51*'TUSD BE'!$S$58</f>
        <v>0</v>
      </c>
      <c r="T51" s="13">
        <f ca="1">SUM($L$51:$S$51)</f>
        <v>-1.4201393731852689E-2</v>
      </c>
      <c r="U51" s="13">
        <f>'TUSD BE'!$U$51*'TUSD BE'!$U$58</f>
        <v>0</v>
      </c>
      <c r="V51" s="13">
        <f>'TUSD BE'!$V$51*'TUSD BE'!$V$58</f>
        <v>0</v>
      </c>
      <c r="W51" s="13">
        <f>'TUSD BE'!$W$51*'TUSD BE'!$W$58</f>
        <v>0</v>
      </c>
      <c r="X51" s="13">
        <f>'TUSD BE'!$X$51*'TUSD BE'!$X$58</f>
        <v>0</v>
      </c>
      <c r="Y51" s="13">
        <f>'TUSD BE'!$Y$51*'TUSD BE'!$Y$58</f>
        <v>2.6490124808190663</v>
      </c>
      <c r="Z51" s="13">
        <f>'TUSD BE'!$Z$51*'TUSD BE'!$Z$58</f>
        <v>0</v>
      </c>
      <c r="AA51" s="13">
        <f>'TUSD BE'!$AA$51*'TUSD BE'!$AA$58</f>
        <v>0</v>
      </c>
      <c r="AB51" s="13">
        <f>SUM($U$51:$AA$51)</f>
        <v>2.6490124808190663</v>
      </c>
      <c r="AC51" s="13">
        <f>'TUSD BE'!$AC$51*'TUSD BE'!$AC$58</f>
        <v>-113.13308810547801</v>
      </c>
      <c r="AD51" s="13">
        <f>SUM($AC$51:$AC$51)</f>
        <v>-113.13308810547801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BE'!$AH$58</f>
        <v>1.3743890123546918</v>
      </c>
      <c r="AI51" s="13">
        <f>'TUSD BE'!$AI$51*'TUSD BE'!$AI$58</f>
        <v>4.8214458726635968E-2</v>
      </c>
      <c r="AJ51" s="13">
        <f ca="1">'TUSD BE'!$AJ$51*'TUSD BE'!$AJ$58</f>
        <v>0</v>
      </c>
      <c r="AK51" s="13">
        <f ca="1">'TUSD BE'!$AK$51*'TUSD BE'!$AK$58</f>
        <v>0</v>
      </c>
      <c r="AL51" s="13">
        <f ca="1">SUM($AH$51:$AK$51)</f>
        <v>1.4226034710813278</v>
      </c>
      <c r="AM51" s="13">
        <f ca="1">SUMIF($L$4:$AL$4,"SUBTOTAL",$L$51:$AL$51)</f>
        <v>-109.07567354730946</v>
      </c>
      <c r="AO51" s="26">
        <f ca="1">+'TUSD BE'!$T$51+'TUSD BE'!$AB$51+'TUSD BE'!$AD$51+'TUSD BE'!$AL$51</f>
        <v>451.60823182935309</v>
      </c>
      <c r="AP51" s="26">
        <f ca="1">+'TUSD BE'!$T$51+'TUSD BE'!$AB$51+'TUSD BE'!$AD$51+'TUSD BE'!$AL$51</f>
        <v>451.60823182935309</v>
      </c>
    </row>
    <row r="53" spans="1:42" ht="11.25" customHeight="1" x14ac:dyDescent="0.25">
      <c r="K53" s="16" t="s">
        <v>497</v>
      </c>
      <c r="L53" s="13">
        <f>SUMPRODUCT($I$5:$I51,$L$5:$L51)</f>
        <v>0</v>
      </c>
      <c r="M53" s="13">
        <f>SUMPRODUCT($I$5:$I51,$M$5:$M51)</f>
        <v>1046.1611809446799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-1148.2595915282764</v>
      </c>
      <c r="R53" s="13">
        <f>SUMPRODUCT($I$5:$I51,$R$5:$R51)</f>
        <v>-1845.0275000651889</v>
      </c>
      <c r="S53" s="13">
        <f>SUMPRODUCT($I$5:$I51,$S$5:$S51)</f>
        <v>0</v>
      </c>
      <c r="T53" s="13">
        <f ca="1">SUMPRODUCT($I$5:$I51,$T$5:$T51)</f>
        <v>-1947.1259106487855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323043.48155103542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323043.48155103542</v>
      </c>
      <c r="AC53" s="13">
        <f>SUMPRODUCT($I$5:$I51,$AC$5:$AC51)</f>
        <v>-9818529.1917725913</v>
      </c>
      <c r="AD53" s="13">
        <f>SUMPRODUCT($I$5:$I51,$AD$5:$AD51)</f>
        <v>-9818529.1917725913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86278.914960153357</v>
      </c>
      <c r="AI53" s="13">
        <f>SUMPRODUCT($I$5:$I51,$AI$5:$AI51)</f>
        <v>3026.7203440445555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89305.635304197916</v>
      </c>
      <c r="AM53" s="13">
        <f ca="1">SUMPRODUCT($I$5:$I51,$AM$5:$AM51)</f>
        <v>-9408127.2008280084</v>
      </c>
      <c r="AO53" s="24">
        <f ca="1">SUMPRODUCT($I$5:$I51,$AO$5:$AO51)</f>
        <v>43109378.951889157</v>
      </c>
      <c r="AP53" s="24">
        <f ca="1">SUMPRODUCT($I$5:$I51,$AP$5:$AP51)</f>
        <v>43109378.951889157</v>
      </c>
    </row>
    <row r="54" spans="1:42" ht="11.25" customHeight="1" x14ac:dyDescent="0.25">
      <c r="K54" s="16" t="s">
        <v>429</v>
      </c>
      <c r="L54" s="13">
        <f>'TR TUSD'!$L$56</f>
        <v>0</v>
      </c>
      <c r="M54" s="13">
        <f>'TR TUSD'!$M$56</f>
        <v>114961.70757555132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5828451.8683099989</v>
      </c>
      <c r="R54" s="13">
        <f>'TR TUSD'!$R$56</f>
        <v>1015947.5651999997</v>
      </c>
      <c r="S54" s="13">
        <f>'TR TUSD'!$S$56</f>
        <v>0</v>
      </c>
      <c r="T54" s="13">
        <f>'TR TUSD'!$T$56</f>
        <v>6959361.1410855502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10103829.776398001</v>
      </c>
      <c r="Z54" s="13">
        <f>'TR TUSD'!$Z$56</f>
        <v>0</v>
      </c>
      <c r="AA54" s="13">
        <f>'TR TUSD'!$AA$56</f>
        <v>0</v>
      </c>
      <c r="AB54" s="13">
        <f>'TR TUSD'!$AB$56</f>
        <v>10103829.776398001</v>
      </c>
      <c r="AC54" s="13">
        <f>'TR TUSD'!$AC$56</f>
        <v>24944453.093539529</v>
      </c>
      <c r="AD54" s="13">
        <f>'TR TUSD'!$AD$56</f>
        <v>24944453.093539529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1064395.2640595178</v>
      </c>
      <c r="AI54" s="13">
        <f>'TR TUSD'!$AI$56</f>
        <v>37339.676806569471</v>
      </c>
      <c r="AJ54" s="13">
        <f>'TR TUSD'!$AJ$56</f>
        <v>0</v>
      </c>
      <c r="AK54" s="13">
        <f>'TR TUSD'!$AK$56</f>
        <v>0</v>
      </c>
      <c r="AL54" s="13">
        <f>'TR TUSD'!$AL$56</f>
        <v>1101734.9408660873</v>
      </c>
      <c r="AM54" s="13">
        <f>'TUSD BE'!$AM$54</f>
        <v>43109378.951889172</v>
      </c>
      <c r="AO54" s="24">
        <f>$AE$55</f>
        <v>0</v>
      </c>
      <c r="AP54" s="24">
        <f>$AF$55</f>
        <v>0</v>
      </c>
    </row>
    <row r="55" spans="1:42" ht="11.25" customHeight="1" x14ac:dyDescent="0.25">
      <c r="K55" s="16" t="s">
        <v>430</v>
      </c>
      <c r="L55" s="13">
        <f>CUSTOS!$E$2</f>
        <v>0</v>
      </c>
      <c r="M55" s="13">
        <f>CUSTOS!$E$3</f>
        <v>1046.1611809446795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-1148.2595915282764</v>
      </c>
      <c r="R55" s="13">
        <f>CUSTOS!$E$8</f>
        <v>-1845.0275000651886</v>
      </c>
      <c r="S55" s="13">
        <f>CUSTOS!$E$9</f>
        <v>0</v>
      </c>
      <c r="T55" s="13">
        <f>CUSTOS!$E$10</f>
        <v>-1947.1259106487855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323043.48155103542</v>
      </c>
      <c r="Z55" s="13">
        <f>CUSTOS!$E$16</f>
        <v>0</v>
      </c>
      <c r="AA55" s="13">
        <f>CUSTOS!$E$17</f>
        <v>0</v>
      </c>
      <c r="AB55" s="13">
        <f>CUSTOS!$E$18</f>
        <v>323043.48155103542</v>
      </c>
      <c r="AC55" s="13">
        <f>CUSTOS!$E$19</f>
        <v>-9818529.1917725932</v>
      </c>
      <c r="AD55" s="13">
        <f>CUSTOS!$E$20</f>
        <v>-9818529.1917725932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86278.914960153372</v>
      </c>
      <c r="AI55" s="13">
        <f>CUSTOS!$E$25</f>
        <v>3026.7203440445551</v>
      </c>
      <c r="AJ55" s="13">
        <f>CUSTOS!$E$26</f>
        <v>0</v>
      </c>
      <c r="AK55" s="13">
        <f>CUSTOS!$E$27</f>
        <v>0</v>
      </c>
      <c r="AL55" s="13">
        <f>CUSTOS!$E$28</f>
        <v>89305.635304197931</v>
      </c>
      <c r="AM55" s="13">
        <f>CUSTOS!$E$29</f>
        <v>-9408127.2008280084</v>
      </c>
      <c r="AO55" s="24">
        <f ca="1">IF(AO53&lt;&gt;0,AO54/AO53,0)</f>
        <v>0</v>
      </c>
      <c r="AP55" s="24">
        <f ca="1">IF(AP53&lt;&gt;0,AP54/AP53,0)</f>
        <v>0</v>
      </c>
    </row>
    <row r="56" spans="1:42" ht="11.25" customHeight="1" x14ac:dyDescent="0.25">
      <c r="K56" s="16" t="s">
        <v>431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494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/>
    </row>
    <row r="58" spans="1:42" ht="11.25" customHeight="1" x14ac:dyDescent="0.25">
      <c r="K58" s="16" t="s">
        <v>506</v>
      </c>
      <c r="L58" s="13">
        <f t="shared" ref="L58:R58" si="0">IF((L54-(0))&lt;&gt;0,(L56)/(L54-(0)),0)</f>
        <v>0</v>
      </c>
      <c r="M58" s="13">
        <f t="shared" si="0"/>
        <v>0</v>
      </c>
      <c r="N58" s="13">
        <f t="shared" si="0"/>
        <v>0</v>
      </c>
      <c r="O58" s="13">
        <f t="shared" si="0"/>
        <v>0</v>
      </c>
      <c r="P58" s="13">
        <f t="shared" si="0"/>
        <v>0</v>
      </c>
      <c r="Q58" s="13">
        <f t="shared" si="0"/>
        <v>0</v>
      </c>
      <c r="R58" s="13">
        <f t="shared" si="0"/>
        <v>0</v>
      </c>
      <c r="S58" s="13">
        <f>IF((R53-(0)&lt;&gt;0),(S55)/(R53-(0)),0)</f>
        <v>0</v>
      </c>
      <c r="T58" s="13"/>
      <c r="U58" s="13">
        <f t="shared" ref="U58:AA58" si="1">IF((U54-(0))&lt;&gt;0,(U56)/(U54-(0)),0)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0</v>
      </c>
      <c r="Z58" s="13">
        <f t="shared" si="1"/>
        <v>0</v>
      </c>
      <c r="AA58" s="13">
        <f t="shared" si="1"/>
        <v>0</v>
      </c>
      <c r="AB58" s="13"/>
      <c r="AC58" s="13">
        <f>IF((AC54-(0))&lt;&gt;0,(AC56)/(AC54-(0)),0)</f>
        <v>0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IF((AH54-(0))&lt;&gt;0,(AH56)/(AH54-(0)),0)</f>
        <v>0</v>
      </c>
      <c r="AI58" s="13">
        <f>IF((AI54-(0))&lt;&gt;0,(AI56)/(AI54-(0)),0)</f>
        <v>0</v>
      </c>
      <c r="AJ58" s="13">
        <f>IF((AJ54-(0))&lt;&gt;0,(AJ56)/(AJ54-(0)),0)</f>
        <v>0</v>
      </c>
      <c r="AK58" s="13">
        <f>IF((AK54-(0))&lt;&gt;0,(AK56)/(AK54-(0)),0)</f>
        <v>0</v>
      </c>
      <c r="AL58" s="13"/>
      <c r="AM58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910" priority="55" operator="notEqual">
      <formula>$L$55</formula>
    </cfRule>
    <cfRule type="cellIs" dxfId="909" priority="56" operator="equal">
      <formula>$L$55</formula>
    </cfRule>
  </conditionalFormatting>
  <conditionalFormatting sqref="M53">
    <cfRule type="cellIs" dxfId="908" priority="53" operator="notEqual">
      <formula>$M$55</formula>
    </cfRule>
    <cfRule type="cellIs" dxfId="907" priority="54" operator="equal">
      <formula>$M$55</formula>
    </cfRule>
  </conditionalFormatting>
  <conditionalFormatting sqref="N53">
    <cfRule type="cellIs" dxfId="906" priority="51" operator="notEqual">
      <formula>$N$55</formula>
    </cfRule>
    <cfRule type="cellIs" dxfId="905" priority="52" operator="equal">
      <formula>$N$55</formula>
    </cfRule>
  </conditionalFormatting>
  <conditionalFormatting sqref="O53">
    <cfRule type="cellIs" dxfId="904" priority="49" operator="notEqual">
      <formula>$O$55</formula>
    </cfRule>
    <cfRule type="cellIs" dxfId="903" priority="50" operator="equal">
      <formula>$O$55</formula>
    </cfRule>
  </conditionalFormatting>
  <conditionalFormatting sqref="P53">
    <cfRule type="cellIs" dxfId="902" priority="47" operator="notEqual">
      <formula>$P$55</formula>
    </cfRule>
    <cfRule type="cellIs" dxfId="901" priority="48" operator="equal">
      <formula>$P$55</formula>
    </cfRule>
  </conditionalFormatting>
  <conditionalFormatting sqref="Q53">
    <cfRule type="cellIs" dxfId="900" priority="45" operator="notEqual">
      <formula>$Q$55</formula>
    </cfRule>
    <cfRule type="cellIs" dxfId="899" priority="46" operator="equal">
      <formula>$Q$55</formula>
    </cfRule>
  </conditionalFormatting>
  <conditionalFormatting sqref="R53">
    <cfRule type="cellIs" dxfId="898" priority="43" operator="notEqual">
      <formula>$R$55</formula>
    </cfRule>
    <cfRule type="cellIs" dxfId="897" priority="44" operator="equal">
      <formula>$R$55</formula>
    </cfRule>
  </conditionalFormatting>
  <conditionalFormatting sqref="S53">
    <cfRule type="cellIs" dxfId="896" priority="41" operator="notEqual">
      <formula>$S$55</formula>
    </cfRule>
    <cfRule type="cellIs" dxfId="895" priority="42" operator="equal">
      <formula>$S$55</formula>
    </cfRule>
  </conditionalFormatting>
  <conditionalFormatting sqref="T53">
    <cfRule type="cellIs" dxfId="894" priority="39" operator="notEqual">
      <formula>$T$55</formula>
    </cfRule>
    <cfRule type="cellIs" dxfId="893" priority="40" operator="equal">
      <formula>$T$55</formula>
    </cfRule>
  </conditionalFormatting>
  <conditionalFormatting sqref="U53">
    <cfRule type="cellIs" dxfId="892" priority="37" operator="notEqual">
      <formula>$U$55</formula>
    </cfRule>
    <cfRule type="cellIs" dxfId="891" priority="38" operator="equal">
      <formula>$U$55</formula>
    </cfRule>
  </conditionalFormatting>
  <conditionalFormatting sqref="V53">
    <cfRule type="cellIs" dxfId="890" priority="35" operator="notEqual">
      <formula>$V$55</formula>
    </cfRule>
    <cfRule type="cellIs" dxfId="889" priority="36" operator="equal">
      <formula>$V$55</formula>
    </cfRule>
  </conditionalFormatting>
  <conditionalFormatting sqref="W53">
    <cfRule type="cellIs" dxfId="888" priority="33" operator="notEqual">
      <formula>$W$55</formula>
    </cfRule>
    <cfRule type="cellIs" dxfId="887" priority="34" operator="equal">
      <formula>$W$55</formula>
    </cfRule>
  </conditionalFormatting>
  <conditionalFormatting sqref="X53">
    <cfRule type="cellIs" dxfId="886" priority="31" operator="notEqual">
      <formula>$X$55</formula>
    </cfRule>
    <cfRule type="cellIs" dxfId="885" priority="32" operator="equal">
      <formula>$X$55</formula>
    </cfRule>
  </conditionalFormatting>
  <conditionalFormatting sqref="Y53">
    <cfRule type="cellIs" dxfId="884" priority="29" operator="notEqual">
      <formula>$Y$55</formula>
    </cfRule>
    <cfRule type="cellIs" dxfId="883" priority="30" operator="equal">
      <formula>$Y$55</formula>
    </cfRule>
  </conditionalFormatting>
  <conditionalFormatting sqref="Z53">
    <cfRule type="cellIs" dxfId="882" priority="27" operator="notEqual">
      <formula>$Z$55</formula>
    </cfRule>
    <cfRule type="cellIs" dxfId="881" priority="28" operator="equal">
      <formula>$Z$55</formula>
    </cfRule>
  </conditionalFormatting>
  <conditionalFormatting sqref="AA53">
    <cfRule type="cellIs" dxfId="880" priority="25" operator="notEqual">
      <formula>$AA$55</formula>
    </cfRule>
    <cfRule type="cellIs" dxfId="879" priority="26" operator="equal">
      <formula>$AA$55</formula>
    </cfRule>
  </conditionalFormatting>
  <conditionalFormatting sqref="AB53">
    <cfRule type="cellIs" dxfId="878" priority="23" operator="notEqual">
      <formula>$AB$55</formula>
    </cfRule>
    <cfRule type="cellIs" dxfId="877" priority="24" operator="equal">
      <formula>$AB$55</formula>
    </cfRule>
  </conditionalFormatting>
  <conditionalFormatting sqref="AC53">
    <cfRule type="cellIs" dxfId="876" priority="21" operator="notEqual">
      <formula>$AC$55</formula>
    </cfRule>
    <cfRule type="cellIs" dxfId="875" priority="22" operator="equal">
      <formula>$AC$55</formula>
    </cfRule>
  </conditionalFormatting>
  <conditionalFormatting sqref="AD53">
    <cfRule type="cellIs" dxfId="874" priority="19" operator="notEqual">
      <formula>$AD$55</formula>
    </cfRule>
    <cfRule type="cellIs" dxfId="873" priority="20" operator="equal">
      <formula>$AD$55</formula>
    </cfRule>
  </conditionalFormatting>
  <conditionalFormatting sqref="AE53">
    <cfRule type="cellIs" dxfId="872" priority="17" operator="notEqual">
      <formula>$AE$55</formula>
    </cfRule>
    <cfRule type="cellIs" dxfId="871" priority="18" operator="equal">
      <formula>$AE$55</formula>
    </cfRule>
  </conditionalFormatting>
  <conditionalFormatting sqref="AF53">
    <cfRule type="cellIs" dxfId="870" priority="16" operator="equal">
      <formula>$AF$55</formula>
    </cfRule>
  </conditionalFormatting>
  <conditionalFormatting sqref="AF53">
    <cfRule type="cellIs" dxfId="869" priority="15" operator="notEqual">
      <formula>$AF$55</formula>
    </cfRule>
  </conditionalFormatting>
  <conditionalFormatting sqref="AG53">
    <cfRule type="cellIs" dxfId="868" priority="14" operator="equal">
      <formula>$AG$55</formula>
    </cfRule>
  </conditionalFormatting>
  <conditionalFormatting sqref="AG53">
    <cfRule type="cellIs" dxfId="867" priority="13" operator="notEqual">
      <formula>$AG$55</formula>
    </cfRule>
  </conditionalFormatting>
  <conditionalFormatting sqref="AH53">
    <cfRule type="cellIs" dxfId="866" priority="12" operator="equal">
      <formula>$AH$55</formula>
    </cfRule>
  </conditionalFormatting>
  <conditionalFormatting sqref="AH53">
    <cfRule type="cellIs" dxfId="865" priority="11" operator="notEqual">
      <formula>$AH$55</formula>
    </cfRule>
  </conditionalFormatting>
  <conditionalFormatting sqref="AI53">
    <cfRule type="cellIs" dxfId="864" priority="10" operator="equal">
      <formula>$AI$55</formula>
    </cfRule>
  </conditionalFormatting>
  <conditionalFormatting sqref="AI53">
    <cfRule type="cellIs" dxfId="863" priority="9" operator="notEqual">
      <formula>$AI$55</formula>
    </cfRule>
  </conditionalFormatting>
  <conditionalFormatting sqref="AJ53">
    <cfRule type="cellIs" dxfId="862" priority="8" operator="equal">
      <formula>$AJ$55</formula>
    </cfRule>
  </conditionalFormatting>
  <conditionalFormatting sqref="AJ53">
    <cfRule type="cellIs" dxfId="861" priority="7" operator="notEqual">
      <formula>$AJ$55</formula>
    </cfRule>
  </conditionalFormatting>
  <conditionalFormatting sqref="AK53">
    <cfRule type="cellIs" dxfId="860" priority="6" operator="equal">
      <formula>$AK$55</formula>
    </cfRule>
  </conditionalFormatting>
  <conditionalFormatting sqref="AK53">
    <cfRule type="cellIs" dxfId="859" priority="5" operator="notEqual">
      <formula>$AK$55</formula>
    </cfRule>
  </conditionalFormatting>
  <conditionalFormatting sqref="AL53">
    <cfRule type="cellIs" dxfId="858" priority="4" operator="equal">
      <formula>$AL$55</formula>
    </cfRule>
  </conditionalFormatting>
  <conditionalFormatting sqref="AL53">
    <cfRule type="cellIs" dxfId="857" priority="3" operator="notEqual">
      <formula>$AL$55</formula>
    </cfRule>
  </conditionalFormatting>
  <conditionalFormatting sqref="AM53">
    <cfRule type="cellIs" dxfId="856" priority="2" operator="equal">
      <formula>$AM$55</formula>
    </cfRule>
  </conditionalFormatting>
  <conditionalFormatting sqref="AM53">
    <cfRule type="cellIs" dxfId="855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8B76-0DD0-4DFD-BF8A-DAAA814E07F0}">
  <dimension ref="A1:AP57"/>
  <sheetViews>
    <sheetView showGridLines="0" topLeftCell="AH45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4" width="4.140625" style="9" bestFit="1" customWidth="1"/>
    <col min="15" max="16" width="4.85546875" style="9" bestFit="1" customWidth="1"/>
    <col min="17" max="18" width="10" style="9" bestFit="1" customWidth="1"/>
    <col min="19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8.7109375" style="9" bestFit="1" customWidth="1"/>
    <col min="26" max="26" width="7.7109375" style="9" bestFit="1" customWidth="1"/>
    <col min="27" max="27" width="9.85546875" style="9" bestFit="1" customWidth="1"/>
    <col min="28" max="28" width="10.85546875" style="9" bestFit="1" customWidth="1"/>
    <col min="29" max="29" width="11.7109375" style="9" bestFit="1" customWidth="1"/>
    <col min="30" max="30" width="10.8554687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110" t="s">
        <v>63</v>
      </c>
      <c r="B1" s="110" t="s">
        <v>64</v>
      </c>
      <c r="C1" s="110" t="s">
        <v>65</v>
      </c>
      <c r="D1" s="110" t="s">
        <v>66</v>
      </c>
      <c r="E1" s="110" t="s">
        <v>67</v>
      </c>
      <c r="F1" s="110" t="s">
        <v>15</v>
      </c>
      <c r="G1" s="110" t="s">
        <v>69</v>
      </c>
      <c r="H1" s="110" t="s">
        <v>70</v>
      </c>
      <c r="I1" s="110" t="s">
        <v>488</v>
      </c>
      <c r="J1" s="98"/>
      <c r="L1" s="111" t="s">
        <v>508</v>
      </c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O1" s="26"/>
      <c r="AP1" s="114" t="s">
        <v>490</v>
      </c>
    </row>
    <row r="2" spans="1:42" ht="11.25" customHeight="1" x14ac:dyDescent="0.25">
      <c r="A2" s="110"/>
      <c r="B2" s="110"/>
      <c r="C2" s="110"/>
      <c r="D2" s="110"/>
      <c r="E2" s="110"/>
      <c r="F2" s="110"/>
      <c r="G2" s="110"/>
      <c r="H2" s="110"/>
      <c r="I2" s="110"/>
      <c r="J2" s="98"/>
      <c r="L2" s="111" t="s">
        <v>387</v>
      </c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O2" s="26"/>
      <c r="AP2" s="115"/>
    </row>
    <row r="3" spans="1:42" ht="11.25" customHeight="1" x14ac:dyDescent="0.25">
      <c r="A3" s="110"/>
      <c r="B3" s="110"/>
      <c r="C3" s="110"/>
      <c r="D3" s="110"/>
      <c r="E3" s="110"/>
      <c r="F3" s="110"/>
      <c r="G3" s="110"/>
      <c r="H3" s="110"/>
      <c r="I3" s="110"/>
      <c r="J3" s="98"/>
      <c r="L3" s="111" t="s">
        <v>388</v>
      </c>
      <c r="M3" s="111"/>
      <c r="N3" s="111"/>
      <c r="O3" s="111"/>
      <c r="P3" s="111"/>
      <c r="Q3" s="111"/>
      <c r="R3" s="111"/>
      <c r="S3" s="111"/>
      <c r="T3" s="111"/>
      <c r="U3" s="111" t="s">
        <v>397</v>
      </c>
      <c r="V3" s="111"/>
      <c r="W3" s="111"/>
      <c r="X3" s="111"/>
      <c r="Y3" s="111"/>
      <c r="Z3" s="111"/>
      <c r="AA3" s="111"/>
      <c r="AB3" s="111"/>
      <c r="AC3" s="111" t="s">
        <v>405</v>
      </c>
      <c r="AD3" s="111"/>
      <c r="AE3" s="111" t="s">
        <v>407</v>
      </c>
      <c r="AF3" s="111"/>
      <c r="AG3" s="111"/>
      <c r="AH3" s="111" t="s">
        <v>410</v>
      </c>
      <c r="AI3" s="111"/>
      <c r="AJ3" s="111"/>
      <c r="AK3" s="111"/>
      <c r="AL3" s="111"/>
      <c r="AM3" s="111" t="s">
        <v>396</v>
      </c>
      <c r="AO3" s="26"/>
      <c r="AP3" s="115"/>
    </row>
    <row r="4" spans="1:42" ht="11.25" customHeight="1" x14ac:dyDescent="0.25">
      <c r="A4" s="110"/>
      <c r="B4" s="110"/>
      <c r="C4" s="110"/>
      <c r="D4" s="110"/>
      <c r="E4" s="110"/>
      <c r="F4" s="110"/>
      <c r="G4" s="110"/>
      <c r="H4" s="110"/>
      <c r="I4" s="110"/>
      <c r="J4" s="98"/>
      <c r="L4" s="10" t="s">
        <v>473</v>
      </c>
      <c r="M4" s="10" t="s">
        <v>389</v>
      </c>
      <c r="N4" s="10" t="s">
        <v>390</v>
      </c>
      <c r="O4" s="10" t="s">
        <v>391</v>
      </c>
      <c r="P4" s="10" t="s">
        <v>392</v>
      </c>
      <c r="Q4" s="10" t="s">
        <v>393</v>
      </c>
      <c r="R4" s="10" t="s">
        <v>394</v>
      </c>
      <c r="S4" s="10" t="s">
        <v>395</v>
      </c>
      <c r="T4" s="10" t="s">
        <v>396</v>
      </c>
      <c r="U4" s="10" t="s">
        <v>398</v>
      </c>
      <c r="V4" s="10" t="s">
        <v>399</v>
      </c>
      <c r="W4" s="10" t="s">
        <v>400</v>
      </c>
      <c r="X4" s="10" t="s">
        <v>401</v>
      </c>
      <c r="Y4" s="10" t="s">
        <v>402</v>
      </c>
      <c r="Z4" s="10" t="s">
        <v>403</v>
      </c>
      <c r="AA4" s="10" t="s">
        <v>404</v>
      </c>
      <c r="AB4" s="10" t="s">
        <v>396</v>
      </c>
      <c r="AC4" s="10" t="s">
        <v>406</v>
      </c>
      <c r="AD4" s="10" t="s">
        <v>396</v>
      </c>
      <c r="AE4" s="10" t="s">
        <v>408</v>
      </c>
      <c r="AF4" s="10" t="s">
        <v>409</v>
      </c>
      <c r="AG4" s="10" t="s">
        <v>396</v>
      </c>
      <c r="AH4" s="10" t="s">
        <v>411</v>
      </c>
      <c r="AI4" s="10" t="s">
        <v>412</v>
      </c>
      <c r="AJ4" s="10" t="s">
        <v>413</v>
      </c>
      <c r="AK4" s="10" t="s">
        <v>414</v>
      </c>
      <c r="AL4" s="10" t="s">
        <v>396</v>
      </c>
      <c r="AM4" s="113"/>
      <c r="AO4" s="27" t="s">
        <v>507</v>
      </c>
      <c r="AP4" s="116"/>
    </row>
    <row r="5" spans="1:42" ht="11.25" customHeight="1" x14ac:dyDescent="0.25">
      <c r="A5" s="109" t="s">
        <v>35</v>
      </c>
      <c r="B5" s="109" t="s">
        <v>36</v>
      </c>
      <c r="C5" s="109" t="s">
        <v>25</v>
      </c>
      <c r="D5" s="109" t="s">
        <v>25</v>
      </c>
      <c r="E5" s="109" t="s">
        <v>25</v>
      </c>
      <c r="F5" s="109" t="s">
        <v>25</v>
      </c>
      <c r="G5" s="24" t="s">
        <v>79</v>
      </c>
      <c r="H5" s="24" t="s">
        <v>78</v>
      </c>
      <c r="I5" s="24">
        <f>'MERCADO TUSD'!$U$2</f>
        <v>60365</v>
      </c>
      <c r="J5" s="15"/>
      <c r="L5" s="13">
        <f>'TUSD BE'!$L$5*'TUSD BF'!$L$58</f>
        <v>0</v>
      </c>
      <c r="M5" s="13">
        <f>'TUSD BE'!$M$5*'TUSD BF'!$M$58</f>
        <v>0</v>
      </c>
      <c r="N5" s="13">
        <f ca="1">'TUSD BE'!$N$5*'TUSD BF'!$N$58</f>
        <v>0</v>
      </c>
      <c r="O5" s="13">
        <f>'TUSD BE'!$O$5*'TUSD BF'!$O$58</f>
        <v>0</v>
      </c>
      <c r="P5" s="13">
        <f>'TUSD BE'!$P$5*'TUSD BF'!$P$58</f>
        <v>0</v>
      </c>
      <c r="Q5" s="13">
        <f>'TUSD BE'!$Q$5*'TUSD BF'!$Q$58</f>
        <v>0</v>
      </c>
      <c r="R5" s="13">
        <f>'TUSD BE'!$R$5*'TUSD BF'!$R$58</f>
        <v>0</v>
      </c>
      <c r="S5" s="13">
        <f>'TUSD BE'!$R$5*'TUSD BF'!$S$58</f>
        <v>0</v>
      </c>
      <c r="T5" s="13">
        <f ca="1">SUM($L$5:$S$5)</f>
        <v>0</v>
      </c>
      <c r="U5" s="13">
        <f>'TUSD BE'!$U$5*'TUSD BF'!$U$58</f>
        <v>0</v>
      </c>
      <c r="V5" s="13">
        <f>'TUSD BE'!$V$5*'TUSD BF'!$V$58</f>
        <v>0</v>
      </c>
      <c r="W5" s="13">
        <f>'TUSD BE'!$W$5*'TUSD BF'!$W$58</f>
        <v>0</v>
      </c>
      <c r="X5" s="13">
        <f>'TUSD BE'!$X$5*'TUSD BF'!$X$58</f>
        <v>0</v>
      </c>
      <c r="Y5" s="13">
        <f>'TUSD BE'!$Y$5*'TUSD BF'!$Y$58</f>
        <v>0</v>
      </c>
      <c r="Z5" s="13">
        <f>'TUSD BE'!$Z$5*'TUSD BF'!$Z$58</f>
        <v>0</v>
      </c>
      <c r="AA5" s="13">
        <f>'TUSD BE'!$AA$5*'TUSD BF'!$AA$58</f>
        <v>0</v>
      </c>
      <c r="AB5" s="13">
        <f>SUM($U$5:$AA$5)</f>
        <v>0</v>
      </c>
      <c r="AC5" s="13">
        <f>'TUSD BE'!$AC$5*'TUSD BF'!$AC$58</f>
        <v>0</v>
      </c>
      <c r="AD5" s="13">
        <f>SUM($AC$5:$AC$5)</f>
        <v>0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BF'!$AH$58</f>
        <v>0</v>
      </c>
      <c r="AI5" s="13">
        <f>'TUSD BE'!$AI$5*'TUSD BF'!$AI$58</f>
        <v>0</v>
      </c>
      <c r="AJ5" s="13">
        <f ca="1">'TUSD BE'!$AJ$5*'TUSD BF'!$AJ$58</f>
        <v>0</v>
      </c>
      <c r="AK5" s="13">
        <f ca="1">'TUSD BE'!$AK$5*'TUSD BF'!$AK$58</f>
        <v>0</v>
      </c>
      <c r="AL5" s="13">
        <f ca="1">SUM($AH$5:$AK$5)</f>
        <v>0</v>
      </c>
      <c r="AM5" s="13">
        <f ca="1">SUMIF($L$4:$AL$4,"SUBTOTAL",$L$5:$AL$5)</f>
        <v>0</v>
      </c>
      <c r="AO5" s="26">
        <f ca="1">+'TUSD BE'!$T$5+'TUSD BE'!$AB$5+'TUSD BE'!$AD$5+'TUSD BE'!$AL$5</f>
        <v>120.37485853050123</v>
      </c>
      <c r="AP5" s="26">
        <f ca="1">+'TUSD BE'!$T$5+'TUSD BE'!$AB$5+'TUSD BE'!$AD$5+'TUSD BE'!$AL$5</f>
        <v>120.37485853050123</v>
      </c>
    </row>
    <row r="6" spans="1:42" ht="11.25" customHeight="1" x14ac:dyDescent="0.25">
      <c r="A6" s="109"/>
      <c r="B6" s="109"/>
      <c r="C6" s="109"/>
      <c r="D6" s="109"/>
      <c r="E6" s="109"/>
      <c r="F6" s="109"/>
      <c r="G6" s="24" t="s">
        <v>80</v>
      </c>
      <c r="H6" s="24" t="s">
        <v>78</v>
      </c>
      <c r="I6" s="24">
        <f>'MERCADO TUSD'!$U$3</f>
        <v>65979</v>
      </c>
      <c r="J6" s="15"/>
      <c r="L6" s="13">
        <f>'TUSD BE'!$L$6*'TUSD BF'!$L$58</f>
        <v>0</v>
      </c>
      <c r="M6" s="13">
        <f>'TUSD BE'!$M$6*'TUSD BF'!$M$58</f>
        <v>0</v>
      </c>
      <c r="N6" s="13">
        <f ca="1">'TUSD BE'!$N$6*'TUSD BF'!$N$58</f>
        <v>0</v>
      </c>
      <c r="O6" s="13">
        <f>'TUSD BE'!$O$6*'TUSD BF'!$O$58</f>
        <v>0</v>
      </c>
      <c r="P6" s="13">
        <f>'TUSD BE'!$P$6*'TUSD BF'!$P$58</f>
        <v>0</v>
      </c>
      <c r="Q6" s="13">
        <f>'TUSD BE'!$Q$6*'TUSD BF'!$Q$58</f>
        <v>0</v>
      </c>
      <c r="R6" s="13">
        <f>'TUSD BE'!$R$6*'TUSD BF'!$R$58</f>
        <v>0</v>
      </c>
      <c r="S6" s="13">
        <f>'TUSD BE'!$R$6*'TUSD BF'!$S$58</f>
        <v>0</v>
      </c>
      <c r="T6" s="13">
        <f ca="1">SUM($L$6:$S$6)</f>
        <v>0</v>
      </c>
      <c r="U6" s="13">
        <f>'TUSD BE'!$U$6*'TUSD BF'!$U$58</f>
        <v>0</v>
      </c>
      <c r="V6" s="13">
        <f>'TUSD BE'!$V$6*'TUSD BF'!$V$58</f>
        <v>0</v>
      </c>
      <c r="W6" s="13">
        <f>'TUSD BE'!$W$6*'TUSD BF'!$W$58</f>
        <v>0</v>
      </c>
      <c r="X6" s="13">
        <f>'TUSD BE'!$X$6*'TUSD BF'!$X$58</f>
        <v>0</v>
      </c>
      <c r="Y6" s="13">
        <f>'TUSD BE'!$Y$6*'TUSD BF'!$Y$58</f>
        <v>0</v>
      </c>
      <c r="Z6" s="13">
        <f>'TUSD BE'!$Z$6*'TUSD BF'!$Z$58</f>
        <v>0</v>
      </c>
      <c r="AA6" s="13">
        <f>'TUSD BE'!$AA$6*'TUSD BF'!$AA$58</f>
        <v>0</v>
      </c>
      <c r="AB6" s="13">
        <f>SUM($U$6:$AA$6)</f>
        <v>0</v>
      </c>
      <c r="AC6" s="13">
        <f>'TUSD BE'!$AC$6*'TUSD BF'!$AC$58</f>
        <v>0</v>
      </c>
      <c r="AD6" s="13">
        <f>SUM($AC$6:$AC$6)</f>
        <v>0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BF'!$AH$58</f>
        <v>0</v>
      </c>
      <c r="AI6" s="13">
        <f>'TUSD BE'!$AI$6*'TUSD BF'!$AI$58</f>
        <v>0</v>
      </c>
      <c r="AJ6" s="13">
        <f ca="1">'TUSD BE'!$AJ$6*'TUSD BF'!$AJ$58</f>
        <v>0</v>
      </c>
      <c r="AK6" s="13">
        <f ca="1">'TUSD BE'!$AK$6*'TUSD BF'!$AK$58</f>
        <v>0</v>
      </c>
      <c r="AL6" s="13">
        <f ca="1">SUM($AH$6:$AK$6)</f>
        <v>0</v>
      </c>
      <c r="AM6" s="13">
        <f ca="1">SUMIF($L$4:$AL$4,"SUBTOTAL",$L$6:$AL$6)</f>
        <v>0</v>
      </c>
      <c r="AO6" s="26">
        <f ca="1">+'TUSD BE'!$T$6+'TUSD BE'!$AB$6+'TUSD BE'!$AD$6+'TUSD BE'!$AL$6</f>
        <v>57.339573617855834</v>
      </c>
      <c r="AP6" s="26">
        <f ca="1">+'TUSD BE'!$T$6+'TUSD BE'!$AB$6+'TUSD BE'!$AD$6+'TUSD BE'!$AL$6</f>
        <v>57.339573617855834</v>
      </c>
    </row>
    <row r="7" spans="1:42" ht="11.25" customHeight="1" x14ac:dyDescent="0.25">
      <c r="A7" s="109"/>
      <c r="B7" s="109"/>
      <c r="C7" s="109"/>
      <c r="D7" s="109"/>
      <c r="E7" s="109"/>
      <c r="F7" s="109"/>
      <c r="G7" s="24" t="s">
        <v>77</v>
      </c>
      <c r="H7" s="24" t="s">
        <v>73</v>
      </c>
      <c r="I7" s="24">
        <f>'MERCADO TUSD'!$U$4</f>
        <v>25979.914000000001</v>
      </c>
      <c r="J7" s="15"/>
      <c r="L7" s="13">
        <f>'TUSD BE'!$L$7*'TUSD BF'!$L$58</f>
        <v>0</v>
      </c>
      <c r="M7" s="13">
        <f>'TUSD BE'!$M$7*'TUSD BF'!$M$58</f>
        <v>0</v>
      </c>
      <c r="N7" s="13">
        <f ca="1">'TUSD BE'!$N$7*'TUSD BF'!$N$58</f>
        <v>0</v>
      </c>
      <c r="O7" s="13">
        <f>'TUSD BE'!$O$7*'TUSD BF'!$O$58</f>
        <v>0</v>
      </c>
      <c r="P7" s="13">
        <f>'TUSD BE'!$P$7*'TUSD BF'!$P$58</f>
        <v>0</v>
      </c>
      <c r="Q7" s="13">
        <f>'TUSD BE'!$Q$7*'TUSD BF'!$Q$58</f>
        <v>0</v>
      </c>
      <c r="R7" s="13">
        <f>'TUSD BE'!$R$7*'TUSD BF'!$R$58</f>
        <v>0</v>
      </c>
      <c r="S7" s="13">
        <f>'TUSD BE'!$R$7*'TUSD BF'!$S$58</f>
        <v>0</v>
      </c>
      <c r="T7" s="13">
        <f ca="1">SUM($L$7:$S$7)</f>
        <v>0</v>
      </c>
      <c r="U7" s="13">
        <f>'TUSD BE'!$U$7*'TUSD BF'!$U$58</f>
        <v>0</v>
      </c>
      <c r="V7" s="13">
        <f>'TUSD BE'!$V$7*'TUSD BF'!$V$58</f>
        <v>0</v>
      </c>
      <c r="W7" s="13">
        <f>'TUSD BE'!$W$7*'TUSD BF'!$W$58</f>
        <v>0</v>
      </c>
      <c r="X7" s="13">
        <f>'TUSD BE'!$X$7*'TUSD BF'!$X$58</f>
        <v>0</v>
      </c>
      <c r="Y7" s="13">
        <f>'TUSD BE'!$Y$7*'TUSD BF'!$Y$58</f>
        <v>0</v>
      </c>
      <c r="Z7" s="13">
        <f>'TUSD BE'!$Z$7*'TUSD BF'!$Z$58</f>
        <v>0</v>
      </c>
      <c r="AA7" s="13">
        <f>'TUSD BE'!$AA$7*'TUSD BF'!$AA$58</f>
        <v>0</v>
      </c>
      <c r="AB7" s="13">
        <f>SUM($U$7:$AA$7)</f>
        <v>0</v>
      </c>
      <c r="AC7" s="13">
        <f>'TUSD BE'!$AC$7*'TUSD BF'!$AC$58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BF'!$AH$58</f>
        <v>0</v>
      </c>
      <c r="AI7" s="13">
        <f>'TUSD BE'!$AI$7*'TUSD BF'!$AI$58</f>
        <v>0</v>
      </c>
      <c r="AJ7" s="13">
        <f ca="1">'TUSD BE'!$AJ$7*'TUSD BF'!$AJ$58</f>
        <v>0</v>
      </c>
      <c r="AK7" s="13">
        <f ca="1">'TUSD BE'!$AK$7*'TUSD BF'!$AK$58</f>
        <v>0</v>
      </c>
      <c r="AL7" s="13">
        <f ca="1">SUM($AH$7:$AK$7)</f>
        <v>0</v>
      </c>
      <c r="AM7" s="13">
        <f ca="1">SUMIF($L$4:$AL$4,"SUBTOTAL",$L$7:$AL$7)</f>
        <v>0</v>
      </c>
      <c r="AO7" s="26">
        <f ca="1">+'TUSD BE'!$T$7+'TUSD BE'!$AB$7+'TUSD BE'!$AD$7+'TUSD BE'!$AL$7</f>
        <v>96.284087237413871</v>
      </c>
      <c r="AP7" s="26">
        <f ca="1">+'TUSD BE'!$T$7+'TUSD BE'!$AB$7+'TUSD BE'!$AD$7+'TUSD BE'!$AL$7</f>
        <v>96.284087237413871</v>
      </c>
    </row>
    <row r="8" spans="1:42" ht="11.25" customHeight="1" x14ac:dyDescent="0.25">
      <c r="A8" s="109"/>
      <c r="B8" s="109"/>
      <c r="C8" s="109"/>
      <c r="D8" s="109"/>
      <c r="E8" s="23" t="s">
        <v>81</v>
      </c>
      <c r="F8" s="23" t="s">
        <v>25</v>
      </c>
      <c r="G8" s="24" t="s">
        <v>77</v>
      </c>
      <c r="H8" s="24" t="s">
        <v>73</v>
      </c>
      <c r="I8" s="24">
        <f>'MERCADO TUSD'!$U$5</f>
        <v>0</v>
      </c>
      <c r="J8" s="15"/>
      <c r="L8" s="13">
        <f>'TUSD BE'!$L$8*'TUSD BF'!$L$58</f>
        <v>0</v>
      </c>
      <c r="M8" s="13">
        <f>'TUSD BE'!$M$8*'TUSD BF'!$M$58</f>
        <v>0</v>
      </c>
      <c r="N8" s="13">
        <f ca="1">'TUSD BE'!$N$8*'TUSD BF'!$N$58</f>
        <v>0</v>
      </c>
      <c r="O8" s="13">
        <f>'TUSD BE'!$O$8*'TUSD BF'!$O$58</f>
        <v>0</v>
      </c>
      <c r="P8" s="13">
        <f>'TUSD BE'!$P$8*'TUSD BF'!$P$58</f>
        <v>0</v>
      </c>
      <c r="Q8" s="13">
        <f>'TUSD BE'!$Q$8*'TUSD BF'!$Q$58</f>
        <v>0</v>
      </c>
      <c r="R8" s="13">
        <f>'TUSD BE'!$R$8*'TUSD BF'!$R$58</f>
        <v>0</v>
      </c>
      <c r="S8" s="13">
        <f>'TUSD BE'!$R$8*'TUSD BF'!$S$58</f>
        <v>0</v>
      </c>
      <c r="T8" s="13">
        <f ca="1">SUM($L$8:$S$8)</f>
        <v>0</v>
      </c>
      <c r="U8" s="13">
        <f>'TUSD BE'!$U$8*'TUSD BF'!$U$58</f>
        <v>0</v>
      </c>
      <c r="V8" s="13">
        <f>'TUSD BE'!$V$8*'TUSD BF'!$V$58</f>
        <v>0</v>
      </c>
      <c r="W8" s="13">
        <f>'TUSD BE'!$W$8*'TUSD BF'!$W$58</f>
        <v>0</v>
      </c>
      <c r="X8" s="13">
        <f>'TUSD BE'!$X$8*'TUSD BF'!$X$58</f>
        <v>0</v>
      </c>
      <c r="Y8" s="13">
        <f>'TUSD BE'!$Y$8*'TUSD BF'!$Y$58</f>
        <v>0</v>
      </c>
      <c r="Z8" s="13">
        <f>'TUSD BE'!$Z$8*'TUSD BF'!$Z$58</f>
        <v>0</v>
      </c>
      <c r="AA8" s="13">
        <f>'TUSD BE'!$AA$8*'TUSD BF'!$AA$58</f>
        <v>0</v>
      </c>
      <c r="AB8" s="13">
        <f>SUM($U$8:$AA$8)</f>
        <v>0</v>
      </c>
      <c r="AC8" s="13">
        <f>'TUSD BE'!$AC$8*'TUSD BF'!$AC$58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BF'!$AH$58</f>
        <v>0</v>
      </c>
      <c r="AI8" s="13">
        <f>'TUSD BE'!$AI$8*'TUSD BF'!$AI$58</f>
        <v>0</v>
      </c>
      <c r="AJ8" s="13">
        <f ca="1">'TUSD BE'!$AJ$8*'TUSD BF'!$AJ$58</f>
        <v>0</v>
      </c>
      <c r="AK8" s="13">
        <f ca="1">'TUSD BE'!$AK$8*'TUSD BF'!$AK$58</f>
        <v>0</v>
      </c>
      <c r="AL8" s="13">
        <f ca="1">SUM($AH$8:$AK$8)</f>
        <v>0</v>
      </c>
      <c r="AM8" s="13">
        <f ca="1">SUMIF($L$4:$AL$4,"SUBTOTAL",$L$8:$AL$8)</f>
        <v>0</v>
      </c>
      <c r="AO8" s="26">
        <f ca="1">+'TUSD BE'!$T$8+'TUSD BE'!$AB$8+'TUSD BE'!$AD$8+'TUSD BE'!$AL$8</f>
        <v>6.5442910670896497</v>
      </c>
      <c r="AP8" s="26">
        <f ca="1">+'TUSD BE'!$T$8+'TUSD BE'!$AB$8+'TUSD BE'!$AD$8+'TUSD BE'!$AL$8</f>
        <v>6.5442910670896497</v>
      </c>
    </row>
    <row r="9" spans="1:42" ht="11.25" customHeight="1" x14ac:dyDescent="0.25">
      <c r="A9" s="109"/>
      <c r="B9" s="23" t="s">
        <v>53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78</v>
      </c>
      <c r="I9" s="24">
        <f>'MERCADO TUSD'!$U$6</f>
        <v>20640</v>
      </c>
      <c r="J9" s="15"/>
      <c r="L9" s="13">
        <f>'TUSD BE'!$L$9*'TUSD BF'!$L$58</f>
        <v>0</v>
      </c>
      <c r="M9" s="13">
        <f>'TUSD BE'!$M$9*'TUSD BF'!$M$58</f>
        <v>0</v>
      </c>
      <c r="N9" s="13">
        <f ca="1">'TUSD BE'!$N$9*'TUSD BF'!$N$58</f>
        <v>0</v>
      </c>
      <c r="O9" s="13">
        <f>'TUSD BE'!$O$9*'TUSD BF'!$O$58</f>
        <v>0</v>
      </c>
      <c r="P9" s="13">
        <f>'TUSD BE'!$P$9*'TUSD BF'!$P$58</f>
        <v>0</v>
      </c>
      <c r="Q9" s="13">
        <f>'TUSD BE'!$Q$9*'TUSD BF'!$Q$58</f>
        <v>0</v>
      </c>
      <c r="R9" s="13">
        <f>'TUSD BE'!$R$9*'TUSD BF'!$R$58</f>
        <v>0</v>
      </c>
      <c r="S9" s="13">
        <f>'TUSD BE'!$R$9*'TUSD BF'!$S$58</f>
        <v>0</v>
      </c>
      <c r="T9" s="13">
        <f ca="1">SUM($L$9:$S$9)</f>
        <v>0</v>
      </c>
      <c r="U9" s="13">
        <f>'TUSD BE'!$U$9*'TUSD BF'!$U$58</f>
        <v>0</v>
      </c>
      <c r="V9" s="13">
        <f>'TUSD BE'!$V$9*'TUSD BF'!$V$58</f>
        <v>0</v>
      </c>
      <c r="W9" s="13">
        <f>'TUSD BE'!$W$9*'TUSD BF'!$W$58</f>
        <v>0</v>
      </c>
      <c r="X9" s="13">
        <f>'TUSD BE'!$X$9*'TUSD BF'!$X$58</f>
        <v>0</v>
      </c>
      <c r="Y9" s="13">
        <f>'TUSD BE'!$Y$9*'TUSD BF'!$Y$58</f>
        <v>0</v>
      </c>
      <c r="Z9" s="13">
        <f>'TUSD BE'!$Z$9*'TUSD BF'!$Z$58</f>
        <v>0</v>
      </c>
      <c r="AA9" s="13">
        <f>'TUSD BE'!$AA$9*'TUSD BF'!$AA$58</f>
        <v>0</v>
      </c>
      <c r="AB9" s="13">
        <f>SUM($U$9:$AA$9)</f>
        <v>0</v>
      </c>
      <c r="AC9" s="13">
        <f>'TUSD BE'!$AC$9*'TUSD BF'!$AC$58</f>
        <v>0</v>
      </c>
      <c r="AD9" s="13">
        <f>SUM($AC$9:$AC$9)</f>
        <v>0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BF'!$AH$58</f>
        <v>0</v>
      </c>
      <c r="AI9" s="13">
        <f>'TUSD BE'!$AI$9*'TUSD BF'!$AI$58</f>
        <v>0</v>
      </c>
      <c r="AJ9" s="13">
        <f ca="1">'TUSD BE'!$AJ$9*'TUSD BF'!$AJ$58</f>
        <v>0</v>
      </c>
      <c r="AK9" s="13">
        <f ca="1">'TUSD BE'!$AK$9*'TUSD BF'!$AK$58</f>
        <v>0</v>
      </c>
      <c r="AL9" s="13">
        <f ca="1">SUM($AH$9:$AK$9)</f>
        <v>0</v>
      </c>
      <c r="AM9" s="13">
        <f ca="1">SUMIF($L$4:$AL$4,"SUBTOTAL",$L$9:$AL$9)</f>
        <v>0</v>
      </c>
      <c r="AO9" s="26">
        <f ca="1">+'TUSD BE'!$T$9+'TUSD BE'!$AB$9+'TUSD BE'!$AD$9+'TUSD BE'!$AL$9</f>
        <v>19.837419477664362</v>
      </c>
      <c r="AP9" s="26">
        <f ca="1">+'TUSD BE'!$T$9+'TUSD BE'!$AB$9+'TUSD BE'!$AD$9+'TUSD BE'!$AL$9</f>
        <v>19.837419477664362</v>
      </c>
    </row>
    <row r="10" spans="1:42" ht="11.25" customHeight="1" x14ac:dyDescent="0.25">
      <c r="A10" s="109"/>
      <c r="B10" s="109" t="s">
        <v>39</v>
      </c>
      <c r="C10" s="109" t="s">
        <v>25</v>
      </c>
      <c r="D10" s="109" t="s">
        <v>25</v>
      </c>
      <c r="E10" s="109" t="s">
        <v>25</v>
      </c>
      <c r="F10" s="109" t="s">
        <v>25</v>
      </c>
      <c r="G10" s="24" t="s">
        <v>9</v>
      </c>
      <c r="H10" s="24" t="s">
        <v>78</v>
      </c>
      <c r="I10" s="24">
        <f>'MERCADO TUSD'!$U$7</f>
        <v>71511</v>
      </c>
      <c r="J10" s="15"/>
      <c r="L10" s="13">
        <f>'TUSD BE'!$L$10*'TUSD BF'!$L$58</f>
        <v>0</v>
      </c>
      <c r="M10" s="13">
        <f>'TUSD BE'!$M$10*'TUSD BF'!$M$58</f>
        <v>0</v>
      </c>
      <c r="N10" s="13">
        <f ca="1">'TUSD BE'!$N$10*'TUSD BF'!$N$58</f>
        <v>0</v>
      </c>
      <c r="O10" s="13">
        <f>'TUSD BE'!$O$10*'TUSD BF'!$O$58</f>
        <v>0</v>
      </c>
      <c r="P10" s="13">
        <f>'TUSD BE'!$P$10*'TUSD BF'!$P$58</f>
        <v>0</v>
      </c>
      <c r="Q10" s="13">
        <f>'TUSD BE'!$Q$10*'TUSD BF'!$Q$58</f>
        <v>0</v>
      </c>
      <c r="R10" s="13">
        <f>'TUSD BE'!$R$10*'TUSD BF'!$R$58</f>
        <v>0</v>
      </c>
      <c r="S10" s="13">
        <f>'TUSD BE'!$R$10*'TUSD BF'!$S$58</f>
        <v>0</v>
      </c>
      <c r="T10" s="13">
        <f ca="1">SUM($L$10:$S$10)</f>
        <v>0</v>
      </c>
      <c r="U10" s="13">
        <f>'TUSD BE'!$U$10*'TUSD BF'!$U$58</f>
        <v>0</v>
      </c>
      <c r="V10" s="13">
        <f>'TUSD BE'!$V$10*'TUSD BF'!$V$58</f>
        <v>0</v>
      </c>
      <c r="W10" s="13">
        <f>'TUSD BE'!$W$10*'TUSD BF'!$W$58</f>
        <v>0</v>
      </c>
      <c r="X10" s="13">
        <f>'TUSD BE'!$X$10*'TUSD BF'!$X$58</f>
        <v>0</v>
      </c>
      <c r="Y10" s="13">
        <f>'TUSD BE'!$Y$10*'TUSD BF'!$Y$58</f>
        <v>0</v>
      </c>
      <c r="Z10" s="13">
        <f>'TUSD BE'!$Z$10*'TUSD BF'!$Z$58</f>
        <v>0</v>
      </c>
      <c r="AA10" s="13">
        <f>'TUSD BE'!$AA$10*'TUSD BF'!$AA$58</f>
        <v>0</v>
      </c>
      <c r="AB10" s="13">
        <f>SUM($U$10:$AA$10)</f>
        <v>0</v>
      </c>
      <c r="AC10" s="13">
        <f>'TUSD BE'!$AC$10*'TUSD BF'!$AC$58</f>
        <v>0</v>
      </c>
      <c r="AD10" s="13">
        <f>SUM($AC$10:$AC$10)</f>
        <v>0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BF'!$AH$58</f>
        <v>0</v>
      </c>
      <c r="AI10" s="13">
        <f>'TUSD BE'!$AI$10*'TUSD BF'!$AI$58</f>
        <v>0</v>
      </c>
      <c r="AJ10" s="13">
        <f ca="1">'TUSD BE'!$AJ$10*'TUSD BF'!$AJ$58</f>
        <v>0</v>
      </c>
      <c r="AK10" s="13">
        <f ca="1">'TUSD BE'!$AK$10*'TUSD BF'!$AK$58</f>
        <v>0</v>
      </c>
      <c r="AL10" s="13">
        <f ca="1">SUM($AH$10:$AK$10)</f>
        <v>0</v>
      </c>
      <c r="AM10" s="13">
        <f ca="1">SUMIF($L$4:$AL$4,"SUBTOTAL",$L$10:$AL$10)</f>
        <v>0</v>
      </c>
      <c r="AO10" s="26">
        <f ca="1">+'TUSD BE'!$T$10+'TUSD BE'!$AB$10+'TUSD BE'!$AD$10+'TUSD BE'!$AL$10</f>
        <v>57.339573617855834</v>
      </c>
      <c r="AP10" s="26">
        <f ca="1">+'TUSD BE'!$T$10+'TUSD BE'!$AB$10+'TUSD BE'!$AD$10+'TUSD BE'!$AL$10</f>
        <v>57.339573617855834</v>
      </c>
    </row>
    <row r="11" spans="1:42" ht="11.25" customHeight="1" x14ac:dyDescent="0.25">
      <c r="A11" s="109"/>
      <c r="B11" s="109"/>
      <c r="C11" s="109"/>
      <c r="D11" s="109"/>
      <c r="E11" s="109"/>
      <c r="F11" s="109"/>
      <c r="G11" s="24" t="s">
        <v>74</v>
      </c>
      <c r="H11" s="24" t="s">
        <v>73</v>
      </c>
      <c r="I11" s="24">
        <f>'MERCADO TUSD'!$U$8</f>
        <v>353.77000000000004</v>
      </c>
      <c r="J11" s="15"/>
      <c r="L11" s="13">
        <f>'TUSD BE'!$L$11*'TUSD BF'!$L$58</f>
        <v>0</v>
      </c>
      <c r="M11" s="13">
        <f>'TUSD BE'!$M$11*'TUSD BF'!$M$58</f>
        <v>0</v>
      </c>
      <c r="N11" s="13">
        <f ca="1">'TUSD BE'!$N$11*'TUSD BF'!$N$58</f>
        <v>0</v>
      </c>
      <c r="O11" s="13">
        <f>'TUSD BE'!$O$11*'TUSD BF'!$O$58</f>
        <v>0</v>
      </c>
      <c r="P11" s="13">
        <f>'TUSD BE'!$P$11*'TUSD BF'!$P$58</f>
        <v>0</v>
      </c>
      <c r="Q11" s="13">
        <f>'TUSD BE'!$Q$11*'TUSD BF'!$Q$58</f>
        <v>0</v>
      </c>
      <c r="R11" s="13">
        <f>'TUSD BE'!$R$11*'TUSD BF'!$R$58</f>
        <v>0</v>
      </c>
      <c r="S11" s="13">
        <f>'TUSD BE'!$R$11*'TUSD BF'!$S$58</f>
        <v>0</v>
      </c>
      <c r="T11" s="13">
        <f ca="1">SUM($L$11:$S$11)</f>
        <v>0</v>
      </c>
      <c r="U11" s="13">
        <f>'TUSD BE'!$U$11*'TUSD BF'!$U$58</f>
        <v>0</v>
      </c>
      <c r="V11" s="13">
        <f>'TUSD BE'!$V$11*'TUSD BF'!$V$58</f>
        <v>0</v>
      </c>
      <c r="W11" s="13">
        <f>'TUSD BE'!$W$11*'TUSD BF'!$W$58</f>
        <v>0</v>
      </c>
      <c r="X11" s="13">
        <f>'TUSD BE'!$X$11*'TUSD BF'!$X$58</f>
        <v>0</v>
      </c>
      <c r="Y11" s="13">
        <f>'TUSD BE'!$Y$11*'TUSD BF'!$Y$58</f>
        <v>0</v>
      </c>
      <c r="Z11" s="13">
        <f>'TUSD BE'!$Z$11*'TUSD BF'!$Z$58</f>
        <v>0</v>
      </c>
      <c r="AA11" s="13">
        <f>'TUSD BE'!$AA$11*'TUSD BF'!$AA$58</f>
        <v>0</v>
      </c>
      <c r="AB11" s="13">
        <f>SUM($U$11:$AA$11)</f>
        <v>0</v>
      </c>
      <c r="AC11" s="13">
        <f>'TUSD BE'!$AC$11*'TUSD BF'!$AC$58</f>
        <v>0</v>
      </c>
      <c r="AD11" s="13">
        <f>SUM($AC$11:$AC$11)</f>
        <v>0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BF'!$AH$58</f>
        <v>0</v>
      </c>
      <c r="AI11" s="13">
        <f>'TUSD BE'!$AI$11*'TUSD BF'!$AI$58</f>
        <v>0</v>
      </c>
      <c r="AJ11" s="13">
        <f ca="1">'TUSD BE'!$AJ$11*'TUSD BF'!$AJ$58</f>
        <v>0</v>
      </c>
      <c r="AK11" s="13">
        <f ca="1">'TUSD BE'!$AK$11*'TUSD BF'!$AK$58</f>
        <v>0</v>
      </c>
      <c r="AL11" s="13">
        <f ca="1">SUM($AH$11:$AK$11)</f>
        <v>0</v>
      </c>
      <c r="AM11" s="13">
        <f ca="1">SUMIF($L$4:$AL$4,"SUBTOTAL",$L$11:$AL$11)</f>
        <v>0</v>
      </c>
      <c r="AO11" s="26">
        <f ca="1">+'TUSD BE'!$T$11+'TUSD BE'!$AB$11+'TUSD BE'!$AD$11+'TUSD BE'!$AL$11</f>
        <v>2991.3022322325064</v>
      </c>
      <c r="AP11" s="26">
        <f ca="1">+'TUSD BE'!$T$11+'TUSD BE'!$AB$11+'TUSD BE'!$AD$11+'TUSD BE'!$AL$11</f>
        <v>2991.3022322325064</v>
      </c>
    </row>
    <row r="12" spans="1:42" ht="11.25" customHeight="1" x14ac:dyDescent="0.25">
      <c r="A12" s="109"/>
      <c r="B12" s="109"/>
      <c r="C12" s="109"/>
      <c r="D12" s="109"/>
      <c r="E12" s="109"/>
      <c r="F12" s="109"/>
      <c r="G12" s="24" t="s">
        <v>75</v>
      </c>
      <c r="H12" s="24" t="s">
        <v>73</v>
      </c>
      <c r="I12" s="24">
        <f>'MERCADO TUSD'!$U$9</f>
        <v>15360.976999999999</v>
      </c>
      <c r="J12" s="15"/>
      <c r="L12" s="13">
        <f>'TUSD BE'!$L$12*'TUSD BF'!$L$58</f>
        <v>0</v>
      </c>
      <c r="M12" s="13">
        <f>'TUSD BE'!$M$12*'TUSD BF'!$M$58</f>
        <v>0</v>
      </c>
      <c r="N12" s="13">
        <f ca="1">'TUSD BE'!$N$12*'TUSD BF'!$N$58</f>
        <v>0</v>
      </c>
      <c r="O12" s="13">
        <f>'TUSD BE'!$O$12*'TUSD BF'!$O$58</f>
        <v>0</v>
      </c>
      <c r="P12" s="13">
        <f>'TUSD BE'!$P$12*'TUSD BF'!$P$58</f>
        <v>0</v>
      </c>
      <c r="Q12" s="13">
        <f>'TUSD BE'!$Q$12*'TUSD BF'!$Q$58</f>
        <v>0</v>
      </c>
      <c r="R12" s="13">
        <f>'TUSD BE'!$R$12*'TUSD BF'!$R$58</f>
        <v>0</v>
      </c>
      <c r="S12" s="13">
        <f>'TUSD BE'!$R$12*'TUSD BF'!$S$58</f>
        <v>0</v>
      </c>
      <c r="T12" s="13">
        <f ca="1">SUM($L$12:$S$12)</f>
        <v>0</v>
      </c>
      <c r="U12" s="13">
        <f>'TUSD BE'!$U$12*'TUSD BF'!$U$58</f>
        <v>0</v>
      </c>
      <c r="V12" s="13">
        <f>'TUSD BE'!$V$12*'TUSD BF'!$V$58</f>
        <v>0</v>
      </c>
      <c r="W12" s="13">
        <f>'TUSD BE'!$W$12*'TUSD BF'!$W$58</f>
        <v>0</v>
      </c>
      <c r="X12" s="13">
        <f>'TUSD BE'!$X$12*'TUSD BF'!$X$58</f>
        <v>0</v>
      </c>
      <c r="Y12" s="13">
        <f>'TUSD BE'!$Y$12*'TUSD BF'!$Y$58</f>
        <v>0</v>
      </c>
      <c r="Z12" s="13">
        <f>'TUSD BE'!$Z$12*'TUSD BF'!$Z$58</f>
        <v>0</v>
      </c>
      <c r="AA12" s="13">
        <f>'TUSD BE'!$AA$12*'TUSD BF'!$AA$58</f>
        <v>0</v>
      </c>
      <c r="AB12" s="13">
        <f>SUM($U$12:$AA$12)</f>
        <v>0</v>
      </c>
      <c r="AC12" s="13">
        <f>'TUSD BE'!$AC$12*'TUSD BF'!$AC$58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BF'!$AH$58</f>
        <v>0</v>
      </c>
      <c r="AI12" s="13">
        <f>'TUSD BE'!$AI$12*'TUSD BF'!$AI$58</f>
        <v>0</v>
      </c>
      <c r="AJ12" s="13">
        <f ca="1">'TUSD BE'!$AJ$12*'TUSD BF'!$AJ$58</f>
        <v>0</v>
      </c>
      <c r="AK12" s="13">
        <f ca="1">'TUSD BE'!$AK$12*'TUSD BF'!$AK$58</f>
        <v>0</v>
      </c>
      <c r="AL12" s="13">
        <f ca="1">SUM($AH$12:$AK$12)</f>
        <v>0</v>
      </c>
      <c r="AM12" s="13">
        <f ca="1">SUMIF($L$4:$AL$4,"SUBTOTAL",$L$12:$AL$12)</f>
        <v>0</v>
      </c>
      <c r="AO12" s="26">
        <f ca="1">+'TUSD BE'!$T$12+'TUSD BE'!$AB$12+'TUSD BE'!$AD$12+'TUSD BE'!$AL$12</f>
        <v>96.284087237413871</v>
      </c>
      <c r="AP12" s="26">
        <f ca="1">+'TUSD BE'!$T$12+'TUSD BE'!$AB$12+'TUSD BE'!$AD$12+'TUSD BE'!$AL$12</f>
        <v>96.284087237413871</v>
      </c>
    </row>
    <row r="13" spans="1:42" ht="11.25" customHeight="1" x14ac:dyDescent="0.25">
      <c r="A13" s="109"/>
      <c r="B13" s="109"/>
      <c r="C13" s="109"/>
      <c r="D13" s="109"/>
      <c r="E13" s="109" t="s">
        <v>81</v>
      </c>
      <c r="F13" s="109" t="s">
        <v>25</v>
      </c>
      <c r="G13" s="24" t="s">
        <v>74</v>
      </c>
      <c r="H13" s="24" t="s">
        <v>73</v>
      </c>
      <c r="I13" s="24">
        <f>'MERCADO TUSD'!$U$10</f>
        <v>0</v>
      </c>
      <c r="J13" s="15"/>
      <c r="L13" s="13">
        <f>'TUSD BE'!$L$13*'TUSD BF'!$L$58</f>
        <v>0</v>
      </c>
      <c r="M13" s="13">
        <f>'TUSD BE'!$M$13*'TUSD BF'!$M$58</f>
        <v>0</v>
      </c>
      <c r="N13" s="13">
        <f ca="1">'TUSD BE'!$N$13*'TUSD BF'!$N$58</f>
        <v>0</v>
      </c>
      <c r="O13" s="13">
        <f>'TUSD BE'!$O$13*'TUSD BF'!$O$58</f>
        <v>0</v>
      </c>
      <c r="P13" s="13">
        <f>'TUSD BE'!$P$13*'TUSD BF'!$P$58</f>
        <v>0</v>
      </c>
      <c r="Q13" s="13">
        <f>'TUSD BE'!$Q$13*'TUSD BF'!$Q$58</f>
        <v>0</v>
      </c>
      <c r="R13" s="13">
        <f>'TUSD BE'!$R$13*'TUSD BF'!$R$58</f>
        <v>0</v>
      </c>
      <c r="S13" s="13">
        <f>'TUSD BE'!$R$13*'TUSD BF'!$S$58</f>
        <v>0</v>
      </c>
      <c r="T13" s="13">
        <f ca="1">SUM($L$13:$S$13)</f>
        <v>0</v>
      </c>
      <c r="U13" s="13">
        <f>'TUSD BE'!$U$13*'TUSD BF'!$U$58</f>
        <v>0</v>
      </c>
      <c r="V13" s="13">
        <f>'TUSD BE'!$V$13*'TUSD BF'!$V$58</f>
        <v>0</v>
      </c>
      <c r="W13" s="13">
        <f>'TUSD BE'!$W$13*'TUSD BF'!$W$58</f>
        <v>0</v>
      </c>
      <c r="X13" s="13">
        <f>'TUSD BE'!$X$13*'TUSD BF'!$X$58</f>
        <v>0</v>
      </c>
      <c r="Y13" s="13">
        <f>'TUSD BE'!$Y$13*'TUSD BF'!$Y$58</f>
        <v>0</v>
      </c>
      <c r="Z13" s="13">
        <f>'TUSD BE'!$Z$13*'TUSD BF'!$Z$58</f>
        <v>0</v>
      </c>
      <c r="AA13" s="13">
        <f>'TUSD BE'!$AA$13*'TUSD BF'!$AA$58</f>
        <v>0</v>
      </c>
      <c r="AB13" s="13">
        <f>SUM($U$13:$AA$13)</f>
        <v>0</v>
      </c>
      <c r="AC13" s="13">
        <f>'TUSD BE'!$AC$13*'TUSD BF'!$AC$58</f>
        <v>0</v>
      </c>
      <c r="AD13" s="13">
        <f>SUM($AC$13:$AC$13)</f>
        <v>0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BF'!$AH$58</f>
        <v>0</v>
      </c>
      <c r="AI13" s="13">
        <f>'TUSD BE'!$AI$13*'TUSD BF'!$AI$58</f>
        <v>0</v>
      </c>
      <c r="AJ13" s="13">
        <f ca="1">'TUSD BE'!$AJ$13*'TUSD BF'!$AJ$58</f>
        <v>0</v>
      </c>
      <c r="AK13" s="13">
        <f ca="1">'TUSD BE'!$AK$13*'TUSD BF'!$AK$58</f>
        <v>0</v>
      </c>
      <c r="AL13" s="13">
        <f ca="1">SUM($AH$13:$AK$13)</f>
        <v>0</v>
      </c>
      <c r="AM13" s="13">
        <f ca="1">SUMIF($L$4:$AL$4,"SUBTOTAL",$L$13:$AL$13)</f>
        <v>0</v>
      </c>
      <c r="AO13" s="26">
        <f ca="1">+'TUSD BE'!$T$13+'TUSD BE'!$AB$13+'TUSD BE'!$AD$13+'TUSD BE'!$AL$13</f>
        <v>2901.5624360621819</v>
      </c>
      <c r="AP13" s="26">
        <f ca="1">+'TUSD BE'!$T$13+'TUSD BE'!$AB$13+'TUSD BE'!$AD$13+'TUSD BE'!$AL$13</f>
        <v>2901.5624360621819</v>
      </c>
    </row>
    <row r="14" spans="1:42" ht="11.25" customHeight="1" x14ac:dyDescent="0.25">
      <c r="A14" s="109"/>
      <c r="B14" s="109"/>
      <c r="C14" s="109"/>
      <c r="D14" s="109"/>
      <c r="E14" s="109"/>
      <c r="F14" s="109"/>
      <c r="G14" s="24" t="s">
        <v>75</v>
      </c>
      <c r="H14" s="24" t="s">
        <v>73</v>
      </c>
      <c r="I14" s="24">
        <f>'MERCADO TUSD'!$U$11</f>
        <v>0</v>
      </c>
      <c r="J14" s="15"/>
      <c r="L14" s="13">
        <f>'TUSD BE'!$L$14*'TUSD BF'!$L$58</f>
        <v>0</v>
      </c>
      <c r="M14" s="13">
        <f>'TUSD BE'!$M$14*'TUSD BF'!$M$58</f>
        <v>0</v>
      </c>
      <c r="N14" s="13">
        <f ca="1">'TUSD BE'!$N$14*'TUSD BF'!$N$58</f>
        <v>0</v>
      </c>
      <c r="O14" s="13">
        <f>'TUSD BE'!$O$14*'TUSD BF'!$O$58</f>
        <v>0</v>
      </c>
      <c r="P14" s="13">
        <f>'TUSD BE'!$P$14*'TUSD BF'!$P$58</f>
        <v>0</v>
      </c>
      <c r="Q14" s="13">
        <f>'TUSD BE'!$Q$14*'TUSD BF'!$Q$58</f>
        <v>0</v>
      </c>
      <c r="R14" s="13">
        <f>'TUSD BE'!$R$14*'TUSD BF'!$R$58</f>
        <v>0</v>
      </c>
      <c r="S14" s="13">
        <f>'TUSD BE'!$R$14*'TUSD BF'!$S$58</f>
        <v>0</v>
      </c>
      <c r="T14" s="13">
        <f ca="1">SUM($L$14:$S$14)</f>
        <v>0</v>
      </c>
      <c r="U14" s="13">
        <f>'TUSD BE'!$U$14*'TUSD BF'!$U$58</f>
        <v>0</v>
      </c>
      <c r="V14" s="13">
        <f>'TUSD BE'!$V$14*'TUSD BF'!$V$58</f>
        <v>0</v>
      </c>
      <c r="W14" s="13">
        <f>'TUSD BE'!$W$14*'TUSD BF'!$W$58</f>
        <v>0</v>
      </c>
      <c r="X14" s="13">
        <f>'TUSD BE'!$X$14*'TUSD BF'!$X$58</f>
        <v>0</v>
      </c>
      <c r="Y14" s="13">
        <f>'TUSD BE'!$Y$14*'TUSD BF'!$Y$58</f>
        <v>0</v>
      </c>
      <c r="Z14" s="13">
        <f>'TUSD BE'!$Z$14*'TUSD BF'!$Z$58</f>
        <v>0</v>
      </c>
      <c r="AA14" s="13">
        <f>'TUSD BE'!$AA$14*'TUSD BF'!$AA$58</f>
        <v>0</v>
      </c>
      <c r="AB14" s="13">
        <f>SUM($U$14:$AA$14)</f>
        <v>0</v>
      </c>
      <c r="AC14" s="13">
        <f>'TUSD BE'!$AC$14*'TUSD BF'!$AC$58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BF'!$AH$58</f>
        <v>0</v>
      </c>
      <c r="AI14" s="13">
        <f>'TUSD BE'!$AI$14*'TUSD BF'!$AI$58</f>
        <v>0</v>
      </c>
      <c r="AJ14" s="13">
        <f ca="1">'TUSD BE'!$AJ$14*'TUSD BF'!$AJ$58</f>
        <v>0</v>
      </c>
      <c r="AK14" s="13">
        <f ca="1">'TUSD BE'!$AK$14*'TUSD BF'!$AK$58</f>
        <v>0</v>
      </c>
      <c r="AL14" s="13">
        <f ca="1">SUM($AH$14:$AK$14)</f>
        <v>0</v>
      </c>
      <c r="AM14" s="13">
        <f ca="1">SUMIF($L$4:$AL$4,"SUBTOTAL",$L$14:$AL$14)</f>
        <v>0</v>
      </c>
      <c r="AO14" s="26">
        <f ca="1">+'TUSD BE'!$T$14+'TUSD BE'!$AB$14+'TUSD BE'!$AD$14+'TUSD BE'!$AL$14</f>
        <v>6.5442910670896497</v>
      </c>
      <c r="AP14" s="26">
        <f ca="1">+'TUSD BE'!$T$14+'TUSD BE'!$AB$14+'TUSD BE'!$AD$14+'TUSD BE'!$AL$14</f>
        <v>6.5442910670896497</v>
      </c>
    </row>
    <row r="15" spans="1:42" ht="11.25" customHeight="1" x14ac:dyDescent="0.25">
      <c r="A15" s="109" t="s">
        <v>82</v>
      </c>
      <c r="B15" s="109" t="s">
        <v>53</v>
      </c>
      <c r="C15" s="109" t="s">
        <v>25</v>
      </c>
      <c r="D15" s="109" t="s">
        <v>25</v>
      </c>
      <c r="E15" s="23" t="s">
        <v>83</v>
      </c>
      <c r="F15" s="23" t="s">
        <v>25</v>
      </c>
      <c r="G15" s="24" t="s">
        <v>9</v>
      </c>
      <c r="H15" s="24" t="s">
        <v>78</v>
      </c>
      <c r="I15" s="24">
        <f>'MERCADO TUSD'!$U$12+0.00000001</f>
        <v>1E-8</v>
      </c>
      <c r="J15" s="15"/>
      <c r="L15" s="13">
        <f>'TUSD BE'!$L$15*'TUSD BF'!$L$58</f>
        <v>0</v>
      </c>
      <c r="M15" s="13">
        <f>'TUSD BE'!$M$15*'TUSD BF'!$M$58</f>
        <v>0</v>
      </c>
      <c r="N15" s="13">
        <f ca="1">'TUSD BE'!$N$15*'TUSD BF'!$N$58</f>
        <v>0</v>
      </c>
      <c r="O15" s="13">
        <f>'TUSD BE'!$O$15*'TUSD BF'!$O$58</f>
        <v>0</v>
      </c>
      <c r="P15" s="13">
        <f>'TUSD BE'!$P$15*'TUSD BF'!$P$58</f>
        <v>0</v>
      </c>
      <c r="Q15" s="13">
        <f>'TUSD BE'!$Q$15*'TUSD BF'!$Q$58</f>
        <v>0</v>
      </c>
      <c r="R15" s="13">
        <f>'TUSD BE'!$R$15*'TUSD BF'!$R$58</f>
        <v>0</v>
      </c>
      <c r="S15" s="13">
        <f>'TUSD BE'!$R$15*'TUSD BF'!$S$58</f>
        <v>0</v>
      </c>
      <c r="T15" s="13">
        <f ca="1">SUM($L$15:$S$15)</f>
        <v>0</v>
      </c>
      <c r="U15" s="13">
        <f>'TUSD BE'!$U$15*'TUSD BF'!$U$58</f>
        <v>0</v>
      </c>
      <c r="V15" s="13">
        <f>'TUSD BE'!$V$15*'TUSD BF'!$V$58</f>
        <v>0</v>
      </c>
      <c r="W15" s="13">
        <f>'TUSD BE'!$W$15*'TUSD BF'!$W$58</f>
        <v>0</v>
      </c>
      <c r="X15" s="13">
        <f>'TUSD BE'!$X$15*'TUSD BF'!$X$58</f>
        <v>0</v>
      </c>
      <c r="Y15" s="13">
        <f>'TUSD BE'!$Y$15*'TUSD BF'!$Y$58</f>
        <v>0</v>
      </c>
      <c r="Z15" s="13">
        <f>'TUSD BE'!$Z$15*'TUSD BF'!$Z$58</f>
        <v>0</v>
      </c>
      <c r="AA15" s="13">
        <f>'TUSD BE'!$AA$15*'TUSD BF'!$AA$58</f>
        <v>0</v>
      </c>
      <c r="AB15" s="13">
        <f>SUM($U$15:$AA$15)</f>
        <v>0</v>
      </c>
      <c r="AC15" s="13">
        <f>'TUSD BE'!$AC$15*'TUSD BF'!$AC$58</f>
        <v>0</v>
      </c>
      <c r="AD15" s="13">
        <f>SUM($AC$15:$AC$15)</f>
        <v>0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BF'!$AH$58</f>
        <v>0</v>
      </c>
      <c r="AI15" s="13">
        <f>'TUSD BE'!$AI$15*'TUSD BF'!$AI$58</f>
        <v>0</v>
      </c>
      <c r="AJ15" s="13">
        <f ca="1">'TUSD BE'!$AJ$15*'TUSD BF'!$AJ$58</f>
        <v>0</v>
      </c>
      <c r="AK15" s="13">
        <f ca="1">'TUSD BE'!$AK$15*'TUSD BF'!$AK$58</f>
        <v>0</v>
      </c>
      <c r="AL15" s="13">
        <f ca="1">SUM($AH$15:$AK$15)</f>
        <v>0</v>
      </c>
      <c r="AM15" s="13">
        <f ca="1">SUMIF($L$4:$AL$4,"SUBTOTAL",$L$15:$AL$15)</f>
        <v>0</v>
      </c>
      <c r="AO15" s="26">
        <f ca="1">+'TUSD BE'!$T$15+'TUSD BE'!$AB$15+'TUSD BE'!$AD$15+'TUSD BE'!$AL$15</f>
        <v>17.788132351552896</v>
      </c>
      <c r="AP15" s="26">
        <f ca="1">+'TUSD BE'!$T$15+'TUSD BE'!$AB$15+'TUSD BE'!$AD$15+'TUSD BE'!$AL$15</f>
        <v>17.788132351552896</v>
      </c>
    </row>
    <row r="16" spans="1:42" ht="11.25" customHeight="1" x14ac:dyDescent="0.25">
      <c r="A16" s="109"/>
      <c r="B16" s="109"/>
      <c r="C16" s="109"/>
      <c r="D16" s="109"/>
      <c r="E16" s="23" t="s">
        <v>84</v>
      </c>
      <c r="F16" s="23" t="s">
        <v>25</v>
      </c>
      <c r="G16" s="24" t="s">
        <v>9</v>
      </c>
      <c r="H16" s="24" t="s">
        <v>78</v>
      </c>
      <c r="I16" s="24">
        <f>'MERCADO TUSD'!$U$13+0.00000001</f>
        <v>1E-8</v>
      </c>
      <c r="J16" s="15"/>
      <c r="L16" s="13">
        <f>'TUSD BE'!$L$16*'TUSD BF'!$L$58</f>
        <v>0</v>
      </c>
      <c r="M16" s="13">
        <f>'TUSD BE'!$M$16*'TUSD BF'!$M$58</f>
        <v>0</v>
      </c>
      <c r="N16" s="13">
        <f ca="1">'TUSD BE'!$N$16*'TUSD BF'!$N$58</f>
        <v>0</v>
      </c>
      <c r="O16" s="13">
        <f>'TUSD BE'!$O$16*'TUSD BF'!$O$58</f>
        <v>0</v>
      </c>
      <c r="P16" s="13">
        <f>'TUSD BE'!$P$16*'TUSD BF'!$P$58</f>
        <v>0</v>
      </c>
      <c r="Q16" s="13">
        <f>'TUSD BE'!$Q$16*'TUSD BF'!$Q$58</f>
        <v>0</v>
      </c>
      <c r="R16" s="13">
        <f>'TUSD BE'!$R$16*'TUSD BF'!$R$58</f>
        <v>0</v>
      </c>
      <c r="S16" s="13">
        <f>'TUSD BE'!$R$16*'TUSD BF'!$S$58</f>
        <v>0</v>
      </c>
      <c r="T16" s="13">
        <f ca="1">SUM($L$16:$S$16)</f>
        <v>0</v>
      </c>
      <c r="U16" s="13">
        <f>'TUSD BE'!$U$16*'TUSD BF'!$U$58</f>
        <v>0</v>
      </c>
      <c r="V16" s="13">
        <f>'TUSD BE'!$V$16*'TUSD BF'!$V$58</f>
        <v>0</v>
      </c>
      <c r="W16" s="13">
        <f>'TUSD BE'!$W$16*'TUSD BF'!$W$58</f>
        <v>0</v>
      </c>
      <c r="X16" s="13">
        <f>'TUSD BE'!$X$16*'TUSD BF'!$X$58</f>
        <v>0</v>
      </c>
      <c r="Y16" s="13">
        <f>'TUSD BE'!$Y$16*'TUSD BF'!$Y$58</f>
        <v>0</v>
      </c>
      <c r="Z16" s="13">
        <f>'TUSD BE'!$Z$16*'TUSD BF'!$Z$58</f>
        <v>0</v>
      </c>
      <c r="AA16" s="13">
        <f>'TUSD BE'!$AA$16*'TUSD BF'!$AA$58</f>
        <v>0</v>
      </c>
      <c r="AB16" s="13">
        <f>SUM($U$16:$AA$16)</f>
        <v>0</v>
      </c>
      <c r="AC16" s="13">
        <f>'TUSD BE'!$AC$16*'TUSD BF'!$AC$58</f>
        <v>0</v>
      </c>
      <c r="AD16" s="13">
        <f>SUM($AC$16:$AC$16)</f>
        <v>0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BF'!$AH$58</f>
        <v>0</v>
      </c>
      <c r="AI16" s="13">
        <f>'TUSD BE'!$AI$16*'TUSD BF'!$AI$58</f>
        <v>0</v>
      </c>
      <c r="AJ16" s="13">
        <f ca="1">'TUSD BE'!$AJ$16*'TUSD BF'!$AJ$58</f>
        <v>0</v>
      </c>
      <c r="AK16" s="13">
        <f ca="1">'TUSD BE'!$AK$16*'TUSD BF'!$AK$58</f>
        <v>0</v>
      </c>
      <c r="AL16" s="13">
        <f ca="1">SUM($AH$16:$AK$16)</f>
        <v>0</v>
      </c>
      <c r="AM16" s="13">
        <f ca="1">SUMIF($L$4:$AL$4,"SUBTOTAL",$L$16:$AL$16)</f>
        <v>0</v>
      </c>
      <c r="AO16" s="26">
        <f ca="1">+'TUSD BE'!$T$16+'TUSD BE'!$AB$16+'TUSD BE'!$AD$16+'TUSD BE'!$AL$16</f>
        <v>44.060942755628894</v>
      </c>
      <c r="AP16" s="26">
        <f ca="1">+'TUSD BE'!$T$16+'TUSD BE'!$AB$16+'TUSD BE'!$AD$16+'TUSD BE'!$AL$16</f>
        <v>44.060942755628894</v>
      </c>
    </row>
    <row r="17" spans="1:42" ht="11.25" customHeight="1" x14ac:dyDescent="0.25">
      <c r="A17" s="109" t="s">
        <v>22</v>
      </c>
      <c r="B17" s="109" t="s">
        <v>86</v>
      </c>
      <c r="C17" s="109" t="s">
        <v>24</v>
      </c>
      <c r="D17" s="109" t="s">
        <v>24</v>
      </c>
      <c r="E17" s="109" t="s">
        <v>25</v>
      </c>
      <c r="F17" s="109" t="s">
        <v>25</v>
      </c>
      <c r="G17" s="24" t="s">
        <v>74</v>
      </c>
      <c r="H17" s="24" t="s">
        <v>73</v>
      </c>
      <c r="I17" s="24">
        <f>'MERCADO TUSD'!$U$14</f>
        <v>0</v>
      </c>
      <c r="J17" s="15"/>
      <c r="L17" s="13">
        <f>'TUSD BE'!$L$17*'TUSD BF'!$L$58</f>
        <v>0</v>
      </c>
      <c r="M17" s="13">
        <f>'TUSD BE'!$M$17*'TUSD BF'!$M$58</f>
        <v>0</v>
      </c>
      <c r="N17" s="13">
        <f ca="1">'TUSD BE'!$N$17*'TUSD BF'!$N$58</f>
        <v>0</v>
      </c>
      <c r="O17" s="13">
        <f>'TUSD BE'!$O$17*'TUSD BF'!$O$58</f>
        <v>0</v>
      </c>
      <c r="P17" s="13">
        <f>'TUSD BE'!$P$17*'TUSD BF'!$P$58</f>
        <v>0</v>
      </c>
      <c r="Q17" s="13">
        <f>'TUSD BE'!$Q$17*'TUSD BF'!$Q$58</f>
        <v>0</v>
      </c>
      <c r="R17" s="13">
        <f>'TUSD BE'!$R$17*'TUSD BF'!$R$58</f>
        <v>0</v>
      </c>
      <c r="S17" s="13">
        <f>'TUSD BE'!$R$17*'TUSD BF'!$S$58</f>
        <v>0</v>
      </c>
      <c r="T17" s="13">
        <f ca="1">SUM($L$17:$S$17)</f>
        <v>0</v>
      </c>
      <c r="U17" s="13">
        <f>'TUSD BE'!$U$17*'TUSD BF'!$U$58</f>
        <v>0</v>
      </c>
      <c r="V17" s="13">
        <f>'TUSD BE'!$V$17*'TUSD BF'!$V$58</f>
        <v>0</v>
      </c>
      <c r="W17" s="13">
        <f>'TUSD BE'!$W$17*'TUSD BF'!$W$58</f>
        <v>0</v>
      </c>
      <c r="X17" s="13">
        <f>'TUSD BE'!$X$17*'TUSD BF'!$X$58</f>
        <v>0</v>
      </c>
      <c r="Y17" s="13">
        <f>'TUSD BE'!$Y$17*'TUSD BF'!$Y$58</f>
        <v>0</v>
      </c>
      <c r="Z17" s="13">
        <f>'TUSD BE'!$Z$17*'TUSD BF'!$Z$58</f>
        <v>0</v>
      </c>
      <c r="AA17" s="13">
        <f>'TUSD BE'!$AA$17*'TUSD BF'!$AA$58</f>
        <v>0</v>
      </c>
      <c r="AB17" s="13">
        <f>SUM($U$17:$AA$17)</f>
        <v>0</v>
      </c>
      <c r="AC17" s="13">
        <f>'TUSD BE'!$AC$17*'TUSD BF'!$AC$58</f>
        <v>0</v>
      </c>
      <c r="AD17" s="13">
        <f>SUM($AC$17:$AC$17)</f>
        <v>0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BF'!$AH$58</f>
        <v>0</v>
      </c>
      <c r="AI17" s="13">
        <f>'TUSD BE'!$AI$17*'TUSD BF'!$AI$58</f>
        <v>0</v>
      </c>
      <c r="AJ17" s="13">
        <f ca="1">'TUSD BE'!$AJ$17*'TUSD BF'!$AJ$58</f>
        <v>0</v>
      </c>
      <c r="AK17" s="13">
        <f ca="1">'TUSD BE'!$AK$17*'TUSD BF'!$AK$58</f>
        <v>0</v>
      </c>
      <c r="AL17" s="13">
        <f ca="1">SUM($AH$17:$AK$17)</f>
        <v>0</v>
      </c>
      <c r="AM17" s="13">
        <f ca="1">SUMIF($L$4:$AL$4,"SUBTOTAL",$L$17:$AL$17)</f>
        <v>0</v>
      </c>
      <c r="AO17" s="26">
        <f ca="1">+'TUSD BE'!$T$17+'TUSD BE'!$AB$17+'TUSD BE'!$AD$17+'TUSD BE'!$AL$17</f>
        <v>2048.6368098814273</v>
      </c>
      <c r="AP17" s="26">
        <f ca="1">+'TUSD BE'!$T$17+'TUSD BE'!$AB$17+'TUSD BE'!$AD$17+'TUSD BE'!$AL$17</f>
        <v>2048.6368098814273</v>
      </c>
    </row>
    <row r="18" spans="1:42" ht="11.25" customHeight="1" x14ac:dyDescent="0.25">
      <c r="A18" s="109"/>
      <c r="B18" s="109"/>
      <c r="C18" s="109"/>
      <c r="D18" s="109"/>
      <c r="E18" s="109"/>
      <c r="F18" s="109"/>
      <c r="G18" s="24" t="s">
        <v>85</v>
      </c>
      <c r="H18" s="24" t="s">
        <v>73</v>
      </c>
      <c r="I18" s="24">
        <f>'MERCADO TUSD'!$U$15</f>
        <v>0</v>
      </c>
      <c r="J18" s="15"/>
      <c r="L18" s="13">
        <f>'TUSD BE'!$L$18*'TUSD BF'!$L$58</f>
        <v>0</v>
      </c>
      <c r="M18" s="13">
        <f>'TUSD BE'!$M$18*'TUSD BF'!$M$58</f>
        <v>0</v>
      </c>
      <c r="N18" s="13">
        <f ca="1">'TUSD BE'!$N$18*'TUSD BF'!$N$58</f>
        <v>0</v>
      </c>
      <c r="O18" s="13">
        <f>'TUSD BE'!$O$18*'TUSD BF'!$O$58</f>
        <v>0</v>
      </c>
      <c r="P18" s="13">
        <f>'TUSD BE'!$P$18*'TUSD BF'!$P$58</f>
        <v>0</v>
      </c>
      <c r="Q18" s="13">
        <f>'TUSD BE'!$Q$18*'TUSD BF'!$Q$58</f>
        <v>0</v>
      </c>
      <c r="R18" s="13">
        <f>'TUSD BE'!$R$18*'TUSD BF'!$R$58</f>
        <v>0</v>
      </c>
      <c r="S18" s="13">
        <f>'TUSD BE'!$R$18*'TUSD BF'!$S$58</f>
        <v>0</v>
      </c>
      <c r="T18" s="13">
        <f ca="1">SUM($L$18:$S$18)</f>
        <v>0</v>
      </c>
      <c r="U18" s="13">
        <f>'TUSD BE'!$U$18*'TUSD BF'!$U$58</f>
        <v>0</v>
      </c>
      <c r="V18" s="13">
        <f>'TUSD BE'!$V$18*'TUSD BF'!$V$58</f>
        <v>0</v>
      </c>
      <c r="W18" s="13">
        <f>'TUSD BE'!$W$18*'TUSD BF'!$W$58</f>
        <v>0</v>
      </c>
      <c r="X18" s="13">
        <f>'TUSD BE'!$X$18*'TUSD BF'!$X$58</f>
        <v>0</v>
      </c>
      <c r="Y18" s="13">
        <f>'TUSD BE'!$Y$18*'TUSD BF'!$Y$58</f>
        <v>0</v>
      </c>
      <c r="Z18" s="13">
        <f>'TUSD BE'!$Z$18*'TUSD BF'!$Z$58</f>
        <v>0</v>
      </c>
      <c r="AA18" s="13">
        <f>'TUSD BE'!$AA$18*'TUSD BF'!$AA$58</f>
        <v>0</v>
      </c>
      <c r="AB18" s="13">
        <f>SUM($U$18:$AA$18)</f>
        <v>0</v>
      </c>
      <c r="AC18" s="13">
        <f>'TUSD BE'!$AC$18*'TUSD BF'!$AC$58</f>
        <v>0</v>
      </c>
      <c r="AD18" s="13">
        <f>SUM($AC$18:$AC$18)</f>
        <v>0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BF'!$AH$58</f>
        <v>0</v>
      </c>
      <c r="AI18" s="13">
        <f>'TUSD BE'!$AI$18*'TUSD BF'!$AI$58</f>
        <v>0</v>
      </c>
      <c r="AJ18" s="13">
        <f ca="1">'TUSD BE'!$AJ$18*'TUSD BF'!$AJ$58</f>
        <v>0</v>
      </c>
      <c r="AK18" s="13">
        <f ca="1">'TUSD BE'!$AK$18*'TUSD BF'!$AK$58</f>
        <v>0</v>
      </c>
      <c r="AL18" s="13">
        <f ca="1">SUM($AH$18:$AK$18)</f>
        <v>0</v>
      </c>
      <c r="AM18" s="13">
        <f ca="1">SUMIF($L$4:$AL$4,"SUBTOTAL",$L$18:$AL$18)</f>
        <v>0</v>
      </c>
      <c r="AO18" s="26">
        <f ca="1">+'TUSD BE'!$T$18+'TUSD BE'!$AB$18+'TUSD BE'!$AD$18+'TUSD BE'!$AL$18</f>
        <v>1283.4053531872928</v>
      </c>
      <c r="AP18" s="26">
        <f ca="1">+'TUSD BE'!$T$18+'TUSD BE'!$AB$18+'TUSD BE'!$AD$18+'TUSD BE'!$AL$18</f>
        <v>1283.4053531872928</v>
      </c>
    </row>
    <row r="19" spans="1:42" ht="11.25" customHeight="1" x14ac:dyDescent="0.25">
      <c r="A19" s="109"/>
      <c r="B19" s="109"/>
      <c r="C19" s="109"/>
      <c r="D19" s="109"/>
      <c r="E19" s="109"/>
      <c r="F19" s="109"/>
      <c r="G19" s="24" t="s">
        <v>75</v>
      </c>
      <c r="H19" s="24" t="s">
        <v>73</v>
      </c>
      <c r="I19" s="24">
        <f>'MERCADO TUSD'!$U$16</f>
        <v>0</v>
      </c>
      <c r="J19" s="15"/>
      <c r="L19" s="13">
        <f>'TUSD BE'!$L$19*'TUSD BF'!$L$58</f>
        <v>0</v>
      </c>
      <c r="M19" s="13">
        <f>'TUSD BE'!$M$19*'TUSD BF'!$M$58</f>
        <v>0</v>
      </c>
      <c r="N19" s="13">
        <f ca="1">'TUSD BE'!$N$19*'TUSD BF'!$N$58</f>
        <v>0</v>
      </c>
      <c r="O19" s="13">
        <f>'TUSD BE'!$O$19*'TUSD BF'!$O$58</f>
        <v>0</v>
      </c>
      <c r="P19" s="13">
        <f>'TUSD BE'!$P$19*'TUSD BF'!$P$58</f>
        <v>0</v>
      </c>
      <c r="Q19" s="13">
        <f>'TUSD BE'!$Q$19*'TUSD BF'!$Q$58</f>
        <v>0</v>
      </c>
      <c r="R19" s="13">
        <f>'TUSD BE'!$R$19*'TUSD BF'!$R$58</f>
        <v>0</v>
      </c>
      <c r="S19" s="13">
        <f>'TUSD BE'!$R$19*'TUSD BF'!$S$58</f>
        <v>0</v>
      </c>
      <c r="T19" s="13">
        <f ca="1">SUM($L$19:$S$19)</f>
        <v>0</v>
      </c>
      <c r="U19" s="13">
        <f>'TUSD BE'!$U$19*'TUSD BF'!$U$58</f>
        <v>0</v>
      </c>
      <c r="V19" s="13">
        <f>'TUSD BE'!$V$19*'TUSD BF'!$V$58</f>
        <v>0</v>
      </c>
      <c r="W19" s="13">
        <f>'TUSD BE'!$W$19*'TUSD BF'!$W$58</f>
        <v>0</v>
      </c>
      <c r="X19" s="13">
        <f>'TUSD BE'!$X$19*'TUSD BF'!$X$58</f>
        <v>0</v>
      </c>
      <c r="Y19" s="13">
        <f>'TUSD BE'!$Y$19*'TUSD BF'!$Y$58</f>
        <v>0</v>
      </c>
      <c r="Z19" s="13">
        <f>'TUSD BE'!$Z$19*'TUSD BF'!$Z$58</f>
        <v>0</v>
      </c>
      <c r="AA19" s="13">
        <f>'TUSD BE'!$AA$19*'TUSD BF'!$AA$58</f>
        <v>0</v>
      </c>
      <c r="AB19" s="13">
        <f>SUM($U$19:$AA$19)</f>
        <v>0</v>
      </c>
      <c r="AC19" s="13">
        <f>'TUSD BE'!$AC$19*'TUSD BF'!$AC$58</f>
        <v>0</v>
      </c>
      <c r="AD19" s="13">
        <f>SUM($AC$19:$AC$19)</f>
        <v>0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BF'!$AH$58</f>
        <v>0</v>
      </c>
      <c r="AI19" s="13">
        <f>'TUSD BE'!$AI$19*'TUSD BF'!$AI$58</f>
        <v>0</v>
      </c>
      <c r="AJ19" s="13">
        <f ca="1">'TUSD BE'!$AJ$19*'TUSD BF'!$AJ$58</f>
        <v>0</v>
      </c>
      <c r="AK19" s="13">
        <f ca="1">'TUSD BE'!$AK$19*'TUSD BF'!$AK$58</f>
        <v>0</v>
      </c>
      <c r="AL19" s="13">
        <f ca="1">SUM($AH$19:$AK$19)</f>
        <v>0</v>
      </c>
      <c r="AM19" s="13">
        <f ca="1">SUMIF($L$4:$AL$4,"SUBTOTAL",$L$19:$AL$19)</f>
        <v>0</v>
      </c>
      <c r="AO19" s="26">
        <f ca="1">+'TUSD BE'!$T$19+'TUSD BE'!$AB$19+'TUSD BE'!$AD$19+'TUSD BE'!$AL$19</f>
        <v>518.17390784820645</v>
      </c>
      <c r="AP19" s="26">
        <f ca="1">+'TUSD BE'!$T$19+'TUSD BE'!$AB$19+'TUSD BE'!$AD$19+'TUSD BE'!$AL$19</f>
        <v>518.17390784820645</v>
      </c>
    </row>
    <row r="20" spans="1:42" ht="11.25" customHeight="1" x14ac:dyDescent="0.25">
      <c r="A20" s="109"/>
      <c r="B20" s="109" t="s">
        <v>23</v>
      </c>
      <c r="C20" s="109" t="s">
        <v>24</v>
      </c>
      <c r="D20" s="23" t="s">
        <v>24</v>
      </c>
      <c r="E20" s="23" t="s">
        <v>25</v>
      </c>
      <c r="F20" s="23" t="s">
        <v>25</v>
      </c>
      <c r="G20" s="24" t="s">
        <v>77</v>
      </c>
      <c r="H20" s="24" t="s">
        <v>73</v>
      </c>
      <c r="I20" s="24">
        <f>'MERCADO TUSD'!$U$17</f>
        <v>4803.848</v>
      </c>
      <c r="J20" s="15"/>
      <c r="L20" s="13">
        <f>'TUSD BE'!$L$20*'TUSD BF'!$L$58</f>
        <v>0</v>
      </c>
      <c r="M20" s="13">
        <f>'TUSD BE'!$M$20*'TUSD BF'!$M$58</f>
        <v>0</v>
      </c>
      <c r="N20" s="13">
        <f ca="1">'TUSD BE'!$N$20*'TUSD BF'!$N$58</f>
        <v>0</v>
      </c>
      <c r="O20" s="13">
        <f>'TUSD BE'!$O$20*'TUSD BF'!$O$58</f>
        <v>0</v>
      </c>
      <c r="P20" s="13">
        <f>'TUSD BE'!$P$20*'TUSD BF'!$P$58</f>
        <v>0</v>
      </c>
      <c r="Q20" s="13">
        <f>'TUSD BE'!$Q$20*'TUSD BF'!$Q$58</f>
        <v>0</v>
      </c>
      <c r="R20" s="13">
        <f>'TUSD BE'!$R$20*'TUSD BF'!$R$58</f>
        <v>0</v>
      </c>
      <c r="S20" s="13">
        <f>'TUSD BE'!$R$20*'TUSD BF'!$S$58</f>
        <v>0</v>
      </c>
      <c r="T20" s="13">
        <f ca="1">SUM($L$20:$S$20)</f>
        <v>0</v>
      </c>
      <c r="U20" s="13">
        <f>'TUSD BE'!$U$20*'TUSD BF'!$U$58</f>
        <v>0</v>
      </c>
      <c r="V20" s="13">
        <f>'TUSD BE'!$V$20*'TUSD BF'!$V$58</f>
        <v>0</v>
      </c>
      <c r="W20" s="13">
        <f>'TUSD BE'!$W$20*'TUSD BF'!$W$58</f>
        <v>0</v>
      </c>
      <c r="X20" s="13">
        <f>'TUSD BE'!$X$20*'TUSD BF'!$X$58</f>
        <v>0</v>
      </c>
      <c r="Y20" s="13">
        <f>'TUSD BE'!$Y$20*'TUSD BF'!$Y$58</f>
        <v>0</v>
      </c>
      <c r="Z20" s="13">
        <f>'TUSD BE'!$Z$20*'TUSD BF'!$Z$58</f>
        <v>0</v>
      </c>
      <c r="AA20" s="13">
        <f>'TUSD BE'!$AA$20*'TUSD BF'!$AA$58</f>
        <v>0</v>
      </c>
      <c r="AB20" s="13">
        <f>SUM($U$20:$AA$20)</f>
        <v>0</v>
      </c>
      <c r="AC20" s="13">
        <f>'TUSD BE'!$AC$20*'TUSD BF'!$AC$58</f>
        <v>0</v>
      </c>
      <c r="AD20" s="13">
        <f>SUM($AC$20:$AC$20)</f>
        <v>0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BF'!$AH$58</f>
        <v>0</v>
      </c>
      <c r="AI20" s="13">
        <f>'TUSD BE'!$AI$20*'TUSD BF'!$AI$58</f>
        <v>0</v>
      </c>
      <c r="AJ20" s="13">
        <f ca="1">'TUSD BE'!$AJ$20*'TUSD BF'!$AJ$58</f>
        <v>0</v>
      </c>
      <c r="AK20" s="13">
        <f ca="1">'TUSD BE'!$AK$20*'TUSD BF'!$AK$58</f>
        <v>0</v>
      </c>
      <c r="AL20" s="13">
        <f ca="1">SUM($AH$20:$AK$20)</f>
        <v>0</v>
      </c>
      <c r="AM20" s="13">
        <f ca="1">SUMIF($L$4:$AL$4,"SUBTOTAL",$L$20:$AL$20)</f>
        <v>0</v>
      </c>
      <c r="AO20" s="26">
        <f ca="1">+'TUSD BE'!$T$20+'TUSD BE'!$AB$20+'TUSD BE'!$AD$20+'TUSD BE'!$AL$20</f>
        <v>752.68038638225505</v>
      </c>
      <c r="AP20" s="26">
        <f ca="1">+'TUSD BE'!$T$20+'TUSD BE'!$AB$20+'TUSD BE'!$AD$20+'TUSD BE'!$AL$20</f>
        <v>752.68038638225505</v>
      </c>
    </row>
    <row r="21" spans="1:42" ht="11.25" customHeight="1" x14ac:dyDescent="0.25">
      <c r="A21" s="109"/>
      <c r="B21" s="109"/>
      <c r="C21" s="109"/>
      <c r="D21" s="23" t="s">
        <v>29</v>
      </c>
      <c r="E21" s="23" t="s">
        <v>25</v>
      </c>
      <c r="F21" s="23" t="s">
        <v>25</v>
      </c>
      <c r="G21" s="24" t="s">
        <v>77</v>
      </c>
      <c r="H21" s="24" t="s">
        <v>73</v>
      </c>
      <c r="I21" s="24">
        <f>'MERCADO TUSD'!$U$18</f>
        <v>28.29</v>
      </c>
      <c r="J21" s="15"/>
      <c r="L21" s="13">
        <f>'TUSD BE'!$L$21*'TUSD BF'!$L$58</f>
        <v>0</v>
      </c>
      <c r="M21" s="13">
        <f>'TUSD BE'!$M$21*'TUSD BF'!$M$58</f>
        <v>0</v>
      </c>
      <c r="N21" s="13">
        <f ca="1">'TUSD BE'!$N$21*'TUSD BF'!$N$58</f>
        <v>0</v>
      </c>
      <c r="O21" s="13">
        <f>'TUSD BE'!$O$21*'TUSD BF'!$O$58</f>
        <v>0</v>
      </c>
      <c r="P21" s="13">
        <f>'TUSD BE'!$P$21*'TUSD BF'!$P$58</f>
        <v>0</v>
      </c>
      <c r="Q21" s="13">
        <f>'TUSD BE'!$Q$21*'TUSD BF'!$Q$58</f>
        <v>0</v>
      </c>
      <c r="R21" s="13">
        <f>'TUSD BE'!$R$21*'TUSD BF'!$R$58</f>
        <v>0</v>
      </c>
      <c r="S21" s="13">
        <f>'TUSD BE'!$R$21*'TUSD BF'!$S$58</f>
        <v>0</v>
      </c>
      <c r="T21" s="13">
        <f ca="1">SUM($L$21:$S$21)</f>
        <v>0</v>
      </c>
      <c r="U21" s="13">
        <f>'TUSD BE'!$U$21*'TUSD BF'!$U$58</f>
        <v>0</v>
      </c>
      <c r="V21" s="13">
        <f>'TUSD BE'!$V$21*'TUSD BF'!$V$58</f>
        <v>0</v>
      </c>
      <c r="W21" s="13">
        <f>'TUSD BE'!$W$21*'TUSD BF'!$W$58</f>
        <v>0</v>
      </c>
      <c r="X21" s="13">
        <f>'TUSD BE'!$X$21*'TUSD BF'!$X$58</f>
        <v>0</v>
      </c>
      <c r="Y21" s="13">
        <f>'TUSD BE'!$Y$21*'TUSD BF'!$Y$58</f>
        <v>0</v>
      </c>
      <c r="Z21" s="13">
        <f>'TUSD BE'!$Z$21*'TUSD BF'!$Z$58</f>
        <v>0</v>
      </c>
      <c r="AA21" s="13">
        <f>'TUSD BE'!$AA$21*'TUSD BF'!$AA$58</f>
        <v>0</v>
      </c>
      <c r="AB21" s="13">
        <f>SUM($U$21:$AA$21)</f>
        <v>0</v>
      </c>
      <c r="AC21" s="13">
        <f>'TUSD BE'!$AC$21*'TUSD BF'!$AC$58</f>
        <v>0</v>
      </c>
      <c r="AD21" s="13">
        <f>SUM($AC$21:$AC$21)</f>
        <v>0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BF'!$AH$58</f>
        <v>0</v>
      </c>
      <c r="AI21" s="13">
        <f>'TUSD BE'!$AI$21*'TUSD BF'!$AI$58</f>
        <v>0</v>
      </c>
      <c r="AJ21" s="13">
        <f ca="1">'TUSD BE'!$AJ$21*'TUSD BF'!$AJ$58</f>
        <v>0</v>
      </c>
      <c r="AK21" s="13">
        <f ca="1">'TUSD BE'!$AK$21*'TUSD BF'!$AK$58</f>
        <v>0</v>
      </c>
      <c r="AL21" s="13">
        <f ca="1">SUM($AH$21:$AK$21)</f>
        <v>0</v>
      </c>
      <c r="AM21" s="13">
        <f ca="1">SUMIF($L$4:$AL$4,"SUBTOTAL",$L$21:$AL$21)</f>
        <v>0</v>
      </c>
      <c r="AO21" s="26">
        <f ca="1">+'TUSD BE'!$T$21+'TUSD BE'!$AB$21+'TUSD BE'!$AD$21+'TUSD BE'!$AL$21</f>
        <v>648.55407034005043</v>
      </c>
      <c r="AP21" s="26">
        <f ca="1">+'TUSD BE'!$T$21+'TUSD BE'!$AB$21+'TUSD BE'!$AD$21+'TUSD BE'!$AL$21</f>
        <v>648.55407034005043</v>
      </c>
    </row>
    <row r="22" spans="1:42" ht="11.25" customHeight="1" x14ac:dyDescent="0.25">
      <c r="A22" s="109"/>
      <c r="B22" s="109"/>
      <c r="C22" s="109"/>
      <c r="D22" s="23" t="s">
        <v>30</v>
      </c>
      <c r="E22" s="23" t="s">
        <v>25</v>
      </c>
      <c r="F22" s="23" t="s">
        <v>25</v>
      </c>
      <c r="G22" s="24" t="s">
        <v>77</v>
      </c>
      <c r="H22" s="24" t="s">
        <v>73</v>
      </c>
      <c r="I22" s="24">
        <f>'MERCADO TUSD'!$U$19</f>
        <v>50.516000000000005</v>
      </c>
      <c r="J22" s="15"/>
      <c r="L22" s="13">
        <f>'TUSD BE'!$L$22*'TUSD BF'!$L$58</f>
        <v>0</v>
      </c>
      <c r="M22" s="13">
        <f>'TUSD BE'!$M$22*'TUSD BF'!$M$58</f>
        <v>0</v>
      </c>
      <c r="N22" s="13">
        <f ca="1">'TUSD BE'!$N$22*'TUSD BF'!$N$58</f>
        <v>0</v>
      </c>
      <c r="O22" s="13">
        <f>'TUSD BE'!$O$22*'TUSD BF'!$O$58</f>
        <v>0</v>
      </c>
      <c r="P22" s="13">
        <f>'TUSD BE'!$P$22*'TUSD BF'!$P$58</f>
        <v>0</v>
      </c>
      <c r="Q22" s="13">
        <f>'TUSD BE'!$Q$22*'TUSD BF'!$Q$58</f>
        <v>0</v>
      </c>
      <c r="R22" s="13">
        <f>'TUSD BE'!$R$22*'TUSD BF'!$R$58</f>
        <v>0</v>
      </c>
      <c r="S22" s="13">
        <f>'TUSD BE'!$R$22*'TUSD BF'!$S$58</f>
        <v>0</v>
      </c>
      <c r="T22" s="13">
        <f ca="1">SUM($L$22:$S$22)</f>
        <v>0</v>
      </c>
      <c r="U22" s="13">
        <f>'TUSD BE'!$U$22*'TUSD BF'!$U$58</f>
        <v>0</v>
      </c>
      <c r="V22" s="13">
        <f>'TUSD BE'!$V$22*'TUSD BF'!$V$58</f>
        <v>0</v>
      </c>
      <c r="W22" s="13">
        <f>'TUSD BE'!$W$22*'TUSD BF'!$W$58</f>
        <v>0</v>
      </c>
      <c r="X22" s="13">
        <f>'TUSD BE'!$X$22*'TUSD BF'!$X$58</f>
        <v>0</v>
      </c>
      <c r="Y22" s="13">
        <f>'TUSD BE'!$Y$22*'TUSD BF'!$Y$58</f>
        <v>0</v>
      </c>
      <c r="Z22" s="13">
        <f>'TUSD BE'!$Z$22*'TUSD BF'!$Z$58</f>
        <v>0</v>
      </c>
      <c r="AA22" s="13">
        <f>'TUSD BE'!$AA$22*'TUSD BF'!$AA$58</f>
        <v>0</v>
      </c>
      <c r="AB22" s="13">
        <f>SUM($U$22:$AA$22)</f>
        <v>0</v>
      </c>
      <c r="AC22" s="13">
        <f>'TUSD BE'!$AC$22*'TUSD BF'!$AC$58</f>
        <v>0</v>
      </c>
      <c r="AD22" s="13">
        <f>SUM($AC$22:$AC$22)</f>
        <v>0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BF'!$AH$58</f>
        <v>0</v>
      </c>
      <c r="AI22" s="13">
        <f>'TUSD BE'!$AI$22*'TUSD BF'!$AI$58</f>
        <v>0</v>
      </c>
      <c r="AJ22" s="13">
        <f ca="1">'TUSD BE'!$AJ$22*'TUSD BF'!$AJ$58</f>
        <v>0</v>
      </c>
      <c r="AK22" s="13">
        <f ca="1">'TUSD BE'!$AK$22*'TUSD BF'!$AK$58</f>
        <v>0</v>
      </c>
      <c r="AL22" s="13">
        <f ca="1">SUM($AH$22:$AK$22)</f>
        <v>0</v>
      </c>
      <c r="AM22" s="13">
        <f ca="1">SUMIF($L$4:$AL$4,"SUBTOTAL",$L$22:$AL$22)</f>
        <v>0</v>
      </c>
      <c r="AO22" s="26">
        <f ca="1">+'TUSD BE'!$T$22+'TUSD BE'!$AB$22+'TUSD BE'!$AD$22+'TUSD BE'!$AL$22</f>
        <v>648.55407034005043</v>
      </c>
      <c r="AP22" s="26">
        <f ca="1">+'TUSD BE'!$T$22+'TUSD BE'!$AB$22+'TUSD BE'!$AD$22+'TUSD BE'!$AL$22</f>
        <v>648.55407034005043</v>
      </c>
    </row>
    <row r="23" spans="1:42" ht="11.25" customHeight="1" x14ac:dyDescent="0.25">
      <c r="A23" s="109"/>
      <c r="B23" s="109"/>
      <c r="C23" s="109"/>
      <c r="D23" s="23" t="s">
        <v>31</v>
      </c>
      <c r="E23" s="23" t="s">
        <v>25</v>
      </c>
      <c r="F23" s="23" t="s">
        <v>25</v>
      </c>
      <c r="G23" s="24" t="s">
        <v>77</v>
      </c>
      <c r="H23" s="24" t="s">
        <v>73</v>
      </c>
      <c r="I23" s="24">
        <f>'MERCADO TUSD'!$U$20</f>
        <v>39.111000000000004</v>
      </c>
      <c r="J23" s="15"/>
      <c r="L23" s="13">
        <f>'TUSD BE'!$L$23*'TUSD BF'!$L$58</f>
        <v>0</v>
      </c>
      <c r="M23" s="13">
        <f>'TUSD BE'!$M$23*'TUSD BF'!$M$58</f>
        <v>0</v>
      </c>
      <c r="N23" s="13">
        <f ca="1">'TUSD BE'!$N$23*'TUSD BF'!$N$58</f>
        <v>0</v>
      </c>
      <c r="O23" s="13">
        <f>'TUSD BE'!$O$23*'TUSD BF'!$O$58</f>
        <v>0</v>
      </c>
      <c r="P23" s="13">
        <f>'TUSD BE'!$P$23*'TUSD BF'!$P$58</f>
        <v>0</v>
      </c>
      <c r="Q23" s="13">
        <f>'TUSD BE'!$Q$23*'TUSD BF'!$Q$58</f>
        <v>0</v>
      </c>
      <c r="R23" s="13">
        <f>'TUSD BE'!$R$23*'TUSD BF'!$R$58</f>
        <v>0</v>
      </c>
      <c r="S23" s="13">
        <f>'TUSD BE'!$R$23*'TUSD BF'!$S$58</f>
        <v>0</v>
      </c>
      <c r="T23" s="13">
        <f ca="1">SUM($L$23:$S$23)</f>
        <v>0</v>
      </c>
      <c r="U23" s="13">
        <f>'TUSD BE'!$U$23*'TUSD BF'!$U$58</f>
        <v>0</v>
      </c>
      <c r="V23" s="13">
        <f>'TUSD BE'!$V$23*'TUSD BF'!$V$58</f>
        <v>0</v>
      </c>
      <c r="W23" s="13">
        <f>'TUSD BE'!$W$23*'TUSD BF'!$W$58</f>
        <v>0</v>
      </c>
      <c r="X23" s="13">
        <f>'TUSD BE'!$X$23*'TUSD BF'!$X$58</f>
        <v>0</v>
      </c>
      <c r="Y23" s="13">
        <f>'TUSD BE'!$Y$23*'TUSD BF'!$Y$58</f>
        <v>0</v>
      </c>
      <c r="Z23" s="13">
        <f>'TUSD BE'!$Z$23*'TUSD BF'!$Z$58</f>
        <v>0</v>
      </c>
      <c r="AA23" s="13">
        <f>'TUSD BE'!$AA$23*'TUSD BF'!$AA$58</f>
        <v>0</v>
      </c>
      <c r="AB23" s="13">
        <f>SUM($U$23:$AA$23)</f>
        <v>0</v>
      </c>
      <c r="AC23" s="13">
        <f>'TUSD BE'!$AC$23*'TUSD BF'!$AC$58</f>
        <v>0</v>
      </c>
      <c r="AD23" s="13">
        <f>SUM($AC$23:$AC$23)</f>
        <v>0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BF'!$AH$58</f>
        <v>0</v>
      </c>
      <c r="AI23" s="13">
        <f>'TUSD BE'!$AI$23*'TUSD BF'!$AI$58</f>
        <v>0</v>
      </c>
      <c r="AJ23" s="13">
        <f ca="1">'TUSD BE'!$AJ$23*'TUSD BF'!$AJ$58</f>
        <v>0</v>
      </c>
      <c r="AK23" s="13">
        <f ca="1">'TUSD BE'!$AK$23*'TUSD BF'!$AK$58</f>
        <v>0</v>
      </c>
      <c r="AL23" s="13">
        <f ca="1">SUM($AH$23:$AK$23)</f>
        <v>0</v>
      </c>
      <c r="AM23" s="13">
        <f ca="1">SUMIF($L$4:$AL$4,"SUBTOTAL",$L$23:$AL$23)</f>
        <v>0</v>
      </c>
      <c r="AO23" s="26">
        <f ca="1">+'TUSD BE'!$T$23+'TUSD BE'!$AB$23+'TUSD BE'!$AD$23+'TUSD BE'!$AL$23</f>
        <v>648.55407034005043</v>
      </c>
      <c r="AP23" s="26">
        <f ca="1">+'TUSD BE'!$T$23+'TUSD BE'!$AB$23+'TUSD BE'!$AD$23+'TUSD BE'!$AL$23</f>
        <v>648.55407034005043</v>
      </c>
    </row>
    <row r="24" spans="1:42" ht="11.25" customHeight="1" x14ac:dyDescent="0.25">
      <c r="A24" s="109"/>
      <c r="B24" s="109"/>
      <c r="C24" s="109"/>
      <c r="D24" s="23" t="s">
        <v>32</v>
      </c>
      <c r="E24" s="23" t="s">
        <v>25</v>
      </c>
      <c r="F24" s="23" t="s">
        <v>25</v>
      </c>
      <c r="G24" s="24" t="s">
        <v>77</v>
      </c>
      <c r="H24" s="24" t="s">
        <v>73</v>
      </c>
      <c r="I24" s="24">
        <f>'MERCADO TUSD'!$U$21</f>
        <v>10.074999999999999</v>
      </c>
      <c r="J24" s="15"/>
      <c r="L24" s="13">
        <f>'TUSD BE'!$L$24*'TUSD BF'!$L$58</f>
        <v>0</v>
      </c>
      <c r="M24" s="13">
        <f>'TUSD BE'!$M$24*'TUSD BF'!$M$58</f>
        <v>0</v>
      </c>
      <c r="N24" s="13">
        <f ca="1">'TUSD BE'!$N$24*'TUSD BF'!$N$58</f>
        <v>0</v>
      </c>
      <c r="O24" s="13">
        <f>'TUSD BE'!$O$24*'TUSD BF'!$O$58</f>
        <v>0</v>
      </c>
      <c r="P24" s="13">
        <f>'TUSD BE'!$P$24*'TUSD BF'!$P$58</f>
        <v>0</v>
      </c>
      <c r="Q24" s="13">
        <f>'TUSD BE'!$Q$24*'TUSD BF'!$Q$58</f>
        <v>0</v>
      </c>
      <c r="R24" s="13">
        <f>'TUSD BE'!$R$24*'TUSD BF'!$R$58</f>
        <v>0</v>
      </c>
      <c r="S24" s="13">
        <f>'TUSD BE'!$R$24*'TUSD BF'!$S$58</f>
        <v>0</v>
      </c>
      <c r="T24" s="13">
        <f ca="1">SUM($L$24:$S$24)</f>
        <v>0</v>
      </c>
      <c r="U24" s="13">
        <f>'TUSD BE'!$U$24*'TUSD BF'!$U$58</f>
        <v>0</v>
      </c>
      <c r="V24" s="13">
        <f>'TUSD BE'!$V$24*'TUSD BF'!$V$58</f>
        <v>0</v>
      </c>
      <c r="W24" s="13">
        <f>'TUSD BE'!$W$24*'TUSD BF'!$W$58</f>
        <v>0</v>
      </c>
      <c r="X24" s="13">
        <f>'TUSD BE'!$X$24*'TUSD BF'!$X$58</f>
        <v>0</v>
      </c>
      <c r="Y24" s="13">
        <f>'TUSD BE'!$Y$24*'TUSD BF'!$Y$58</f>
        <v>0</v>
      </c>
      <c r="Z24" s="13">
        <f>'TUSD BE'!$Z$24*'TUSD BF'!$Z$58</f>
        <v>0</v>
      </c>
      <c r="AA24" s="13">
        <f>'TUSD BE'!$AA$24*'TUSD BF'!$AA$58</f>
        <v>0</v>
      </c>
      <c r="AB24" s="13">
        <f>SUM($U$24:$AA$24)</f>
        <v>0</v>
      </c>
      <c r="AC24" s="13">
        <f>'TUSD BE'!$AC$24*'TUSD BF'!$AC$58</f>
        <v>0</v>
      </c>
      <c r="AD24" s="13">
        <f>SUM($AC$24:$AC$24)</f>
        <v>0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BF'!$AH$58</f>
        <v>0</v>
      </c>
      <c r="AI24" s="13">
        <f>'TUSD BE'!$AI$24*'TUSD BF'!$AI$58</f>
        <v>0</v>
      </c>
      <c r="AJ24" s="13">
        <f ca="1">'TUSD BE'!$AJ$24*'TUSD BF'!$AJ$58</f>
        <v>0</v>
      </c>
      <c r="AK24" s="13">
        <f ca="1">'TUSD BE'!$AK$24*'TUSD BF'!$AK$58</f>
        <v>0</v>
      </c>
      <c r="AL24" s="13">
        <f ca="1">SUM($AH$24:$AK$24)</f>
        <v>0</v>
      </c>
      <c r="AM24" s="13">
        <f ca="1">SUMIF($L$4:$AL$4,"SUBTOTAL",$L$24:$AL$24)</f>
        <v>0</v>
      </c>
      <c r="AO24" s="26">
        <f ca="1">+'TUSD BE'!$T$24+'TUSD BE'!$AB$24+'TUSD BE'!$AD$24+'TUSD BE'!$AL$24</f>
        <v>648.55407034005043</v>
      </c>
      <c r="AP24" s="26">
        <f ca="1">+'TUSD BE'!$T$24+'TUSD BE'!$AB$24+'TUSD BE'!$AD$24+'TUSD BE'!$AL$24</f>
        <v>648.55407034005043</v>
      </c>
    </row>
    <row r="25" spans="1:42" ht="11.25" customHeight="1" x14ac:dyDescent="0.25">
      <c r="A25" s="109"/>
      <c r="B25" s="109" t="s">
        <v>88</v>
      </c>
      <c r="C25" s="109" t="s">
        <v>24</v>
      </c>
      <c r="D25" s="23" t="s">
        <v>24</v>
      </c>
      <c r="E25" s="23" t="s">
        <v>25</v>
      </c>
      <c r="F25" s="23" t="s">
        <v>25</v>
      </c>
      <c r="G25" s="24" t="s">
        <v>77</v>
      </c>
      <c r="H25" s="24" t="s">
        <v>73</v>
      </c>
      <c r="I25" s="24">
        <f>'MERCADO TUSD'!$U$22</f>
        <v>0</v>
      </c>
      <c r="J25" s="15"/>
      <c r="L25" s="13">
        <f>'TUSD BE'!$L$25*'TUSD BF'!$L$58</f>
        <v>0</v>
      </c>
      <c r="M25" s="13">
        <f>'TUSD BE'!$M$25*'TUSD BF'!$M$58</f>
        <v>0</v>
      </c>
      <c r="N25" s="13">
        <f ca="1">'TUSD BE'!$N$25*'TUSD BF'!$N$58</f>
        <v>0</v>
      </c>
      <c r="O25" s="13">
        <f>'TUSD BE'!$O$25*'TUSD BF'!$O$58</f>
        <v>0</v>
      </c>
      <c r="P25" s="13">
        <f>'TUSD BE'!$P$25*'TUSD BF'!$P$58</f>
        <v>0</v>
      </c>
      <c r="Q25" s="13">
        <f>'TUSD BE'!$Q$25*'TUSD BF'!$Q$58</f>
        <v>0</v>
      </c>
      <c r="R25" s="13">
        <f>'TUSD BE'!$R$25*'TUSD BF'!$R$58</f>
        <v>0</v>
      </c>
      <c r="S25" s="13">
        <f>'TUSD BE'!$R$25*'TUSD BF'!$S$58</f>
        <v>0</v>
      </c>
      <c r="T25" s="13">
        <f ca="1">SUM($L$25:$S$25)</f>
        <v>0</v>
      </c>
      <c r="U25" s="13">
        <f>'TUSD BE'!$U$25*'TUSD BF'!$U$58</f>
        <v>0</v>
      </c>
      <c r="V25" s="13">
        <f>'TUSD BE'!$V$25*'TUSD BF'!$V$58</f>
        <v>0</v>
      </c>
      <c r="W25" s="13">
        <f>'TUSD BE'!$W$25*'TUSD BF'!$W$58</f>
        <v>0</v>
      </c>
      <c r="X25" s="13">
        <f>'TUSD BE'!$X$25*'TUSD BF'!$X$58</f>
        <v>0</v>
      </c>
      <c r="Y25" s="13">
        <f>'TUSD BE'!$Y$25*'TUSD BF'!$Y$58</f>
        <v>0</v>
      </c>
      <c r="Z25" s="13">
        <f>'TUSD BE'!$Z$25*'TUSD BF'!$Z$58</f>
        <v>0</v>
      </c>
      <c r="AA25" s="13">
        <f>'TUSD BE'!$AA$25*'TUSD BF'!$AA$58</f>
        <v>0</v>
      </c>
      <c r="AB25" s="13">
        <f>SUM($U$25:$AA$25)</f>
        <v>0</v>
      </c>
      <c r="AC25" s="13">
        <f>'TUSD BE'!$AC$25*'TUSD BF'!$AC$58</f>
        <v>0</v>
      </c>
      <c r="AD25" s="13">
        <f>SUM($AC$25:$AC$25)</f>
        <v>0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BF'!$AH$58</f>
        <v>0</v>
      </c>
      <c r="AI25" s="13">
        <f>'TUSD BE'!$AI$25*'TUSD BF'!$AI$58</f>
        <v>0</v>
      </c>
      <c r="AJ25" s="13">
        <f ca="1">'TUSD BE'!$AJ$25*'TUSD BF'!$AJ$58</f>
        <v>0</v>
      </c>
      <c r="AK25" s="13">
        <f ca="1">'TUSD BE'!$AK$25*'TUSD BF'!$AK$58</f>
        <v>0</v>
      </c>
      <c r="AL25" s="13">
        <f ca="1">SUM($AH$25:$AK$25)</f>
        <v>0</v>
      </c>
      <c r="AM25" s="13">
        <f ca="1">SUMIF($L$4:$AL$4,"SUBTOTAL",$L$25:$AL$25)</f>
        <v>0</v>
      </c>
      <c r="AO25" s="26">
        <f ca="1">+'TUSD BE'!$T$25+'TUSD BE'!$AB$25+'TUSD BE'!$AD$25+'TUSD BE'!$AL$25</f>
        <v>752.68038638225505</v>
      </c>
      <c r="AP25" s="26">
        <f ca="1">+'TUSD BE'!$T$25+'TUSD BE'!$AB$25+'TUSD BE'!$AD$25+'TUSD BE'!$AL$25</f>
        <v>752.68038638225505</v>
      </c>
    </row>
    <row r="26" spans="1:42" ht="11.25" customHeight="1" x14ac:dyDescent="0.25">
      <c r="A26" s="109"/>
      <c r="B26" s="109"/>
      <c r="C26" s="109"/>
      <c r="D26" s="23" t="s">
        <v>29</v>
      </c>
      <c r="E26" s="23" t="s">
        <v>25</v>
      </c>
      <c r="F26" s="23" t="s">
        <v>25</v>
      </c>
      <c r="G26" s="24" t="s">
        <v>77</v>
      </c>
      <c r="H26" s="24" t="s">
        <v>73</v>
      </c>
      <c r="I26" s="24">
        <f>'MERCADO TUSD'!$U$23</f>
        <v>0</v>
      </c>
      <c r="J26" s="15"/>
      <c r="L26" s="13">
        <f>'TUSD BE'!$L$26*'TUSD BF'!$L$58</f>
        <v>0</v>
      </c>
      <c r="M26" s="13">
        <f>'TUSD BE'!$M$26*'TUSD BF'!$M$58</f>
        <v>0</v>
      </c>
      <c r="N26" s="13">
        <f ca="1">'TUSD BE'!$N$26*'TUSD BF'!$N$58</f>
        <v>0</v>
      </c>
      <c r="O26" s="13">
        <f>'TUSD BE'!$O$26*'TUSD BF'!$O$58</f>
        <v>0</v>
      </c>
      <c r="P26" s="13">
        <f>'TUSD BE'!$P$26*'TUSD BF'!$P$58</f>
        <v>0</v>
      </c>
      <c r="Q26" s="13">
        <f>'TUSD BE'!$Q$26*'TUSD BF'!$Q$58</f>
        <v>0</v>
      </c>
      <c r="R26" s="13">
        <f>'TUSD BE'!$R$26*'TUSD BF'!$R$58</f>
        <v>0</v>
      </c>
      <c r="S26" s="13">
        <f>'TUSD BE'!$R$26*'TUSD BF'!$S$58</f>
        <v>0</v>
      </c>
      <c r="T26" s="13">
        <f ca="1">SUM($L$26:$S$26)</f>
        <v>0</v>
      </c>
      <c r="U26" s="13">
        <f>'TUSD BE'!$U$26*'TUSD BF'!$U$58</f>
        <v>0</v>
      </c>
      <c r="V26" s="13">
        <f>'TUSD BE'!$V$26*'TUSD BF'!$V$58</f>
        <v>0</v>
      </c>
      <c r="W26" s="13">
        <f>'TUSD BE'!$W$26*'TUSD BF'!$W$58</f>
        <v>0</v>
      </c>
      <c r="X26" s="13">
        <f>'TUSD BE'!$X$26*'TUSD BF'!$X$58</f>
        <v>0</v>
      </c>
      <c r="Y26" s="13">
        <f>'TUSD BE'!$Y$26*'TUSD BF'!$Y$58</f>
        <v>0</v>
      </c>
      <c r="Z26" s="13">
        <f>'TUSD BE'!$Z$26*'TUSD BF'!$Z$58</f>
        <v>0</v>
      </c>
      <c r="AA26" s="13">
        <f>'TUSD BE'!$AA$26*'TUSD BF'!$AA$58</f>
        <v>0</v>
      </c>
      <c r="AB26" s="13">
        <f>SUM($U$26:$AA$26)</f>
        <v>0</v>
      </c>
      <c r="AC26" s="13">
        <f>'TUSD BE'!$AC$26*'TUSD BF'!$AC$58</f>
        <v>0</v>
      </c>
      <c r="AD26" s="13">
        <f>SUM($AC$26:$AC$26)</f>
        <v>0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BF'!$AH$58</f>
        <v>0</v>
      </c>
      <c r="AI26" s="13">
        <f>'TUSD BE'!$AI$26*'TUSD BF'!$AI$58</f>
        <v>0</v>
      </c>
      <c r="AJ26" s="13">
        <f ca="1">'TUSD BE'!$AJ$26*'TUSD BF'!$AJ$58</f>
        <v>0</v>
      </c>
      <c r="AK26" s="13">
        <f ca="1">'TUSD BE'!$AK$26*'TUSD BF'!$AK$58</f>
        <v>0</v>
      </c>
      <c r="AL26" s="13">
        <f ca="1">SUM($AH$26:$AK$26)</f>
        <v>0</v>
      </c>
      <c r="AM26" s="13">
        <f ca="1">SUMIF($L$4:$AL$4,"SUBTOTAL",$L$26:$AL$26)</f>
        <v>0</v>
      </c>
      <c r="AO26" s="26">
        <f ca="1">+'TUSD BE'!$T$26+'TUSD BE'!$AB$26+'TUSD BE'!$AD$26+'TUSD BE'!$AL$26</f>
        <v>648.55407034005043</v>
      </c>
      <c r="AP26" s="26">
        <f ca="1">+'TUSD BE'!$T$26+'TUSD BE'!$AB$26+'TUSD BE'!$AD$26+'TUSD BE'!$AL$26</f>
        <v>648.55407034005043</v>
      </c>
    </row>
    <row r="27" spans="1:42" ht="11.25" customHeight="1" x14ac:dyDescent="0.25">
      <c r="A27" s="109"/>
      <c r="B27" s="109"/>
      <c r="C27" s="109"/>
      <c r="D27" s="23" t="s">
        <v>30</v>
      </c>
      <c r="E27" s="23" t="s">
        <v>25</v>
      </c>
      <c r="F27" s="23" t="s">
        <v>25</v>
      </c>
      <c r="G27" s="24" t="s">
        <v>77</v>
      </c>
      <c r="H27" s="24" t="s">
        <v>73</v>
      </c>
      <c r="I27" s="24">
        <f>'MERCADO TUSD'!$U$24</f>
        <v>0</v>
      </c>
      <c r="J27" s="15"/>
      <c r="L27" s="13">
        <f>'TUSD BE'!$L$27*'TUSD BF'!$L$58</f>
        <v>0</v>
      </c>
      <c r="M27" s="13">
        <f>'TUSD BE'!$M$27*'TUSD BF'!$M$58</f>
        <v>0</v>
      </c>
      <c r="N27" s="13">
        <f ca="1">'TUSD BE'!$N$27*'TUSD BF'!$N$58</f>
        <v>0</v>
      </c>
      <c r="O27" s="13">
        <f>'TUSD BE'!$O$27*'TUSD BF'!$O$58</f>
        <v>0</v>
      </c>
      <c r="P27" s="13">
        <f>'TUSD BE'!$P$27*'TUSD BF'!$P$58</f>
        <v>0</v>
      </c>
      <c r="Q27" s="13">
        <f>'TUSD BE'!$Q$27*'TUSD BF'!$Q$58</f>
        <v>0</v>
      </c>
      <c r="R27" s="13">
        <f>'TUSD BE'!$R$27*'TUSD BF'!$R$58</f>
        <v>0</v>
      </c>
      <c r="S27" s="13">
        <f>'TUSD BE'!$R$27*'TUSD BF'!$S$58</f>
        <v>0</v>
      </c>
      <c r="T27" s="13">
        <f ca="1">SUM($L$27:$S$27)</f>
        <v>0</v>
      </c>
      <c r="U27" s="13">
        <f>'TUSD BE'!$U$27*'TUSD BF'!$U$58</f>
        <v>0</v>
      </c>
      <c r="V27" s="13">
        <f>'TUSD BE'!$V$27*'TUSD BF'!$V$58</f>
        <v>0</v>
      </c>
      <c r="W27" s="13">
        <f>'TUSD BE'!$W$27*'TUSD BF'!$W$58</f>
        <v>0</v>
      </c>
      <c r="X27" s="13">
        <f>'TUSD BE'!$X$27*'TUSD BF'!$X$58</f>
        <v>0</v>
      </c>
      <c r="Y27" s="13">
        <f>'TUSD BE'!$Y$27*'TUSD BF'!$Y$58</f>
        <v>0</v>
      </c>
      <c r="Z27" s="13">
        <f>'TUSD BE'!$Z$27*'TUSD BF'!$Z$58</f>
        <v>0</v>
      </c>
      <c r="AA27" s="13">
        <f>'TUSD BE'!$AA$27*'TUSD BF'!$AA$58</f>
        <v>0</v>
      </c>
      <c r="AB27" s="13">
        <f>SUM($U$27:$AA$27)</f>
        <v>0</v>
      </c>
      <c r="AC27" s="13">
        <f>'TUSD BE'!$AC$27*'TUSD BF'!$AC$58</f>
        <v>0</v>
      </c>
      <c r="AD27" s="13">
        <f>SUM($AC$27:$AC$27)</f>
        <v>0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BF'!$AH$58</f>
        <v>0</v>
      </c>
      <c r="AI27" s="13">
        <f>'TUSD BE'!$AI$27*'TUSD BF'!$AI$58</f>
        <v>0</v>
      </c>
      <c r="AJ27" s="13">
        <f ca="1">'TUSD BE'!$AJ$27*'TUSD BF'!$AJ$58</f>
        <v>0</v>
      </c>
      <c r="AK27" s="13">
        <f ca="1">'TUSD BE'!$AK$27*'TUSD BF'!$AK$58</f>
        <v>0</v>
      </c>
      <c r="AL27" s="13">
        <f ca="1">SUM($AH$27:$AK$27)</f>
        <v>0</v>
      </c>
      <c r="AM27" s="13">
        <f ca="1">SUMIF($L$4:$AL$4,"SUBTOTAL",$L$27:$AL$27)</f>
        <v>0</v>
      </c>
      <c r="AO27" s="26">
        <f ca="1">+'TUSD BE'!$T$27+'TUSD BE'!$AB$27+'TUSD BE'!$AD$27+'TUSD BE'!$AL$27</f>
        <v>648.55407034005043</v>
      </c>
      <c r="AP27" s="26">
        <f ca="1">+'TUSD BE'!$T$27+'TUSD BE'!$AB$27+'TUSD BE'!$AD$27+'TUSD BE'!$AL$27</f>
        <v>648.55407034005043</v>
      </c>
    </row>
    <row r="28" spans="1:42" ht="11.25" customHeight="1" x14ac:dyDescent="0.25">
      <c r="A28" s="109"/>
      <c r="B28" s="109"/>
      <c r="C28" s="109"/>
      <c r="D28" s="23" t="s">
        <v>31</v>
      </c>
      <c r="E28" s="23" t="s">
        <v>25</v>
      </c>
      <c r="F28" s="23" t="s">
        <v>25</v>
      </c>
      <c r="G28" s="24" t="s">
        <v>77</v>
      </c>
      <c r="H28" s="24" t="s">
        <v>73</v>
      </c>
      <c r="I28" s="24">
        <f>'MERCADO TUSD'!$U$25</f>
        <v>0</v>
      </c>
      <c r="J28" s="15"/>
      <c r="L28" s="13">
        <f>'TUSD BE'!$L$28*'TUSD BF'!$L$58</f>
        <v>0</v>
      </c>
      <c r="M28" s="13">
        <f>'TUSD BE'!$M$28*'TUSD BF'!$M$58</f>
        <v>0</v>
      </c>
      <c r="N28" s="13">
        <f ca="1">'TUSD BE'!$N$28*'TUSD BF'!$N$58</f>
        <v>0</v>
      </c>
      <c r="O28" s="13">
        <f>'TUSD BE'!$O$28*'TUSD BF'!$O$58</f>
        <v>0</v>
      </c>
      <c r="P28" s="13">
        <f>'TUSD BE'!$P$28*'TUSD BF'!$P$58</f>
        <v>0</v>
      </c>
      <c r="Q28" s="13">
        <f>'TUSD BE'!$Q$28*'TUSD BF'!$Q$58</f>
        <v>0</v>
      </c>
      <c r="R28" s="13">
        <f>'TUSD BE'!$R$28*'TUSD BF'!$R$58</f>
        <v>0</v>
      </c>
      <c r="S28" s="13">
        <f>'TUSD BE'!$R$28*'TUSD BF'!$S$58</f>
        <v>0</v>
      </c>
      <c r="T28" s="13">
        <f ca="1">SUM($L$28:$S$28)</f>
        <v>0</v>
      </c>
      <c r="U28" s="13">
        <f>'TUSD BE'!$U$28*'TUSD BF'!$U$58</f>
        <v>0</v>
      </c>
      <c r="V28" s="13">
        <f>'TUSD BE'!$V$28*'TUSD BF'!$V$58</f>
        <v>0</v>
      </c>
      <c r="W28" s="13">
        <f>'TUSD BE'!$W$28*'TUSD BF'!$W$58</f>
        <v>0</v>
      </c>
      <c r="X28" s="13">
        <f>'TUSD BE'!$X$28*'TUSD BF'!$X$58</f>
        <v>0</v>
      </c>
      <c r="Y28" s="13">
        <f>'TUSD BE'!$Y$28*'TUSD BF'!$Y$58</f>
        <v>0</v>
      </c>
      <c r="Z28" s="13">
        <f>'TUSD BE'!$Z$28*'TUSD BF'!$Z$58</f>
        <v>0</v>
      </c>
      <c r="AA28" s="13">
        <f>'TUSD BE'!$AA$28*'TUSD BF'!$AA$58</f>
        <v>0</v>
      </c>
      <c r="AB28" s="13">
        <f>SUM($U$28:$AA$28)</f>
        <v>0</v>
      </c>
      <c r="AC28" s="13">
        <f>'TUSD BE'!$AC$28*'TUSD BF'!$AC$58</f>
        <v>0</v>
      </c>
      <c r="AD28" s="13">
        <f>SUM($AC$28:$AC$28)</f>
        <v>0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BF'!$AH$58</f>
        <v>0</v>
      </c>
      <c r="AI28" s="13">
        <f>'TUSD BE'!$AI$28*'TUSD BF'!$AI$58</f>
        <v>0</v>
      </c>
      <c r="AJ28" s="13">
        <f ca="1">'TUSD BE'!$AJ$28*'TUSD BF'!$AJ$58</f>
        <v>0</v>
      </c>
      <c r="AK28" s="13">
        <f ca="1">'TUSD BE'!$AK$28*'TUSD BF'!$AK$58</f>
        <v>0</v>
      </c>
      <c r="AL28" s="13">
        <f ca="1">SUM($AH$28:$AK$28)</f>
        <v>0</v>
      </c>
      <c r="AM28" s="13">
        <f ca="1">SUMIF($L$4:$AL$4,"SUBTOTAL",$L$28:$AL$28)</f>
        <v>0</v>
      </c>
      <c r="AO28" s="26">
        <f ca="1">+'TUSD BE'!$T$28+'TUSD BE'!$AB$28+'TUSD BE'!$AD$28+'TUSD BE'!$AL$28</f>
        <v>648.55407034005043</v>
      </c>
      <c r="AP28" s="26">
        <f ca="1">+'TUSD BE'!$T$28+'TUSD BE'!$AB$28+'TUSD BE'!$AD$28+'TUSD BE'!$AL$28</f>
        <v>648.55407034005043</v>
      </c>
    </row>
    <row r="29" spans="1:42" ht="11.25" customHeight="1" x14ac:dyDescent="0.25">
      <c r="A29" s="109"/>
      <c r="B29" s="109"/>
      <c r="C29" s="109"/>
      <c r="D29" s="23" t="s">
        <v>32</v>
      </c>
      <c r="E29" s="23" t="s">
        <v>25</v>
      </c>
      <c r="F29" s="23" t="s">
        <v>25</v>
      </c>
      <c r="G29" s="24" t="s">
        <v>77</v>
      </c>
      <c r="H29" s="24" t="s">
        <v>73</v>
      </c>
      <c r="I29" s="24">
        <f>'MERCADO TUSD'!$U$26</f>
        <v>0</v>
      </c>
      <c r="J29" s="15"/>
      <c r="L29" s="13">
        <f>'TUSD BE'!$L$29*'TUSD BF'!$L$58</f>
        <v>0</v>
      </c>
      <c r="M29" s="13">
        <f>'TUSD BE'!$M$29*'TUSD BF'!$M$58</f>
        <v>0</v>
      </c>
      <c r="N29" s="13">
        <f ca="1">'TUSD BE'!$N$29*'TUSD BF'!$N$58</f>
        <v>0</v>
      </c>
      <c r="O29" s="13">
        <f>'TUSD BE'!$O$29*'TUSD BF'!$O$58</f>
        <v>0</v>
      </c>
      <c r="P29" s="13">
        <f>'TUSD BE'!$P$29*'TUSD BF'!$P$58</f>
        <v>0</v>
      </c>
      <c r="Q29" s="13">
        <f>'TUSD BE'!$Q$29*'TUSD BF'!$Q$58</f>
        <v>0</v>
      </c>
      <c r="R29" s="13">
        <f>'TUSD BE'!$R$29*'TUSD BF'!$R$58</f>
        <v>0</v>
      </c>
      <c r="S29" s="13">
        <f>'TUSD BE'!$R$29*'TUSD BF'!$S$58</f>
        <v>0</v>
      </c>
      <c r="T29" s="13">
        <f ca="1">SUM($L$29:$S$29)</f>
        <v>0</v>
      </c>
      <c r="U29" s="13">
        <f>'TUSD BE'!$U$29*'TUSD BF'!$U$58</f>
        <v>0</v>
      </c>
      <c r="V29" s="13">
        <f>'TUSD BE'!$V$29*'TUSD BF'!$V$58</f>
        <v>0</v>
      </c>
      <c r="W29" s="13">
        <f>'TUSD BE'!$W$29*'TUSD BF'!$W$58</f>
        <v>0</v>
      </c>
      <c r="X29" s="13">
        <f>'TUSD BE'!$X$29*'TUSD BF'!$X$58</f>
        <v>0</v>
      </c>
      <c r="Y29" s="13">
        <f>'TUSD BE'!$Y$29*'TUSD BF'!$Y$58</f>
        <v>0</v>
      </c>
      <c r="Z29" s="13">
        <f>'TUSD BE'!$Z$29*'TUSD BF'!$Z$58</f>
        <v>0</v>
      </c>
      <c r="AA29" s="13">
        <f>'TUSD BE'!$AA$29*'TUSD BF'!$AA$58</f>
        <v>0</v>
      </c>
      <c r="AB29" s="13">
        <f>SUM($U$29:$AA$29)</f>
        <v>0</v>
      </c>
      <c r="AC29" s="13">
        <f>'TUSD BE'!$AC$29*'TUSD BF'!$AC$58</f>
        <v>0</v>
      </c>
      <c r="AD29" s="13">
        <f>SUM($AC$29:$AC$29)</f>
        <v>0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BF'!$AH$58</f>
        <v>0</v>
      </c>
      <c r="AI29" s="13">
        <f>'TUSD BE'!$AI$29*'TUSD BF'!$AI$58</f>
        <v>0</v>
      </c>
      <c r="AJ29" s="13">
        <f ca="1">'TUSD BE'!$AJ$29*'TUSD BF'!$AJ$58</f>
        <v>0</v>
      </c>
      <c r="AK29" s="13">
        <f ca="1">'TUSD BE'!$AK$29*'TUSD BF'!$AK$58</f>
        <v>0</v>
      </c>
      <c r="AL29" s="13">
        <f ca="1">SUM($AH$29:$AK$29)</f>
        <v>0</v>
      </c>
      <c r="AM29" s="13">
        <f ca="1">SUMIF($L$4:$AL$4,"SUBTOTAL",$L$29:$AL$29)</f>
        <v>0</v>
      </c>
      <c r="AO29" s="26">
        <f ca="1">+'TUSD BE'!$T$29+'TUSD BE'!$AB$29+'TUSD BE'!$AD$29+'TUSD BE'!$AL$29</f>
        <v>648.55407034005043</v>
      </c>
      <c r="AP29" s="26">
        <f ca="1">+'TUSD BE'!$T$29+'TUSD BE'!$AB$29+'TUSD BE'!$AD$29+'TUSD BE'!$AL$29</f>
        <v>648.55407034005043</v>
      </c>
    </row>
    <row r="30" spans="1:42" ht="11.25" customHeight="1" x14ac:dyDescent="0.25">
      <c r="A30" s="109" t="s">
        <v>41</v>
      </c>
      <c r="B30" s="109" t="s">
        <v>86</v>
      </c>
      <c r="C30" s="109" t="s">
        <v>42</v>
      </c>
      <c r="D30" s="109" t="s">
        <v>25</v>
      </c>
      <c r="E30" s="109" t="s">
        <v>25</v>
      </c>
      <c r="F30" s="109" t="s">
        <v>25</v>
      </c>
      <c r="G30" s="24" t="s">
        <v>74</v>
      </c>
      <c r="H30" s="24" t="s">
        <v>73</v>
      </c>
      <c r="I30" s="24">
        <f>'MERCADO TUSD'!$U$27</f>
        <v>0</v>
      </c>
      <c r="J30" s="15"/>
      <c r="L30" s="13">
        <f>'TUSD BE'!$L$30*'TUSD BF'!$L$58</f>
        <v>0</v>
      </c>
      <c r="M30" s="13">
        <f>'TUSD BE'!$M$30*'TUSD BF'!$M$58</f>
        <v>0</v>
      </c>
      <c r="N30" s="13">
        <f ca="1">'TUSD BE'!$N$30*'TUSD BF'!$N$58</f>
        <v>0</v>
      </c>
      <c r="O30" s="13">
        <f>'TUSD BE'!$O$30*'TUSD BF'!$O$58</f>
        <v>0</v>
      </c>
      <c r="P30" s="13">
        <f>'TUSD BE'!$P$30*'TUSD BF'!$P$58</f>
        <v>0</v>
      </c>
      <c r="Q30" s="13">
        <f>'TUSD BE'!$Q$30*'TUSD BF'!$Q$58</f>
        <v>0</v>
      </c>
      <c r="R30" s="13">
        <f>'TUSD BE'!$R$30*'TUSD BF'!$R$58</f>
        <v>0</v>
      </c>
      <c r="S30" s="13">
        <f>'TUSD BE'!$R$30*'TUSD BF'!$S$58</f>
        <v>0</v>
      </c>
      <c r="T30" s="13">
        <f ca="1">SUM($L$30:$S$30)</f>
        <v>0</v>
      </c>
      <c r="U30" s="13">
        <f>'TUSD BE'!$U$30*'TUSD BF'!$U$58</f>
        <v>0</v>
      </c>
      <c r="V30" s="13">
        <f>'TUSD BE'!$V$30*'TUSD BF'!$V$58</f>
        <v>0</v>
      </c>
      <c r="W30" s="13">
        <f>'TUSD BE'!$W$30*'TUSD BF'!$W$58</f>
        <v>0</v>
      </c>
      <c r="X30" s="13">
        <f>'TUSD BE'!$X$30*'TUSD BF'!$X$58</f>
        <v>0</v>
      </c>
      <c r="Y30" s="13">
        <f>'TUSD BE'!$Y$30*'TUSD BF'!$Y$58</f>
        <v>0</v>
      </c>
      <c r="Z30" s="13">
        <f>'TUSD BE'!$Z$30*'TUSD BF'!$Z$58</f>
        <v>0</v>
      </c>
      <c r="AA30" s="13">
        <f>'TUSD BE'!$AA$30*'TUSD BF'!$AA$58</f>
        <v>0</v>
      </c>
      <c r="AB30" s="13">
        <f>SUM($U$30:$AA$30)</f>
        <v>0</v>
      </c>
      <c r="AC30" s="13">
        <f>'TUSD BE'!$AC$30*'TUSD BF'!$AC$58</f>
        <v>0</v>
      </c>
      <c r="AD30" s="13">
        <f>SUM($AC$30:$AC$30)</f>
        <v>0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BF'!$AH$58</f>
        <v>0</v>
      </c>
      <c r="AI30" s="13">
        <f>'TUSD BE'!$AI$30*'TUSD BF'!$AI$58</f>
        <v>0</v>
      </c>
      <c r="AJ30" s="13">
        <f ca="1">'TUSD BE'!$AJ$30*'TUSD BF'!$AJ$58</f>
        <v>0</v>
      </c>
      <c r="AK30" s="13">
        <f ca="1">'TUSD BE'!$AK$30*'TUSD BF'!$AK$58</f>
        <v>0</v>
      </c>
      <c r="AL30" s="13">
        <f ca="1">SUM($AH$30:$AK$30)</f>
        <v>0</v>
      </c>
      <c r="AM30" s="13">
        <f ca="1">SUMIF($L$4:$AL$4,"SUBTOTAL",$L$30:$AL$30)</f>
        <v>0</v>
      </c>
      <c r="AO30" s="26">
        <f ca="1">+'TUSD BE'!$T$30+'TUSD BE'!$AB$30+'TUSD BE'!$AD$30+'TUSD BE'!$AL$30</f>
        <v>1814.1303313473791</v>
      </c>
      <c r="AP30" s="26">
        <f ca="1">+'TUSD BE'!$T$30+'TUSD BE'!$AB$30+'TUSD BE'!$AD$30+'TUSD BE'!$AL$30</f>
        <v>1814.1303313473791</v>
      </c>
    </row>
    <row r="31" spans="1:42" ht="11.25" customHeight="1" x14ac:dyDescent="0.25">
      <c r="A31" s="109"/>
      <c r="B31" s="109"/>
      <c r="C31" s="109"/>
      <c r="D31" s="109"/>
      <c r="E31" s="109"/>
      <c r="F31" s="109"/>
      <c r="G31" s="24" t="s">
        <v>85</v>
      </c>
      <c r="H31" s="24" t="s">
        <v>73</v>
      </c>
      <c r="I31" s="24">
        <f>'MERCADO TUSD'!$U$28</f>
        <v>0</v>
      </c>
      <c r="J31" s="15"/>
      <c r="L31" s="13">
        <f>'TUSD BE'!$L$31*'TUSD BF'!$L$58</f>
        <v>0</v>
      </c>
      <c r="M31" s="13">
        <f>'TUSD BE'!$M$31*'TUSD BF'!$M$58</f>
        <v>0</v>
      </c>
      <c r="N31" s="13">
        <f ca="1">'TUSD BE'!$N$31*'TUSD BF'!$N$58</f>
        <v>0</v>
      </c>
      <c r="O31" s="13">
        <f>'TUSD BE'!$O$31*'TUSD BF'!$O$58</f>
        <v>0</v>
      </c>
      <c r="P31" s="13">
        <f>'TUSD BE'!$P$31*'TUSD BF'!$P$58</f>
        <v>0</v>
      </c>
      <c r="Q31" s="13">
        <f>'TUSD BE'!$Q$31*'TUSD BF'!$Q$58</f>
        <v>0</v>
      </c>
      <c r="R31" s="13">
        <f>'TUSD BE'!$R$31*'TUSD BF'!$R$58</f>
        <v>0</v>
      </c>
      <c r="S31" s="13">
        <f>'TUSD BE'!$R$31*'TUSD BF'!$S$58</f>
        <v>0</v>
      </c>
      <c r="T31" s="13">
        <f ca="1">SUM($L$31:$S$31)</f>
        <v>0</v>
      </c>
      <c r="U31" s="13">
        <f>'TUSD BE'!$U$31*'TUSD BF'!$U$58</f>
        <v>0</v>
      </c>
      <c r="V31" s="13">
        <f>'TUSD BE'!$V$31*'TUSD BF'!$V$58</f>
        <v>0</v>
      </c>
      <c r="W31" s="13">
        <f>'TUSD BE'!$W$31*'TUSD BF'!$W$58</f>
        <v>0</v>
      </c>
      <c r="X31" s="13">
        <f>'TUSD BE'!$X$31*'TUSD BF'!$X$58</f>
        <v>0</v>
      </c>
      <c r="Y31" s="13">
        <f>'TUSD BE'!$Y$31*'TUSD BF'!$Y$58</f>
        <v>0</v>
      </c>
      <c r="Z31" s="13">
        <f>'TUSD BE'!$Z$31*'TUSD BF'!$Z$58</f>
        <v>0</v>
      </c>
      <c r="AA31" s="13">
        <f>'TUSD BE'!$AA$31*'TUSD BF'!$AA$58</f>
        <v>0</v>
      </c>
      <c r="AB31" s="13">
        <f>SUM($U$31:$AA$31)</f>
        <v>0</v>
      </c>
      <c r="AC31" s="13">
        <f>'TUSD BE'!$AC$31*'TUSD BF'!$AC$58</f>
        <v>0</v>
      </c>
      <c r="AD31" s="13">
        <f>SUM($AC$31:$AC$31)</f>
        <v>0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BF'!$AH$58</f>
        <v>0</v>
      </c>
      <c r="AI31" s="13">
        <f>'TUSD BE'!$AI$31*'TUSD BF'!$AI$58</f>
        <v>0</v>
      </c>
      <c r="AJ31" s="13">
        <f ca="1">'TUSD BE'!$AJ$31*'TUSD BF'!$AJ$58</f>
        <v>0</v>
      </c>
      <c r="AK31" s="13">
        <f ca="1">'TUSD BE'!$AK$31*'TUSD BF'!$AK$58</f>
        <v>0</v>
      </c>
      <c r="AL31" s="13">
        <f ca="1">SUM($AH$31:$AK$31)</f>
        <v>0</v>
      </c>
      <c r="AM31" s="13">
        <f ca="1">SUMIF($L$4:$AL$4,"SUBTOTAL",$L$31:$AL$31)</f>
        <v>0</v>
      </c>
      <c r="AO31" s="26">
        <f ca="1">+'TUSD BE'!$T$31+'TUSD BE'!$AB$31+'TUSD BE'!$AD$31+'TUSD BE'!$AL$31</f>
        <v>974.84433262873108</v>
      </c>
      <c r="AP31" s="26">
        <f ca="1">+'TUSD BE'!$T$31+'TUSD BE'!$AB$31+'TUSD BE'!$AD$31+'TUSD BE'!$AL$31</f>
        <v>974.84433262873108</v>
      </c>
    </row>
    <row r="32" spans="1:42" ht="11.25" customHeight="1" x14ac:dyDescent="0.25">
      <c r="A32" s="109"/>
      <c r="B32" s="109"/>
      <c r="C32" s="109"/>
      <c r="D32" s="109"/>
      <c r="E32" s="109"/>
      <c r="F32" s="109"/>
      <c r="G32" s="24" t="s">
        <v>75</v>
      </c>
      <c r="H32" s="24" t="s">
        <v>73</v>
      </c>
      <c r="I32" s="24">
        <f>'MERCADO TUSD'!$U$29</f>
        <v>0</v>
      </c>
      <c r="J32" s="15"/>
      <c r="L32" s="13">
        <f>'TUSD BE'!$L$32*'TUSD BF'!$L$58</f>
        <v>0</v>
      </c>
      <c r="M32" s="13">
        <f>'TUSD BE'!$M$32*'TUSD BF'!$M$58</f>
        <v>0</v>
      </c>
      <c r="N32" s="13">
        <f ca="1">'TUSD BE'!$N$32*'TUSD BF'!$N$58</f>
        <v>0</v>
      </c>
      <c r="O32" s="13">
        <f>'TUSD BE'!$O$32*'TUSD BF'!$O$58</f>
        <v>0</v>
      </c>
      <c r="P32" s="13">
        <f>'TUSD BE'!$P$32*'TUSD BF'!$P$58</f>
        <v>0</v>
      </c>
      <c r="Q32" s="13">
        <f>'TUSD BE'!$Q$32*'TUSD BF'!$Q$58</f>
        <v>0</v>
      </c>
      <c r="R32" s="13">
        <f>'TUSD BE'!$R$32*'TUSD BF'!$R$58</f>
        <v>0</v>
      </c>
      <c r="S32" s="13">
        <f>'TUSD BE'!$R$32*'TUSD BF'!$S$58</f>
        <v>0</v>
      </c>
      <c r="T32" s="13">
        <f ca="1">SUM($L$32:$S$32)</f>
        <v>0</v>
      </c>
      <c r="U32" s="13">
        <f>'TUSD BE'!$U$32*'TUSD BF'!$U$58</f>
        <v>0</v>
      </c>
      <c r="V32" s="13">
        <f>'TUSD BE'!$V$32*'TUSD BF'!$V$58</f>
        <v>0</v>
      </c>
      <c r="W32" s="13">
        <f>'TUSD BE'!$W$32*'TUSD BF'!$W$58</f>
        <v>0</v>
      </c>
      <c r="X32" s="13">
        <f>'TUSD BE'!$X$32*'TUSD BF'!$X$58</f>
        <v>0</v>
      </c>
      <c r="Y32" s="13">
        <f>'TUSD BE'!$Y$32*'TUSD BF'!$Y$58</f>
        <v>0</v>
      </c>
      <c r="Z32" s="13">
        <f>'TUSD BE'!$Z$32*'TUSD BF'!$Z$58</f>
        <v>0</v>
      </c>
      <c r="AA32" s="13">
        <f>'TUSD BE'!$AA$32*'TUSD BF'!$AA$58</f>
        <v>0</v>
      </c>
      <c r="AB32" s="13">
        <f>SUM($U$32:$AA$32)</f>
        <v>0</v>
      </c>
      <c r="AC32" s="13">
        <f>'TUSD BE'!$AC$32*'TUSD BF'!$AC$58</f>
        <v>0</v>
      </c>
      <c r="AD32" s="13">
        <f>SUM($AC$32:$AC$32)</f>
        <v>0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BF'!$AH$58</f>
        <v>0</v>
      </c>
      <c r="AI32" s="13">
        <f>'TUSD BE'!$AI$32*'TUSD BF'!$AI$58</f>
        <v>0</v>
      </c>
      <c r="AJ32" s="13">
        <f ca="1">'TUSD BE'!$AJ$32*'TUSD BF'!$AJ$58</f>
        <v>0</v>
      </c>
      <c r="AK32" s="13">
        <f ca="1">'TUSD BE'!$AK$32*'TUSD BF'!$AK$58</f>
        <v>0</v>
      </c>
      <c r="AL32" s="13">
        <f ca="1">SUM($AH$32:$AK$32)</f>
        <v>0</v>
      </c>
      <c r="AM32" s="13">
        <f ca="1">SUMIF($L$4:$AL$4,"SUBTOTAL",$L$32:$AL$32)</f>
        <v>0</v>
      </c>
      <c r="AO32" s="26">
        <f ca="1">+'TUSD BE'!$T$32+'TUSD BE'!$AB$32+'TUSD BE'!$AD$32+'TUSD BE'!$AL$32</f>
        <v>555.20128369226722</v>
      </c>
      <c r="AP32" s="26">
        <f ca="1">+'TUSD BE'!$T$32+'TUSD BE'!$AB$32+'TUSD BE'!$AD$32+'TUSD BE'!$AL$32</f>
        <v>555.20128369226722</v>
      </c>
    </row>
    <row r="33" spans="1:42" ht="11.25" customHeight="1" x14ac:dyDescent="0.25">
      <c r="A33" s="109"/>
      <c r="B33" s="23" t="s">
        <v>23</v>
      </c>
      <c r="C33" s="23" t="s">
        <v>42</v>
      </c>
      <c r="D33" s="23" t="s">
        <v>25</v>
      </c>
      <c r="E33" s="23" t="s">
        <v>25</v>
      </c>
      <c r="F33" s="23" t="s">
        <v>25</v>
      </c>
      <c r="G33" s="24" t="s">
        <v>77</v>
      </c>
      <c r="H33" s="24" t="s">
        <v>73</v>
      </c>
      <c r="I33" s="24">
        <f>'MERCADO TUSD'!$U$30</f>
        <v>21333.253999999997</v>
      </c>
      <c r="J33" s="15"/>
      <c r="L33" s="13">
        <f>'TUSD BE'!$L$33*'TUSD BF'!$L$58</f>
        <v>0</v>
      </c>
      <c r="M33" s="13">
        <f>'TUSD BE'!$M$33*'TUSD BF'!$M$58</f>
        <v>0</v>
      </c>
      <c r="N33" s="13">
        <f ca="1">'TUSD BE'!$N$33*'TUSD BF'!$N$58</f>
        <v>0</v>
      </c>
      <c r="O33" s="13">
        <f>'TUSD BE'!$O$33*'TUSD BF'!$O$58</f>
        <v>0</v>
      </c>
      <c r="P33" s="13">
        <f>'TUSD BE'!$P$33*'TUSD BF'!$P$58</f>
        <v>0</v>
      </c>
      <c r="Q33" s="13">
        <f>'TUSD BE'!$Q$33*'TUSD BF'!$Q$58</f>
        <v>0</v>
      </c>
      <c r="R33" s="13">
        <f>'TUSD BE'!$R$33*'TUSD BF'!$R$58</f>
        <v>0</v>
      </c>
      <c r="S33" s="13">
        <f>'TUSD BE'!$R$33*'TUSD BF'!$S$58</f>
        <v>0</v>
      </c>
      <c r="T33" s="13">
        <f ca="1">SUM($L$33:$S$33)</f>
        <v>0</v>
      </c>
      <c r="U33" s="13">
        <f>'TUSD BE'!$U$33*'TUSD BF'!$U$58</f>
        <v>0</v>
      </c>
      <c r="V33" s="13">
        <f>'TUSD BE'!$V$33*'TUSD BF'!$V$58</f>
        <v>0</v>
      </c>
      <c r="W33" s="13">
        <f>'TUSD BE'!$W$33*'TUSD BF'!$W$58</f>
        <v>0</v>
      </c>
      <c r="X33" s="13">
        <f>'TUSD BE'!$X$33*'TUSD BF'!$X$58</f>
        <v>0</v>
      </c>
      <c r="Y33" s="13">
        <f>'TUSD BE'!$Y$33*'TUSD BF'!$Y$58</f>
        <v>0</v>
      </c>
      <c r="Z33" s="13">
        <f>'TUSD BE'!$Z$33*'TUSD BF'!$Z$58</f>
        <v>0</v>
      </c>
      <c r="AA33" s="13">
        <f>'TUSD BE'!$AA$33*'TUSD BF'!$AA$58</f>
        <v>0</v>
      </c>
      <c r="AB33" s="13">
        <f>SUM($U$33:$AA$33)</f>
        <v>0</v>
      </c>
      <c r="AC33" s="13">
        <f>'TUSD BE'!$AC$33*'TUSD BF'!$AC$58</f>
        <v>0</v>
      </c>
      <c r="AD33" s="13">
        <f>SUM($AC$33:$AC$33)</f>
        <v>0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BF'!$AH$58</f>
        <v>0</v>
      </c>
      <c r="AI33" s="13">
        <f>'TUSD BE'!$AI$33*'TUSD BF'!$AI$58</f>
        <v>0</v>
      </c>
      <c r="AJ33" s="13">
        <f ca="1">'TUSD BE'!$AJ$33*'TUSD BF'!$AJ$58</f>
        <v>0</v>
      </c>
      <c r="AK33" s="13">
        <f ca="1">'TUSD BE'!$AK$33*'TUSD BF'!$AK$58</f>
        <v>0</v>
      </c>
      <c r="AL33" s="13">
        <f ca="1">SUM($AH$33:$AK$33)</f>
        <v>0</v>
      </c>
      <c r="AM33" s="13">
        <f ca="1">SUMIF($L$4:$AL$4,"SUBTOTAL",$L$33:$AL$33)</f>
        <v>0</v>
      </c>
      <c r="AO33" s="26">
        <f ca="1">+'TUSD BE'!$T$33+'TUSD BE'!$AB$33+'TUSD BE'!$AD$33+'TUSD BE'!$AL$33</f>
        <v>752.68038638225505</v>
      </c>
      <c r="AP33" s="26">
        <f ca="1">+'TUSD BE'!$T$33+'TUSD BE'!$AB$33+'TUSD BE'!$AD$33+'TUSD BE'!$AL$33</f>
        <v>752.68038638225505</v>
      </c>
    </row>
    <row r="34" spans="1:42" ht="11.25" customHeight="1" x14ac:dyDescent="0.25">
      <c r="A34" s="109"/>
      <c r="B34" s="109" t="s">
        <v>86</v>
      </c>
      <c r="C34" s="109" t="s">
        <v>42</v>
      </c>
      <c r="D34" s="109" t="s">
        <v>89</v>
      </c>
      <c r="E34" s="109" t="s">
        <v>25</v>
      </c>
      <c r="F34" s="109" t="s">
        <v>25</v>
      </c>
      <c r="G34" s="24" t="s">
        <v>74</v>
      </c>
      <c r="H34" s="24" t="s">
        <v>73</v>
      </c>
      <c r="I34" s="24">
        <f>'MERCADO TUSD'!$U$31</f>
        <v>0</v>
      </c>
      <c r="J34" s="15"/>
      <c r="L34" s="13">
        <f>'TUSD BE'!$L$34*'TUSD BF'!$L$58</f>
        <v>0</v>
      </c>
      <c r="M34" s="13">
        <f>'TUSD BE'!$M$34*'TUSD BF'!$M$58</f>
        <v>0</v>
      </c>
      <c r="N34" s="13">
        <f ca="1">'TUSD BE'!$N$34*'TUSD BF'!$N$58</f>
        <v>0</v>
      </c>
      <c r="O34" s="13">
        <f>'TUSD BE'!$O$34*'TUSD BF'!$O$58</f>
        <v>0</v>
      </c>
      <c r="P34" s="13">
        <f>'TUSD BE'!$P$34*'TUSD BF'!$P$58</f>
        <v>0</v>
      </c>
      <c r="Q34" s="13">
        <f>'TUSD BE'!$Q$34*'TUSD BF'!$Q$58</f>
        <v>0</v>
      </c>
      <c r="R34" s="13">
        <f>'TUSD BE'!$R$34*'TUSD BF'!$R$58</f>
        <v>0</v>
      </c>
      <c r="S34" s="13">
        <f>'TUSD BE'!$R$34*'TUSD BF'!$S$58</f>
        <v>0</v>
      </c>
      <c r="T34" s="13">
        <f ca="1">SUM($L$34:$S$34)</f>
        <v>0</v>
      </c>
      <c r="U34" s="13">
        <f>'TUSD BE'!$U$34*'TUSD BF'!$U$58</f>
        <v>0</v>
      </c>
      <c r="V34" s="13">
        <f>'TUSD BE'!$V$34*'TUSD BF'!$V$58</f>
        <v>0</v>
      </c>
      <c r="W34" s="13">
        <f>'TUSD BE'!$W$34*'TUSD BF'!$W$58</f>
        <v>0</v>
      </c>
      <c r="X34" s="13">
        <f>'TUSD BE'!$X$34*'TUSD BF'!$X$58</f>
        <v>0</v>
      </c>
      <c r="Y34" s="13">
        <f>'TUSD BE'!$Y$34*'TUSD BF'!$Y$58</f>
        <v>0</v>
      </c>
      <c r="Z34" s="13">
        <f>'TUSD BE'!$Z$34*'TUSD BF'!$Z$58</f>
        <v>0</v>
      </c>
      <c r="AA34" s="13">
        <f>'TUSD BE'!$AA$34*'TUSD BF'!$AA$58</f>
        <v>0</v>
      </c>
      <c r="AB34" s="13">
        <f>SUM($U$34:$AA$34)</f>
        <v>0</v>
      </c>
      <c r="AC34" s="13">
        <f>'TUSD BE'!$AC$34*'TUSD BF'!$AC$58</f>
        <v>0</v>
      </c>
      <c r="AD34" s="13">
        <f>SUM($AC$34:$AC$34)</f>
        <v>0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BF'!$AH$58</f>
        <v>0</v>
      </c>
      <c r="AI34" s="13">
        <f>'TUSD BE'!$AI$34*'TUSD BF'!$AI$58</f>
        <v>0</v>
      </c>
      <c r="AJ34" s="13">
        <f ca="1">'TUSD BE'!$AJ$34*'TUSD BF'!$AJ$58</f>
        <v>0</v>
      </c>
      <c r="AK34" s="13">
        <f ca="1">'TUSD BE'!$AK$34*'TUSD BF'!$AK$58</f>
        <v>0</v>
      </c>
      <c r="AL34" s="13">
        <f ca="1">SUM($AH$34:$AK$34)</f>
        <v>0</v>
      </c>
      <c r="AM34" s="13">
        <f ca="1">SUMIF($L$4:$AL$4,"SUBTOTAL",$L$34:$AL$34)</f>
        <v>0</v>
      </c>
      <c r="AO34" s="26">
        <f ca="1">+'TUSD BE'!$T$34+'TUSD BE'!$AB$34+'TUSD BE'!$AD$34+'TUSD BE'!$AL$34</f>
        <v>1814.1303313473791</v>
      </c>
      <c r="AP34" s="26">
        <f ca="1">+'TUSD BE'!$T$34+'TUSD BE'!$AB$34+'TUSD BE'!$AD$34+'TUSD BE'!$AL$34</f>
        <v>1814.1303313473791</v>
      </c>
    </row>
    <row r="35" spans="1:42" ht="11.25" customHeight="1" x14ac:dyDescent="0.25">
      <c r="A35" s="109"/>
      <c r="B35" s="109"/>
      <c r="C35" s="109"/>
      <c r="D35" s="109"/>
      <c r="E35" s="109"/>
      <c r="F35" s="109"/>
      <c r="G35" s="24" t="s">
        <v>85</v>
      </c>
      <c r="H35" s="24" t="s">
        <v>73</v>
      </c>
      <c r="I35" s="24">
        <f>'MERCADO TUSD'!$U$32</f>
        <v>0</v>
      </c>
      <c r="J35" s="15"/>
      <c r="L35" s="13">
        <f>'TUSD BE'!$L$35*'TUSD BF'!$L$58</f>
        <v>0</v>
      </c>
      <c r="M35" s="13">
        <f>'TUSD BE'!$M$35*'TUSD BF'!$M$58</f>
        <v>0</v>
      </c>
      <c r="N35" s="13">
        <f ca="1">'TUSD BE'!$N$35*'TUSD BF'!$N$58</f>
        <v>0</v>
      </c>
      <c r="O35" s="13">
        <f>'TUSD BE'!$O$35*'TUSD BF'!$O$58</f>
        <v>0</v>
      </c>
      <c r="P35" s="13">
        <f>'TUSD BE'!$P$35*'TUSD BF'!$P$58</f>
        <v>0</v>
      </c>
      <c r="Q35" s="13">
        <f>'TUSD BE'!$Q$35*'TUSD BF'!$Q$58</f>
        <v>0</v>
      </c>
      <c r="R35" s="13">
        <f>'TUSD BE'!$R$35*'TUSD BF'!$R$58</f>
        <v>0</v>
      </c>
      <c r="S35" s="13">
        <f>'TUSD BE'!$R$35*'TUSD BF'!$S$58</f>
        <v>0</v>
      </c>
      <c r="T35" s="13">
        <f ca="1">SUM($L$35:$S$35)</f>
        <v>0</v>
      </c>
      <c r="U35" s="13">
        <f>'TUSD BE'!$U$35*'TUSD BF'!$U$58</f>
        <v>0</v>
      </c>
      <c r="V35" s="13">
        <f>'TUSD BE'!$V$35*'TUSD BF'!$V$58</f>
        <v>0</v>
      </c>
      <c r="W35" s="13">
        <f>'TUSD BE'!$W$35*'TUSD BF'!$W$58</f>
        <v>0</v>
      </c>
      <c r="X35" s="13">
        <f>'TUSD BE'!$X$35*'TUSD BF'!$X$58</f>
        <v>0</v>
      </c>
      <c r="Y35" s="13">
        <f>'TUSD BE'!$Y$35*'TUSD BF'!$Y$58</f>
        <v>0</v>
      </c>
      <c r="Z35" s="13">
        <f>'TUSD BE'!$Z$35*'TUSD BF'!$Z$58</f>
        <v>0</v>
      </c>
      <c r="AA35" s="13">
        <f>'TUSD BE'!$AA$35*'TUSD BF'!$AA$58</f>
        <v>0</v>
      </c>
      <c r="AB35" s="13">
        <f>SUM($U$35:$AA$35)</f>
        <v>0</v>
      </c>
      <c r="AC35" s="13">
        <f>'TUSD BE'!$AC$35*'TUSD BF'!$AC$58</f>
        <v>0</v>
      </c>
      <c r="AD35" s="13">
        <f>SUM($AC$35:$AC$35)</f>
        <v>0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BF'!$AH$58</f>
        <v>0</v>
      </c>
      <c r="AI35" s="13">
        <f>'TUSD BE'!$AI$35*'TUSD BF'!$AI$58</f>
        <v>0</v>
      </c>
      <c r="AJ35" s="13">
        <f ca="1">'TUSD BE'!$AJ$35*'TUSD BF'!$AJ$58</f>
        <v>0</v>
      </c>
      <c r="AK35" s="13">
        <f ca="1">'TUSD BE'!$AK$35*'TUSD BF'!$AK$58</f>
        <v>0</v>
      </c>
      <c r="AL35" s="13">
        <f ca="1">SUM($AH$35:$AK$35)</f>
        <v>0</v>
      </c>
      <c r="AM35" s="13">
        <f ca="1">SUMIF($L$4:$AL$4,"SUBTOTAL",$L$35:$AL$35)</f>
        <v>0</v>
      </c>
      <c r="AO35" s="26">
        <f ca="1">+'TUSD BE'!$T$35+'TUSD BE'!$AB$35+'TUSD BE'!$AD$35+'TUSD BE'!$AL$35</f>
        <v>974.84433262873108</v>
      </c>
      <c r="AP35" s="26">
        <f ca="1">+'TUSD BE'!$T$35+'TUSD BE'!$AB$35+'TUSD BE'!$AD$35+'TUSD BE'!$AL$35</f>
        <v>974.84433262873108</v>
      </c>
    </row>
    <row r="36" spans="1:42" ht="11.25" customHeight="1" x14ac:dyDescent="0.25">
      <c r="A36" s="109"/>
      <c r="B36" s="109"/>
      <c r="C36" s="109"/>
      <c r="D36" s="109"/>
      <c r="E36" s="109"/>
      <c r="F36" s="109"/>
      <c r="G36" s="24" t="s">
        <v>75</v>
      </c>
      <c r="H36" s="24" t="s">
        <v>73</v>
      </c>
      <c r="I36" s="24">
        <f>'MERCADO TUSD'!$U$33</f>
        <v>0</v>
      </c>
      <c r="J36" s="15"/>
      <c r="L36" s="13">
        <f>'TUSD BE'!$L$36*'TUSD BF'!$L$58</f>
        <v>0</v>
      </c>
      <c r="M36" s="13">
        <f>'TUSD BE'!$M$36*'TUSD BF'!$M$58</f>
        <v>0</v>
      </c>
      <c r="N36" s="13">
        <f ca="1">'TUSD BE'!$N$36*'TUSD BF'!$N$58</f>
        <v>0</v>
      </c>
      <c r="O36" s="13">
        <f>'TUSD BE'!$O$36*'TUSD BF'!$O$58</f>
        <v>0</v>
      </c>
      <c r="P36" s="13">
        <f>'TUSD BE'!$P$36*'TUSD BF'!$P$58</f>
        <v>0</v>
      </c>
      <c r="Q36" s="13">
        <f>'TUSD BE'!$Q$36*'TUSD BF'!$Q$58</f>
        <v>0</v>
      </c>
      <c r="R36" s="13">
        <f>'TUSD BE'!$R$36*'TUSD BF'!$R$58</f>
        <v>0</v>
      </c>
      <c r="S36" s="13">
        <f>'TUSD BE'!$R$36*'TUSD BF'!$S$58</f>
        <v>0</v>
      </c>
      <c r="T36" s="13">
        <f ca="1">SUM($L$36:$S$36)</f>
        <v>0</v>
      </c>
      <c r="U36" s="13">
        <f>'TUSD BE'!$U$36*'TUSD BF'!$U$58</f>
        <v>0</v>
      </c>
      <c r="V36" s="13">
        <f>'TUSD BE'!$V$36*'TUSD BF'!$V$58</f>
        <v>0</v>
      </c>
      <c r="W36" s="13">
        <f>'TUSD BE'!$W$36*'TUSD BF'!$W$58</f>
        <v>0</v>
      </c>
      <c r="X36" s="13">
        <f>'TUSD BE'!$X$36*'TUSD BF'!$X$58</f>
        <v>0</v>
      </c>
      <c r="Y36" s="13">
        <f>'TUSD BE'!$Y$36*'TUSD BF'!$Y$58</f>
        <v>0</v>
      </c>
      <c r="Z36" s="13">
        <f>'TUSD BE'!$Z$36*'TUSD BF'!$Z$58</f>
        <v>0</v>
      </c>
      <c r="AA36" s="13">
        <f>'TUSD BE'!$AA$36*'TUSD BF'!$AA$58</f>
        <v>0</v>
      </c>
      <c r="AB36" s="13">
        <f>SUM($U$36:$AA$36)</f>
        <v>0</v>
      </c>
      <c r="AC36" s="13">
        <f>'TUSD BE'!$AC$36*'TUSD BF'!$AC$58</f>
        <v>0</v>
      </c>
      <c r="AD36" s="13">
        <f>SUM($AC$36:$AC$36)</f>
        <v>0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BF'!$AH$58</f>
        <v>0</v>
      </c>
      <c r="AI36" s="13">
        <f>'TUSD BE'!$AI$36*'TUSD BF'!$AI$58</f>
        <v>0</v>
      </c>
      <c r="AJ36" s="13">
        <f ca="1">'TUSD BE'!$AJ$36*'TUSD BF'!$AJ$58</f>
        <v>0</v>
      </c>
      <c r="AK36" s="13">
        <f ca="1">'TUSD BE'!$AK$36*'TUSD BF'!$AK$58</f>
        <v>0</v>
      </c>
      <c r="AL36" s="13">
        <f ca="1">SUM($AH$36:$AK$36)</f>
        <v>0</v>
      </c>
      <c r="AM36" s="13">
        <f ca="1">SUMIF($L$4:$AL$4,"SUBTOTAL",$L$36:$AL$36)</f>
        <v>0</v>
      </c>
      <c r="AO36" s="26">
        <f ca="1">+'TUSD BE'!$T$36+'TUSD BE'!$AB$36+'TUSD BE'!$AD$36+'TUSD BE'!$AL$36</f>
        <v>555.20128369226722</v>
      </c>
      <c r="AP36" s="26">
        <f ca="1">+'TUSD BE'!$T$36+'TUSD BE'!$AB$36+'TUSD BE'!$AD$36+'TUSD BE'!$AL$36</f>
        <v>555.20128369226722</v>
      </c>
    </row>
    <row r="37" spans="1:42" ht="11.25" customHeight="1" x14ac:dyDescent="0.25">
      <c r="A37" s="109"/>
      <c r="B37" s="23" t="s">
        <v>23</v>
      </c>
      <c r="C37" s="23" t="s">
        <v>42</v>
      </c>
      <c r="D37" s="23" t="s">
        <v>89</v>
      </c>
      <c r="E37" s="23" t="s">
        <v>25</v>
      </c>
      <c r="F37" s="23" t="s">
        <v>25</v>
      </c>
      <c r="G37" s="24" t="s">
        <v>77</v>
      </c>
      <c r="H37" s="24" t="s">
        <v>73</v>
      </c>
      <c r="I37" s="24">
        <f>'MERCADO TUSD'!$U$34</f>
        <v>0</v>
      </c>
      <c r="J37" s="15"/>
      <c r="L37" s="13">
        <f>'TUSD BE'!$L$37*'TUSD BF'!$L$58</f>
        <v>0</v>
      </c>
      <c r="M37" s="13">
        <f>'TUSD BE'!$M$37*'TUSD BF'!$M$58</f>
        <v>0</v>
      </c>
      <c r="N37" s="13">
        <f ca="1">'TUSD BE'!$N$37*'TUSD BF'!$N$58</f>
        <v>0</v>
      </c>
      <c r="O37" s="13">
        <f>'TUSD BE'!$O$37*'TUSD BF'!$O$58</f>
        <v>0</v>
      </c>
      <c r="P37" s="13">
        <f>'TUSD BE'!$P$37*'TUSD BF'!$P$58</f>
        <v>0</v>
      </c>
      <c r="Q37" s="13">
        <f>'TUSD BE'!$Q$37*'TUSD BF'!$Q$58</f>
        <v>0</v>
      </c>
      <c r="R37" s="13">
        <f>'TUSD BE'!$R$37*'TUSD BF'!$R$58</f>
        <v>0</v>
      </c>
      <c r="S37" s="13">
        <f>'TUSD BE'!$R$37*'TUSD BF'!$S$58</f>
        <v>0</v>
      </c>
      <c r="T37" s="13">
        <f ca="1">SUM($L$37:$S$37)</f>
        <v>0</v>
      </c>
      <c r="U37" s="13">
        <f>'TUSD BE'!$U$37*'TUSD BF'!$U$58</f>
        <v>0</v>
      </c>
      <c r="V37" s="13">
        <f>'TUSD BE'!$V$37*'TUSD BF'!$V$58</f>
        <v>0</v>
      </c>
      <c r="W37" s="13">
        <f>'TUSD BE'!$W$37*'TUSD BF'!$W$58</f>
        <v>0</v>
      </c>
      <c r="X37" s="13">
        <f>'TUSD BE'!$X$37*'TUSD BF'!$X$58</f>
        <v>0</v>
      </c>
      <c r="Y37" s="13">
        <f>'TUSD BE'!$Y$37*'TUSD BF'!$Y$58</f>
        <v>0</v>
      </c>
      <c r="Z37" s="13">
        <f>'TUSD BE'!$Z$37*'TUSD BF'!$Z$58</f>
        <v>0</v>
      </c>
      <c r="AA37" s="13">
        <f>'TUSD BE'!$AA$37*'TUSD BF'!$AA$58</f>
        <v>0</v>
      </c>
      <c r="AB37" s="13">
        <f>SUM($U$37:$AA$37)</f>
        <v>0</v>
      </c>
      <c r="AC37" s="13">
        <f>'TUSD BE'!$AC$37*'TUSD BF'!$AC$58</f>
        <v>0</v>
      </c>
      <c r="AD37" s="13">
        <f>SUM($AC$37:$AC$37)</f>
        <v>0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BF'!$AH$58</f>
        <v>0</v>
      </c>
      <c r="AI37" s="13">
        <f>'TUSD BE'!$AI$37*'TUSD BF'!$AI$58</f>
        <v>0</v>
      </c>
      <c r="AJ37" s="13">
        <f ca="1">'TUSD BE'!$AJ$37*'TUSD BF'!$AJ$58</f>
        <v>0</v>
      </c>
      <c r="AK37" s="13">
        <f ca="1">'TUSD BE'!$AK$37*'TUSD BF'!$AK$58</f>
        <v>0</v>
      </c>
      <c r="AL37" s="13">
        <f ca="1">SUM($AH$37:$AK$37)</f>
        <v>0</v>
      </c>
      <c r="AM37" s="13">
        <f ca="1">SUMIF($L$4:$AL$4,"SUBTOTAL",$L$37:$AL$37)</f>
        <v>0</v>
      </c>
      <c r="AO37" s="26">
        <f ca="1">+'TUSD BE'!$T$37+'TUSD BE'!$AB$37+'TUSD BE'!$AD$37+'TUSD BE'!$AL$37</f>
        <v>752.68038638225505</v>
      </c>
      <c r="AP37" s="26">
        <f ca="1">+'TUSD BE'!$T$37+'TUSD BE'!$AB$37+'TUSD BE'!$AD$37+'TUSD BE'!$AL$37</f>
        <v>752.68038638225505</v>
      </c>
    </row>
    <row r="38" spans="1:42" ht="11.25" customHeight="1" x14ac:dyDescent="0.25">
      <c r="A38" s="109"/>
      <c r="B38" s="109" t="s">
        <v>86</v>
      </c>
      <c r="C38" s="109" t="s">
        <v>42</v>
      </c>
      <c r="D38" s="109" t="s">
        <v>90</v>
      </c>
      <c r="E38" s="109" t="s">
        <v>25</v>
      </c>
      <c r="F38" s="109" t="s">
        <v>25</v>
      </c>
      <c r="G38" s="24" t="s">
        <v>74</v>
      </c>
      <c r="H38" s="24" t="s">
        <v>73</v>
      </c>
      <c r="I38" s="24">
        <f>'MERCADO TUSD'!$U$35</f>
        <v>0</v>
      </c>
      <c r="J38" s="15"/>
      <c r="L38" s="13">
        <f>'TUSD BE'!$L$38*'TUSD BF'!$L$58</f>
        <v>0</v>
      </c>
      <c r="M38" s="13">
        <f>'TUSD BE'!$M$38*'TUSD BF'!$M$58</f>
        <v>0</v>
      </c>
      <c r="N38" s="13">
        <f ca="1">'TUSD BE'!$N$38*'TUSD BF'!$N$58</f>
        <v>0</v>
      </c>
      <c r="O38" s="13">
        <f>'TUSD BE'!$O$38*'TUSD BF'!$O$58</f>
        <v>0</v>
      </c>
      <c r="P38" s="13">
        <f>'TUSD BE'!$P$38*'TUSD BF'!$P$58</f>
        <v>0</v>
      </c>
      <c r="Q38" s="13">
        <f>'TUSD BE'!$Q$38*'TUSD BF'!$Q$58</f>
        <v>0</v>
      </c>
      <c r="R38" s="13">
        <f>'TUSD BE'!$R$38*'TUSD BF'!$R$58</f>
        <v>0</v>
      </c>
      <c r="S38" s="13">
        <f>'TUSD BE'!$R$38*'TUSD BF'!$S$58</f>
        <v>0</v>
      </c>
      <c r="T38" s="13">
        <f ca="1">SUM($L$38:$S$38)</f>
        <v>0</v>
      </c>
      <c r="U38" s="13">
        <f>'TUSD BE'!$U$38*'TUSD BF'!$U$58</f>
        <v>0</v>
      </c>
      <c r="V38" s="13">
        <f>'TUSD BE'!$V$38*'TUSD BF'!$V$58</f>
        <v>0</v>
      </c>
      <c r="W38" s="13">
        <f>'TUSD BE'!$W$38*'TUSD BF'!$W$58</f>
        <v>0</v>
      </c>
      <c r="X38" s="13">
        <f>'TUSD BE'!$X$38*'TUSD BF'!$X$58</f>
        <v>0</v>
      </c>
      <c r="Y38" s="13">
        <f>'TUSD BE'!$Y$38*'TUSD BF'!$Y$58</f>
        <v>0</v>
      </c>
      <c r="Z38" s="13">
        <f>'TUSD BE'!$Z$38*'TUSD BF'!$Z$58</f>
        <v>0</v>
      </c>
      <c r="AA38" s="13">
        <f>'TUSD BE'!$AA$38*'TUSD BF'!$AA$58</f>
        <v>0</v>
      </c>
      <c r="AB38" s="13">
        <f>SUM($U$38:$AA$38)</f>
        <v>0</v>
      </c>
      <c r="AC38" s="13">
        <f>'TUSD BE'!$AC$38*'TUSD BF'!$AC$58</f>
        <v>0</v>
      </c>
      <c r="AD38" s="13">
        <f>SUM($AC$38:$AC$38)</f>
        <v>0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BF'!$AH$58</f>
        <v>0</v>
      </c>
      <c r="AI38" s="13">
        <f>'TUSD BE'!$AI$38*'TUSD BF'!$AI$58</f>
        <v>0</v>
      </c>
      <c r="AJ38" s="13">
        <f ca="1">'TUSD BE'!$AJ$38*'TUSD BF'!$AJ$58</f>
        <v>0</v>
      </c>
      <c r="AK38" s="13">
        <f ca="1">'TUSD BE'!$AK$38*'TUSD BF'!$AK$58</f>
        <v>0</v>
      </c>
      <c r="AL38" s="13">
        <f ca="1">SUM($AH$38:$AK$38)</f>
        <v>0</v>
      </c>
      <c r="AM38" s="13">
        <f ca="1">SUMIF($L$4:$AL$4,"SUBTOTAL",$L$38:$AL$38)</f>
        <v>0</v>
      </c>
      <c r="AO38" s="26">
        <f ca="1">+'TUSD BE'!$T$38+'TUSD BE'!$AB$38+'TUSD BE'!$AD$38+'TUSD BE'!$AL$38</f>
        <v>1814.1303313473791</v>
      </c>
      <c r="AP38" s="26">
        <f ca="1">+'TUSD BE'!$T$38+'TUSD BE'!$AB$38+'TUSD BE'!$AD$38+'TUSD BE'!$AL$38</f>
        <v>1814.1303313473791</v>
      </c>
    </row>
    <row r="39" spans="1:42" ht="11.25" customHeight="1" x14ac:dyDescent="0.25">
      <c r="A39" s="109"/>
      <c r="B39" s="109"/>
      <c r="C39" s="109"/>
      <c r="D39" s="109"/>
      <c r="E39" s="109"/>
      <c r="F39" s="109"/>
      <c r="G39" s="24" t="s">
        <v>85</v>
      </c>
      <c r="H39" s="24" t="s">
        <v>73</v>
      </c>
      <c r="I39" s="24">
        <f>'MERCADO TUSD'!$U$36</f>
        <v>0</v>
      </c>
      <c r="J39" s="15"/>
      <c r="L39" s="13">
        <f>'TUSD BE'!$L$39*'TUSD BF'!$L$58</f>
        <v>0</v>
      </c>
      <c r="M39" s="13">
        <f>'TUSD BE'!$M$39*'TUSD BF'!$M$58</f>
        <v>0</v>
      </c>
      <c r="N39" s="13">
        <f ca="1">'TUSD BE'!$N$39*'TUSD BF'!$N$58</f>
        <v>0</v>
      </c>
      <c r="O39" s="13">
        <f>'TUSD BE'!$O$39*'TUSD BF'!$O$58</f>
        <v>0</v>
      </c>
      <c r="P39" s="13">
        <f>'TUSD BE'!$P$39*'TUSD BF'!$P$58</f>
        <v>0</v>
      </c>
      <c r="Q39" s="13">
        <f>'TUSD BE'!$Q$39*'TUSD BF'!$Q$58</f>
        <v>0</v>
      </c>
      <c r="R39" s="13">
        <f>'TUSD BE'!$R$39*'TUSD BF'!$R$58</f>
        <v>0</v>
      </c>
      <c r="S39" s="13">
        <f>'TUSD BE'!$R$39*'TUSD BF'!$S$58</f>
        <v>0</v>
      </c>
      <c r="T39" s="13">
        <f ca="1">SUM($L$39:$S$39)</f>
        <v>0</v>
      </c>
      <c r="U39" s="13">
        <f>'TUSD BE'!$U$39*'TUSD BF'!$U$58</f>
        <v>0</v>
      </c>
      <c r="V39" s="13">
        <f>'TUSD BE'!$V$39*'TUSD BF'!$V$58</f>
        <v>0</v>
      </c>
      <c r="W39" s="13">
        <f>'TUSD BE'!$W$39*'TUSD BF'!$W$58</f>
        <v>0</v>
      </c>
      <c r="X39" s="13">
        <f>'TUSD BE'!$X$39*'TUSD BF'!$X$58</f>
        <v>0</v>
      </c>
      <c r="Y39" s="13">
        <f>'TUSD BE'!$Y$39*'TUSD BF'!$Y$58</f>
        <v>0</v>
      </c>
      <c r="Z39" s="13">
        <f>'TUSD BE'!$Z$39*'TUSD BF'!$Z$58</f>
        <v>0</v>
      </c>
      <c r="AA39" s="13">
        <f>'TUSD BE'!$AA$39*'TUSD BF'!$AA$58</f>
        <v>0</v>
      </c>
      <c r="AB39" s="13">
        <f>SUM($U$39:$AA$39)</f>
        <v>0</v>
      </c>
      <c r="AC39" s="13">
        <f>'TUSD BE'!$AC$39*'TUSD BF'!$AC$58</f>
        <v>0</v>
      </c>
      <c r="AD39" s="13">
        <f>SUM($AC$39:$AC$39)</f>
        <v>0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BF'!$AH$58</f>
        <v>0</v>
      </c>
      <c r="AI39" s="13">
        <f>'TUSD BE'!$AI$39*'TUSD BF'!$AI$58</f>
        <v>0</v>
      </c>
      <c r="AJ39" s="13">
        <f ca="1">'TUSD BE'!$AJ$39*'TUSD BF'!$AJ$58</f>
        <v>0</v>
      </c>
      <c r="AK39" s="13">
        <f ca="1">'TUSD BE'!$AK$39*'TUSD BF'!$AK$58</f>
        <v>0</v>
      </c>
      <c r="AL39" s="13">
        <f ca="1">SUM($AH$39:$AK$39)</f>
        <v>0</v>
      </c>
      <c r="AM39" s="13">
        <f ca="1">SUMIF($L$4:$AL$4,"SUBTOTAL",$L$39:$AL$39)</f>
        <v>0</v>
      </c>
      <c r="AO39" s="26">
        <f ca="1">+'TUSD BE'!$T$39+'TUSD BE'!$AB$39+'TUSD BE'!$AD$39+'TUSD BE'!$AL$39</f>
        <v>974.84433262873108</v>
      </c>
      <c r="AP39" s="26">
        <f ca="1">+'TUSD BE'!$T$39+'TUSD BE'!$AB$39+'TUSD BE'!$AD$39+'TUSD BE'!$AL$39</f>
        <v>974.84433262873108</v>
      </c>
    </row>
    <row r="40" spans="1:42" ht="11.25" customHeight="1" x14ac:dyDescent="0.25">
      <c r="A40" s="109"/>
      <c r="B40" s="109"/>
      <c r="C40" s="109"/>
      <c r="D40" s="109"/>
      <c r="E40" s="109"/>
      <c r="F40" s="109"/>
      <c r="G40" s="24" t="s">
        <v>75</v>
      </c>
      <c r="H40" s="24" t="s">
        <v>73</v>
      </c>
      <c r="I40" s="24">
        <f>'MERCADO TUSD'!$U$37</f>
        <v>0</v>
      </c>
      <c r="J40" s="15"/>
      <c r="L40" s="13">
        <f>'TUSD BE'!$L$40*'TUSD BF'!$L$58</f>
        <v>0</v>
      </c>
      <c r="M40" s="13">
        <f>'TUSD BE'!$M$40*'TUSD BF'!$M$58</f>
        <v>0</v>
      </c>
      <c r="N40" s="13">
        <f ca="1">'TUSD BE'!$N$40*'TUSD BF'!$N$58</f>
        <v>0</v>
      </c>
      <c r="O40" s="13">
        <f>'TUSD BE'!$O$40*'TUSD BF'!$O$58</f>
        <v>0</v>
      </c>
      <c r="P40" s="13">
        <f>'TUSD BE'!$P$40*'TUSD BF'!$P$58</f>
        <v>0</v>
      </c>
      <c r="Q40" s="13">
        <f>'TUSD BE'!$Q$40*'TUSD BF'!$Q$58</f>
        <v>0</v>
      </c>
      <c r="R40" s="13">
        <f>'TUSD BE'!$R$40*'TUSD BF'!$R$58</f>
        <v>0</v>
      </c>
      <c r="S40" s="13">
        <f>'TUSD BE'!$R$40*'TUSD BF'!$S$58</f>
        <v>0</v>
      </c>
      <c r="T40" s="13">
        <f ca="1">SUM($L$40:$S$40)</f>
        <v>0</v>
      </c>
      <c r="U40" s="13">
        <f>'TUSD BE'!$U$40*'TUSD BF'!$U$58</f>
        <v>0</v>
      </c>
      <c r="V40" s="13">
        <f>'TUSD BE'!$V$40*'TUSD BF'!$V$58</f>
        <v>0</v>
      </c>
      <c r="W40" s="13">
        <f>'TUSD BE'!$W$40*'TUSD BF'!$W$58</f>
        <v>0</v>
      </c>
      <c r="X40" s="13">
        <f>'TUSD BE'!$X$40*'TUSD BF'!$X$58</f>
        <v>0</v>
      </c>
      <c r="Y40" s="13">
        <f>'TUSD BE'!$Y$40*'TUSD BF'!$Y$58</f>
        <v>0</v>
      </c>
      <c r="Z40" s="13">
        <f>'TUSD BE'!$Z$40*'TUSD BF'!$Z$58</f>
        <v>0</v>
      </c>
      <c r="AA40" s="13">
        <f>'TUSD BE'!$AA$40*'TUSD BF'!$AA$58</f>
        <v>0</v>
      </c>
      <c r="AB40" s="13">
        <f>SUM($U$40:$AA$40)</f>
        <v>0</v>
      </c>
      <c r="AC40" s="13">
        <f>'TUSD BE'!$AC$40*'TUSD BF'!$AC$58</f>
        <v>0</v>
      </c>
      <c r="AD40" s="13">
        <f>SUM($AC$40:$AC$40)</f>
        <v>0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BF'!$AH$58</f>
        <v>0</v>
      </c>
      <c r="AI40" s="13">
        <f>'TUSD BE'!$AI$40*'TUSD BF'!$AI$58</f>
        <v>0</v>
      </c>
      <c r="AJ40" s="13">
        <f ca="1">'TUSD BE'!$AJ$40*'TUSD BF'!$AJ$58</f>
        <v>0</v>
      </c>
      <c r="AK40" s="13">
        <f ca="1">'TUSD BE'!$AK$40*'TUSD BF'!$AK$58</f>
        <v>0</v>
      </c>
      <c r="AL40" s="13">
        <f ca="1">SUM($AH$40:$AK$40)</f>
        <v>0</v>
      </c>
      <c r="AM40" s="13">
        <f ca="1">SUMIF($L$4:$AL$4,"SUBTOTAL",$L$40:$AL$40)</f>
        <v>0</v>
      </c>
      <c r="AO40" s="26">
        <f ca="1">+'TUSD BE'!$T$40+'TUSD BE'!$AB$40+'TUSD BE'!$AD$40+'TUSD BE'!$AL$40</f>
        <v>555.20128369226722</v>
      </c>
      <c r="AP40" s="26">
        <f ca="1">+'TUSD BE'!$T$40+'TUSD BE'!$AB$40+'TUSD BE'!$AD$40+'TUSD BE'!$AL$40</f>
        <v>555.20128369226722</v>
      </c>
    </row>
    <row r="41" spans="1:42" ht="11.25" customHeight="1" x14ac:dyDescent="0.25">
      <c r="A41" s="109"/>
      <c r="B41" s="23" t="s">
        <v>23</v>
      </c>
      <c r="C41" s="23" t="s">
        <v>42</v>
      </c>
      <c r="D41" s="23" t="s">
        <v>90</v>
      </c>
      <c r="E41" s="23" t="s">
        <v>25</v>
      </c>
      <c r="F41" s="23" t="s">
        <v>25</v>
      </c>
      <c r="G41" s="24" t="s">
        <v>77</v>
      </c>
      <c r="H41" s="24" t="s">
        <v>73</v>
      </c>
      <c r="I41" s="24">
        <f>'MERCADO TUSD'!$U$38</f>
        <v>0</v>
      </c>
      <c r="J41" s="15"/>
      <c r="L41" s="13">
        <f>'TUSD BE'!$L$41*'TUSD BF'!$L$58</f>
        <v>0</v>
      </c>
      <c r="M41" s="13">
        <f>'TUSD BE'!$M$41*'TUSD BF'!$M$58</f>
        <v>0</v>
      </c>
      <c r="N41" s="13">
        <f ca="1">'TUSD BE'!$N$41*'TUSD BF'!$N$58</f>
        <v>0</v>
      </c>
      <c r="O41" s="13">
        <f>'TUSD BE'!$O$41*'TUSD BF'!$O$58</f>
        <v>0</v>
      </c>
      <c r="P41" s="13">
        <f>'TUSD BE'!$P$41*'TUSD BF'!$P$58</f>
        <v>0</v>
      </c>
      <c r="Q41" s="13">
        <f>'TUSD BE'!$Q$41*'TUSD BF'!$Q$58</f>
        <v>0</v>
      </c>
      <c r="R41" s="13">
        <f>'TUSD BE'!$R$41*'TUSD BF'!$R$58</f>
        <v>0</v>
      </c>
      <c r="S41" s="13">
        <f>'TUSD BE'!$R$41*'TUSD BF'!$S$58</f>
        <v>0</v>
      </c>
      <c r="T41" s="13">
        <f ca="1">SUM($L$41:$S$41)</f>
        <v>0</v>
      </c>
      <c r="U41" s="13">
        <f>'TUSD BE'!$U$41*'TUSD BF'!$U$58</f>
        <v>0</v>
      </c>
      <c r="V41" s="13">
        <f>'TUSD BE'!$V$41*'TUSD BF'!$V$58</f>
        <v>0</v>
      </c>
      <c r="W41" s="13">
        <f>'TUSD BE'!$W$41*'TUSD BF'!$W$58</f>
        <v>0</v>
      </c>
      <c r="X41" s="13">
        <f>'TUSD BE'!$X$41*'TUSD BF'!$X$58</f>
        <v>0</v>
      </c>
      <c r="Y41" s="13">
        <f>'TUSD BE'!$Y$41*'TUSD BF'!$Y$58</f>
        <v>0</v>
      </c>
      <c r="Z41" s="13">
        <f>'TUSD BE'!$Z$41*'TUSD BF'!$Z$58</f>
        <v>0</v>
      </c>
      <c r="AA41" s="13">
        <f>'TUSD BE'!$AA$41*'TUSD BF'!$AA$58</f>
        <v>0</v>
      </c>
      <c r="AB41" s="13">
        <f>SUM($U$41:$AA$41)</f>
        <v>0</v>
      </c>
      <c r="AC41" s="13">
        <f>'TUSD BE'!$AC$41*'TUSD BF'!$AC$58</f>
        <v>0</v>
      </c>
      <c r="AD41" s="13">
        <f>SUM($AC$41:$AC$41)</f>
        <v>0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BF'!$AH$58</f>
        <v>0</v>
      </c>
      <c r="AI41" s="13">
        <f>'TUSD BE'!$AI$41*'TUSD BF'!$AI$58</f>
        <v>0</v>
      </c>
      <c r="AJ41" s="13">
        <f ca="1">'TUSD BE'!$AJ$41*'TUSD BF'!$AJ$58</f>
        <v>0</v>
      </c>
      <c r="AK41" s="13">
        <f ca="1">'TUSD BE'!$AK$41*'TUSD BF'!$AK$58</f>
        <v>0</v>
      </c>
      <c r="AL41" s="13">
        <f ca="1">SUM($AH$41:$AK$41)</f>
        <v>0</v>
      </c>
      <c r="AM41" s="13">
        <f ca="1">SUMIF($L$4:$AL$4,"SUBTOTAL",$L$41:$AL$41)</f>
        <v>0</v>
      </c>
      <c r="AO41" s="26">
        <f ca="1">+'TUSD BE'!$T$41+'TUSD BE'!$AB$41+'TUSD BE'!$AD$41+'TUSD BE'!$AL$41</f>
        <v>752.68038638225505</v>
      </c>
      <c r="AP41" s="26">
        <f ca="1">+'TUSD BE'!$T$41+'TUSD BE'!$AB$41+'TUSD BE'!$AD$41+'TUSD BE'!$AL$41</f>
        <v>752.68038638225505</v>
      </c>
    </row>
    <row r="42" spans="1:42" ht="11.25" customHeight="1" x14ac:dyDescent="0.25">
      <c r="A42" s="109"/>
      <c r="B42" s="109" t="s">
        <v>88</v>
      </c>
      <c r="C42" s="109" t="s">
        <v>42</v>
      </c>
      <c r="D42" s="23" t="s">
        <v>25</v>
      </c>
      <c r="E42" s="23" t="s">
        <v>25</v>
      </c>
      <c r="F42" s="23" t="s">
        <v>25</v>
      </c>
      <c r="G42" s="24" t="s">
        <v>77</v>
      </c>
      <c r="H42" s="24" t="s">
        <v>73</v>
      </c>
      <c r="I42" s="24">
        <f>'MERCADO TUSD'!$U$39</f>
        <v>0</v>
      </c>
      <c r="J42" s="15"/>
      <c r="L42" s="13">
        <f>'TUSD BE'!$L$42*'TUSD BF'!$L$58</f>
        <v>0</v>
      </c>
      <c r="M42" s="13">
        <f>'TUSD BE'!$M$42*'TUSD BF'!$M$58</f>
        <v>0</v>
      </c>
      <c r="N42" s="13">
        <f ca="1">'TUSD BE'!$N$42*'TUSD BF'!$N$58</f>
        <v>0</v>
      </c>
      <c r="O42" s="13">
        <f>'TUSD BE'!$O$42*'TUSD BF'!$O$58</f>
        <v>0</v>
      </c>
      <c r="P42" s="13">
        <f>'TUSD BE'!$P$42*'TUSD BF'!$P$58</f>
        <v>0</v>
      </c>
      <c r="Q42" s="13">
        <f>'TUSD BE'!$Q$42*'TUSD BF'!$Q$58</f>
        <v>0</v>
      </c>
      <c r="R42" s="13">
        <f>'TUSD BE'!$R$42*'TUSD BF'!$R$58</f>
        <v>0</v>
      </c>
      <c r="S42" s="13">
        <f>'TUSD BE'!$R$42*'TUSD BF'!$S$58</f>
        <v>0</v>
      </c>
      <c r="T42" s="13">
        <f ca="1">SUM($L$42:$S$42)</f>
        <v>0</v>
      </c>
      <c r="U42" s="13">
        <f>'TUSD BE'!$U$42*'TUSD BF'!$U$58</f>
        <v>0</v>
      </c>
      <c r="V42" s="13">
        <f>'TUSD BE'!$V$42*'TUSD BF'!$V$58</f>
        <v>0</v>
      </c>
      <c r="W42" s="13">
        <f>'TUSD BE'!$W$42*'TUSD BF'!$W$58</f>
        <v>0</v>
      </c>
      <c r="X42" s="13">
        <f>'TUSD BE'!$X$42*'TUSD BF'!$X$58</f>
        <v>0</v>
      </c>
      <c r="Y42" s="13">
        <f>'TUSD BE'!$Y$42*'TUSD BF'!$Y$58</f>
        <v>0</v>
      </c>
      <c r="Z42" s="13">
        <f>'TUSD BE'!$Z$42*'TUSD BF'!$Z$58</f>
        <v>0</v>
      </c>
      <c r="AA42" s="13">
        <f>'TUSD BE'!$AA$42*'TUSD BF'!$AA$58</f>
        <v>0</v>
      </c>
      <c r="AB42" s="13">
        <f>SUM($U$42:$AA$42)</f>
        <v>0</v>
      </c>
      <c r="AC42" s="13">
        <f>'TUSD BE'!$AC$42*'TUSD BF'!$AC$58</f>
        <v>0</v>
      </c>
      <c r="AD42" s="13">
        <f>SUM($AC$42:$AC$42)</f>
        <v>0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BF'!$AH$58</f>
        <v>0</v>
      </c>
      <c r="AI42" s="13">
        <f>'TUSD BE'!$AI$42*'TUSD BF'!$AI$58</f>
        <v>0</v>
      </c>
      <c r="AJ42" s="13">
        <f ca="1">'TUSD BE'!$AJ$42*'TUSD BF'!$AJ$58</f>
        <v>0</v>
      </c>
      <c r="AK42" s="13">
        <f ca="1">'TUSD BE'!$AK$42*'TUSD BF'!$AK$58</f>
        <v>0</v>
      </c>
      <c r="AL42" s="13">
        <f ca="1">SUM($AH$42:$AK$42)</f>
        <v>0</v>
      </c>
      <c r="AM42" s="13">
        <f ca="1">SUMIF($L$4:$AL$4,"SUBTOTAL",$L$42:$AL$42)</f>
        <v>0</v>
      </c>
      <c r="AO42" s="26">
        <f ca="1">+'TUSD BE'!$T$42+'TUSD BE'!$AB$42+'TUSD BE'!$AD$42+'TUSD BE'!$AL$42</f>
        <v>752.68038638225505</v>
      </c>
      <c r="AP42" s="26">
        <f ca="1">+'TUSD BE'!$T$42+'TUSD BE'!$AB$42+'TUSD BE'!$AD$42+'TUSD BE'!$AL$42</f>
        <v>752.68038638225505</v>
      </c>
    </row>
    <row r="43" spans="1:42" ht="11.25" customHeight="1" x14ac:dyDescent="0.25">
      <c r="A43" s="109"/>
      <c r="B43" s="109"/>
      <c r="C43" s="109"/>
      <c r="D43" s="23" t="s">
        <v>89</v>
      </c>
      <c r="E43" s="23" t="s">
        <v>25</v>
      </c>
      <c r="F43" s="23" t="s">
        <v>25</v>
      </c>
      <c r="G43" s="24" t="s">
        <v>77</v>
      </c>
      <c r="H43" s="24" t="s">
        <v>73</v>
      </c>
      <c r="I43" s="24">
        <f>'MERCADO TUSD'!$U$40</f>
        <v>0</v>
      </c>
      <c r="J43" s="15"/>
      <c r="L43" s="13">
        <f>'TUSD BE'!$L$43*'TUSD BF'!$L$58</f>
        <v>0</v>
      </c>
      <c r="M43" s="13">
        <f>'TUSD BE'!$M$43*'TUSD BF'!$M$58</f>
        <v>0</v>
      </c>
      <c r="N43" s="13">
        <f ca="1">'TUSD BE'!$N$43*'TUSD BF'!$N$58</f>
        <v>0</v>
      </c>
      <c r="O43" s="13">
        <f>'TUSD BE'!$O$43*'TUSD BF'!$O$58</f>
        <v>0</v>
      </c>
      <c r="P43" s="13">
        <f>'TUSD BE'!$P$43*'TUSD BF'!$P$58</f>
        <v>0</v>
      </c>
      <c r="Q43" s="13">
        <f>'TUSD BE'!$Q$43*'TUSD BF'!$Q$58</f>
        <v>0</v>
      </c>
      <c r="R43" s="13">
        <f>'TUSD BE'!$R$43*'TUSD BF'!$R$58</f>
        <v>0</v>
      </c>
      <c r="S43" s="13">
        <f>'TUSD BE'!$R$43*'TUSD BF'!$S$58</f>
        <v>0</v>
      </c>
      <c r="T43" s="13">
        <f ca="1">SUM($L$43:$S$43)</f>
        <v>0</v>
      </c>
      <c r="U43" s="13">
        <f>'TUSD BE'!$U$43*'TUSD BF'!$U$58</f>
        <v>0</v>
      </c>
      <c r="V43" s="13">
        <f>'TUSD BE'!$V$43*'TUSD BF'!$V$58</f>
        <v>0</v>
      </c>
      <c r="W43" s="13">
        <f>'TUSD BE'!$W$43*'TUSD BF'!$W$58</f>
        <v>0</v>
      </c>
      <c r="X43" s="13">
        <f>'TUSD BE'!$X$43*'TUSD BF'!$X$58</f>
        <v>0</v>
      </c>
      <c r="Y43" s="13">
        <f>'TUSD BE'!$Y$43*'TUSD BF'!$Y$58</f>
        <v>0</v>
      </c>
      <c r="Z43" s="13">
        <f>'TUSD BE'!$Z$43*'TUSD BF'!$Z$58</f>
        <v>0</v>
      </c>
      <c r="AA43" s="13">
        <f>'TUSD BE'!$AA$43*'TUSD BF'!$AA$58</f>
        <v>0</v>
      </c>
      <c r="AB43" s="13">
        <f>SUM($U$43:$AA$43)</f>
        <v>0</v>
      </c>
      <c r="AC43" s="13">
        <f>'TUSD BE'!$AC$43*'TUSD BF'!$AC$58</f>
        <v>0</v>
      </c>
      <c r="AD43" s="13">
        <f>SUM($AC$43:$AC$43)</f>
        <v>0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BF'!$AH$58</f>
        <v>0</v>
      </c>
      <c r="AI43" s="13">
        <f>'TUSD BE'!$AI$43*'TUSD BF'!$AI$58</f>
        <v>0</v>
      </c>
      <c r="AJ43" s="13">
        <f ca="1">'TUSD BE'!$AJ$43*'TUSD BF'!$AJ$58</f>
        <v>0</v>
      </c>
      <c r="AK43" s="13">
        <f ca="1">'TUSD BE'!$AK$43*'TUSD BF'!$AK$58</f>
        <v>0</v>
      </c>
      <c r="AL43" s="13">
        <f ca="1">SUM($AH$43:$AK$43)</f>
        <v>0</v>
      </c>
      <c r="AM43" s="13">
        <f ca="1">SUMIF($L$4:$AL$4,"SUBTOTAL",$L$43:$AL$43)</f>
        <v>0</v>
      </c>
      <c r="AO43" s="26">
        <f ca="1">+'TUSD BE'!$T$43+'TUSD BE'!$AB$43+'TUSD BE'!$AD$43+'TUSD BE'!$AL$43</f>
        <v>752.68038638225505</v>
      </c>
      <c r="AP43" s="26">
        <f ca="1">+'TUSD BE'!$T$43+'TUSD BE'!$AB$43+'TUSD BE'!$AD$43+'TUSD BE'!$AL$43</f>
        <v>752.68038638225505</v>
      </c>
    </row>
    <row r="44" spans="1:42" ht="11.25" customHeight="1" x14ac:dyDescent="0.25">
      <c r="A44" s="109"/>
      <c r="B44" s="109"/>
      <c r="C44" s="109"/>
      <c r="D44" s="23" t="s">
        <v>90</v>
      </c>
      <c r="E44" s="23" t="s">
        <v>25</v>
      </c>
      <c r="F44" s="23" t="s">
        <v>25</v>
      </c>
      <c r="G44" s="24" t="s">
        <v>77</v>
      </c>
      <c r="H44" s="24" t="s">
        <v>73</v>
      </c>
      <c r="I44" s="24">
        <f>'MERCADO TUSD'!$U$41</f>
        <v>0</v>
      </c>
      <c r="J44" s="15"/>
      <c r="L44" s="13">
        <f>'TUSD BE'!$L$44*'TUSD BF'!$L$58</f>
        <v>0</v>
      </c>
      <c r="M44" s="13">
        <f>'TUSD BE'!$M$44*'TUSD BF'!$M$58</f>
        <v>0</v>
      </c>
      <c r="N44" s="13">
        <f ca="1">'TUSD BE'!$N$44*'TUSD BF'!$N$58</f>
        <v>0</v>
      </c>
      <c r="O44" s="13">
        <f>'TUSD BE'!$O$44*'TUSD BF'!$O$58</f>
        <v>0</v>
      </c>
      <c r="P44" s="13">
        <f>'TUSD BE'!$P$44*'TUSD BF'!$P$58</f>
        <v>0</v>
      </c>
      <c r="Q44" s="13">
        <f>'TUSD BE'!$Q$44*'TUSD BF'!$Q$58</f>
        <v>0</v>
      </c>
      <c r="R44" s="13">
        <f>'TUSD BE'!$R$44*'TUSD BF'!$R$58</f>
        <v>0</v>
      </c>
      <c r="S44" s="13">
        <f>'TUSD BE'!$R$44*'TUSD BF'!$S$58</f>
        <v>0</v>
      </c>
      <c r="T44" s="13">
        <f ca="1">SUM($L$44:$S$44)</f>
        <v>0</v>
      </c>
      <c r="U44" s="13">
        <f>'TUSD BE'!$U$44*'TUSD BF'!$U$58</f>
        <v>0</v>
      </c>
      <c r="V44" s="13">
        <f>'TUSD BE'!$V$44*'TUSD BF'!$V$58</f>
        <v>0</v>
      </c>
      <c r="W44" s="13">
        <f>'TUSD BE'!$W$44*'TUSD BF'!$W$58</f>
        <v>0</v>
      </c>
      <c r="X44" s="13">
        <f>'TUSD BE'!$X$44*'TUSD BF'!$X$58</f>
        <v>0</v>
      </c>
      <c r="Y44" s="13">
        <f>'TUSD BE'!$Y$44*'TUSD BF'!$Y$58</f>
        <v>0</v>
      </c>
      <c r="Z44" s="13">
        <f>'TUSD BE'!$Z$44*'TUSD BF'!$Z$58</f>
        <v>0</v>
      </c>
      <c r="AA44" s="13">
        <f>'TUSD BE'!$AA$44*'TUSD BF'!$AA$58</f>
        <v>0</v>
      </c>
      <c r="AB44" s="13">
        <f>SUM($U$44:$AA$44)</f>
        <v>0</v>
      </c>
      <c r="AC44" s="13">
        <f>'TUSD BE'!$AC$44*'TUSD BF'!$AC$58</f>
        <v>0</v>
      </c>
      <c r="AD44" s="13">
        <f>SUM($AC$44:$AC$44)</f>
        <v>0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BF'!$AH$58</f>
        <v>0</v>
      </c>
      <c r="AI44" s="13">
        <f>'TUSD BE'!$AI$44*'TUSD BF'!$AI$58</f>
        <v>0</v>
      </c>
      <c r="AJ44" s="13">
        <f ca="1">'TUSD BE'!$AJ$44*'TUSD BF'!$AJ$58</f>
        <v>0</v>
      </c>
      <c r="AK44" s="13">
        <f ca="1">'TUSD BE'!$AK$44*'TUSD BF'!$AK$58</f>
        <v>0</v>
      </c>
      <c r="AL44" s="13">
        <f ca="1">SUM($AH$44:$AK$44)</f>
        <v>0</v>
      </c>
      <c r="AM44" s="13">
        <f ca="1">SUMIF($L$4:$AL$4,"SUBTOTAL",$L$44:$AL$44)</f>
        <v>0</v>
      </c>
      <c r="AO44" s="26">
        <f ca="1">+'TUSD BE'!$T$44+'TUSD BE'!$AB$44+'TUSD BE'!$AD$44+'TUSD BE'!$AL$44</f>
        <v>752.68038638225505</v>
      </c>
      <c r="AP44" s="26">
        <f ca="1">+'TUSD BE'!$T$44+'TUSD BE'!$AB$44+'TUSD BE'!$AD$44+'TUSD BE'!$AL$44</f>
        <v>752.68038638225505</v>
      </c>
    </row>
    <row r="45" spans="1:42" ht="11.25" customHeight="1" x14ac:dyDescent="0.25">
      <c r="A45" s="109" t="s">
        <v>33</v>
      </c>
      <c r="B45" s="109" t="s">
        <v>86</v>
      </c>
      <c r="C45" s="109" t="s">
        <v>25</v>
      </c>
      <c r="D45" s="109" t="s">
        <v>25</v>
      </c>
      <c r="E45" s="109" t="s">
        <v>25</v>
      </c>
      <c r="F45" s="109" t="s">
        <v>25</v>
      </c>
      <c r="G45" s="24" t="s">
        <v>74</v>
      </c>
      <c r="H45" s="24" t="s">
        <v>73</v>
      </c>
      <c r="I45" s="24">
        <f>'MERCADO TUSD'!$U$42</f>
        <v>0</v>
      </c>
      <c r="J45" s="15"/>
      <c r="L45" s="13">
        <f>'TUSD BE'!$L$45*'TUSD BF'!$L$58</f>
        <v>0</v>
      </c>
      <c r="M45" s="13">
        <f>'TUSD BE'!$M$45*'TUSD BF'!$M$58</f>
        <v>0</v>
      </c>
      <c r="N45" s="13">
        <f ca="1">'TUSD BE'!$N$45*'TUSD BF'!$N$58</f>
        <v>0</v>
      </c>
      <c r="O45" s="13">
        <f>'TUSD BE'!$O$45*'TUSD BF'!$O$58</f>
        <v>0</v>
      </c>
      <c r="P45" s="13">
        <f>'TUSD BE'!$P$45*'TUSD BF'!$P$58</f>
        <v>0</v>
      </c>
      <c r="Q45" s="13">
        <f>'TUSD BE'!$Q$45*'TUSD BF'!$Q$58</f>
        <v>0</v>
      </c>
      <c r="R45" s="13">
        <f>'TUSD BE'!$R$45*'TUSD BF'!$R$58</f>
        <v>0</v>
      </c>
      <c r="S45" s="13">
        <f>'TUSD BE'!$R$45*'TUSD BF'!$S$58</f>
        <v>0</v>
      </c>
      <c r="T45" s="13">
        <f ca="1">SUM($L$45:$S$45)</f>
        <v>0</v>
      </c>
      <c r="U45" s="13">
        <f>'TUSD BE'!$U$45*'TUSD BF'!$U$58</f>
        <v>0</v>
      </c>
      <c r="V45" s="13">
        <f>'TUSD BE'!$V$45*'TUSD BF'!$V$58</f>
        <v>0</v>
      </c>
      <c r="W45" s="13">
        <f>'TUSD BE'!$W$45*'TUSD BF'!$W$58</f>
        <v>0</v>
      </c>
      <c r="X45" s="13">
        <f>'TUSD BE'!$X$45*'TUSD BF'!$X$58</f>
        <v>0</v>
      </c>
      <c r="Y45" s="13">
        <f>'TUSD BE'!$Y$45*'TUSD BF'!$Y$58</f>
        <v>0</v>
      </c>
      <c r="Z45" s="13">
        <f>'TUSD BE'!$Z$45*'TUSD BF'!$Z$58</f>
        <v>0</v>
      </c>
      <c r="AA45" s="13">
        <f>'TUSD BE'!$AA$45*'TUSD BF'!$AA$58</f>
        <v>0</v>
      </c>
      <c r="AB45" s="13">
        <f>SUM($U$45:$AA$45)</f>
        <v>0</v>
      </c>
      <c r="AC45" s="13">
        <f>'TUSD BE'!$AC$45*'TUSD BF'!$AC$58</f>
        <v>0</v>
      </c>
      <c r="AD45" s="13">
        <f>SUM($AC$45:$AC$45)</f>
        <v>0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BF'!$AH$58</f>
        <v>0</v>
      </c>
      <c r="AI45" s="13">
        <f>'TUSD BE'!$AI$45*'TUSD BF'!$AI$58</f>
        <v>0</v>
      </c>
      <c r="AJ45" s="13">
        <f ca="1">'TUSD BE'!$AJ$45*'TUSD BF'!$AJ$58</f>
        <v>0</v>
      </c>
      <c r="AK45" s="13">
        <f ca="1">'TUSD BE'!$AK$45*'TUSD BF'!$AK$58</f>
        <v>0</v>
      </c>
      <c r="AL45" s="13">
        <f ca="1">SUM($AH$45:$AK$45)</f>
        <v>0</v>
      </c>
      <c r="AM45" s="13">
        <f ca="1">SUMIF($L$4:$AL$4,"SUBTOTAL",$L$45:$AL$45)</f>
        <v>0</v>
      </c>
      <c r="AO45" s="26">
        <f ca="1">+'TUSD BE'!$T$45+'TUSD BE'!$AB$45+'TUSD BE'!$AD$45+'TUSD BE'!$AL$45</f>
        <v>2141.2051503372991</v>
      </c>
      <c r="AP45" s="26">
        <f ca="1">+'TUSD BE'!$T$45+'TUSD BE'!$AB$45+'TUSD BE'!$AD$45+'TUSD BE'!$AL$45</f>
        <v>2141.2051503372991</v>
      </c>
    </row>
    <row r="46" spans="1:42" ht="11.25" customHeight="1" x14ac:dyDescent="0.25">
      <c r="A46" s="109"/>
      <c r="B46" s="109"/>
      <c r="C46" s="109"/>
      <c r="D46" s="109"/>
      <c r="E46" s="109"/>
      <c r="F46" s="109"/>
      <c r="G46" s="24" t="s">
        <v>85</v>
      </c>
      <c r="H46" s="24" t="s">
        <v>73</v>
      </c>
      <c r="I46" s="24">
        <f>'MERCADO TUSD'!$U$43</f>
        <v>0</v>
      </c>
      <c r="J46" s="15"/>
      <c r="L46" s="13">
        <f>'TUSD BE'!$L$46*'TUSD BF'!$L$58</f>
        <v>0</v>
      </c>
      <c r="M46" s="13">
        <f>'TUSD BE'!$M$46*'TUSD BF'!$M$58</f>
        <v>0</v>
      </c>
      <c r="N46" s="13">
        <f ca="1">'TUSD BE'!$N$46*'TUSD BF'!$N$58</f>
        <v>0</v>
      </c>
      <c r="O46" s="13">
        <f>'TUSD BE'!$O$46*'TUSD BF'!$O$58</f>
        <v>0</v>
      </c>
      <c r="P46" s="13">
        <f>'TUSD BE'!$P$46*'TUSD BF'!$P$58</f>
        <v>0</v>
      </c>
      <c r="Q46" s="13">
        <f>'TUSD BE'!$Q$46*'TUSD BF'!$Q$58</f>
        <v>0</v>
      </c>
      <c r="R46" s="13">
        <f>'TUSD BE'!$R$46*'TUSD BF'!$R$58</f>
        <v>0</v>
      </c>
      <c r="S46" s="13">
        <f>'TUSD BE'!$R$46*'TUSD BF'!$S$58</f>
        <v>0</v>
      </c>
      <c r="T46" s="13">
        <f ca="1">SUM($L$46:$S$46)</f>
        <v>0</v>
      </c>
      <c r="U46" s="13">
        <f>'TUSD BE'!$U$46*'TUSD BF'!$U$58</f>
        <v>0</v>
      </c>
      <c r="V46" s="13">
        <f>'TUSD BE'!$V$46*'TUSD BF'!$V$58</f>
        <v>0</v>
      </c>
      <c r="W46" s="13">
        <f>'TUSD BE'!$W$46*'TUSD BF'!$W$58</f>
        <v>0</v>
      </c>
      <c r="X46" s="13">
        <f>'TUSD BE'!$X$46*'TUSD BF'!$X$58</f>
        <v>0</v>
      </c>
      <c r="Y46" s="13">
        <f>'TUSD BE'!$Y$46*'TUSD BF'!$Y$58</f>
        <v>0</v>
      </c>
      <c r="Z46" s="13">
        <f>'TUSD BE'!$Z$46*'TUSD BF'!$Z$58</f>
        <v>0</v>
      </c>
      <c r="AA46" s="13">
        <f>'TUSD BE'!$AA$46*'TUSD BF'!$AA$58</f>
        <v>0</v>
      </c>
      <c r="AB46" s="13">
        <f>SUM($U$46:$AA$46)</f>
        <v>0</v>
      </c>
      <c r="AC46" s="13">
        <f>'TUSD BE'!$AC$46*'TUSD BF'!$AC$58</f>
        <v>0</v>
      </c>
      <c r="AD46" s="13">
        <f>SUM($AC$46:$AC$46)</f>
        <v>0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BF'!$AH$58</f>
        <v>0</v>
      </c>
      <c r="AI46" s="13">
        <f>'TUSD BE'!$AI$46*'TUSD BF'!$AI$58</f>
        <v>0</v>
      </c>
      <c r="AJ46" s="13">
        <f ca="1">'TUSD BE'!$AJ$46*'TUSD BF'!$AJ$58</f>
        <v>0</v>
      </c>
      <c r="AK46" s="13">
        <f ca="1">'TUSD BE'!$AK$46*'TUSD BF'!$AK$58</f>
        <v>0</v>
      </c>
      <c r="AL46" s="13">
        <f ca="1">SUM($AH$46:$AK$46)</f>
        <v>0</v>
      </c>
      <c r="AM46" s="13">
        <f ca="1">SUMIF($L$4:$AL$4,"SUBTOTAL",$L$46:$AL$46)</f>
        <v>0</v>
      </c>
      <c r="AO46" s="26">
        <f ca="1">+'TUSD BE'!$T$46+'TUSD BE'!$AB$46+'TUSD BE'!$AD$46+'TUSD BE'!$AL$46</f>
        <v>1338.9463177991038</v>
      </c>
      <c r="AP46" s="26">
        <f ca="1">+'TUSD BE'!$T$46+'TUSD BE'!$AB$46+'TUSD BE'!$AD$46+'TUSD BE'!$AL$46</f>
        <v>1338.9463177991038</v>
      </c>
    </row>
    <row r="47" spans="1:42" ht="11.25" customHeight="1" x14ac:dyDescent="0.25">
      <c r="A47" s="109"/>
      <c r="B47" s="109"/>
      <c r="C47" s="109"/>
      <c r="D47" s="109"/>
      <c r="E47" s="109"/>
      <c r="F47" s="109"/>
      <c r="G47" s="24" t="s">
        <v>75</v>
      </c>
      <c r="H47" s="24" t="s">
        <v>73</v>
      </c>
      <c r="I47" s="24">
        <f>'MERCADO TUSD'!$U$44</f>
        <v>0</v>
      </c>
      <c r="J47" s="15"/>
      <c r="L47" s="13">
        <f>'TUSD BE'!$L$47*'TUSD BF'!$L$58</f>
        <v>0</v>
      </c>
      <c r="M47" s="13">
        <f>'TUSD BE'!$M$47*'TUSD BF'!$M$58</f>
        <v>0</v>
      </c>
      <c r="N47" s="13">
        <f ca="1">'TUSD BE'!$N$47*'TUSD BF'!$N$58</f>
        <v>0</v>
      </c>
      <c r="O47" s="13">
        <f>'TUSD BE'!$O$47*'TUSD BF'!$O$58</f>
        <v>0</v>
      </c>
      <c r="P47" s="13">
        <f>'TUSD BE'!$P$47*'TUSD BF'!$P$58</f>
        <v>0</v>
      </c>
      <c r="Q47" s="13">
        <f>'TUSD BE'!$Q$47*'TUSD BF'!$Q$58</f>
        <v>0</v>
      </c>
      <c r="R47" s="13">
        <f>'TUSD BE'!$R$47*'TUSD BF'!$R$58</f>
        <v>0</v>
      </c>
      <c r="S47" s="13">
        <f>'TUSD BE'!$R$47*'TUSD BF'!$S$58</f>
        <v>0</v>
      </c>
      <c r="T47" s="13">
        <f ca="1">SUM($L$47:$S$47)</f>
        <v>0</v>
      </c>
      <c r="U47" s="13">
        <f>'TUSD BE'!$U$47*'TUSD BF'!$U$58</f>
        <v>0</v>
      </c>
      <c r="V47" s="13">
        <f>'TUSD BE'!$V$47*'TUSD BF'!$V$58</f>
        <v>0</v>
      </c>
      <c r="W47" s="13">
        <f>'TUSD BE'!$W$47*'TUSD BF'!$W$58</f>
        <v>0</v>
      </c>
      <c r="X47" s="13">
        <f>'TUSD BE'!$X$47*'TUSD BF'!$X$58</f>
        <v>0</v>
      </c>
      <c r="Y47" s="13">
        <f>'TUSD BE'!$Y$47*'TUSD BF'!$Y$58</f>
        <v>0</v>
      </c>
      <c r="Z47" s="13">
        <f>'TUSD BE'!$Z$47*'TUSD BF'!$Z$58</f>
        <v>0</v>
      </c>
      <c r="AA47" s="13">
        <f>'TUSD BE'!$AA$47*'TUSD BF'!$AA$58</f>
        <v>0</v>
      </c>
      <c r="AB47" s="13">
        <f>SUM($U$47:$AA$47)</f>
        <v>0</v>
      </c>
      <c r="AC47" s="13">
        <f>'TUSD BE'!$AC$47*'TUSD BF'!$AC$58</f>
        <v>0</v>
      </c>
      <c r="AD47" s="13">
        <f>SUM($AC$47:$AC$47)</f>
        <v>0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BF'!$AH$58</f>
        <v>0</v>
      </c>
      <c r="AI47" s="13">
        <f>'TUSD BE'!$AI$47*'TUSD BF'!$AI$58</f>
        <v>0</v>
      </c>
      <c r="AJ47" s="13">
        <f ca="1">'TUSD BE'!$AJ$47*'TUSD BF'!$AJ$58</f>
        <v>0</v>
      </c>
      <c r="AK47" s="13">
        <f ca="1">'TUSD BE'!$AK$47*'TUSD BF'!$AK$58</f>
        <v>0</v>
      </c>
      <c r="AL47" s="13">
        <f ca="1">SUM($AH$47:$AK$47)</f>
        <v>0</v>
      </c>
      <c r="AM47" s="13">
        <f ca="1">SUMIF($L$4:$AL$4,"SUBTOTAL",$L$47:$AL$47)</f>
        <v>0</v>
      </c>
      <c r="AO47" s="26">
        <f ca="1">+'TUSD BE'!$T$47+'TUSD BE'!$AB$47+'TUSD BE'!$AD$47+'TUSD BE'!$AL$47</f>
        <v>536.68759577023684</v>
      </c>
      <c r="AP47" s="26">
        <f ca="1">+'TUSD BE'!$T$47+'TUSD BE'!$AB$47+'TUSD BE'!$AD$47+'TUSD BE'!$AL$47</f>
        <v>536.68759577023684</v>
      </c>
    </row>
    <row r="48" spans="1:42" ht="11.25" customHeight="1" x14ac:dyDescent="0.25">
      <c r="A48" s="109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77</v>
      </c>
      <c r="H48" s="24" t="s">
        <v>73</v>
      </c>
      <c r="I48" s="24">
        <f>'MERCADO TUSD'!$U$45</f>
        <v>3162.4160000000002</v>
      </c>
      <c r="J48" s="15"/>
      <c r="L48" s="13">
        <f>'TUSD BE'!$L$48*'TUSD BF'!$L$58</f>
        <v>0</v>
      </c>
      <c r="M48" s="13">
        <f>'TUSD BE'!$M$48*'TUSD BF'!$M$58</f>
        <v>0</v>
      </c>
      <c r="N48" s="13">
        <f ca="1">'TUSD BE'!$N$48*'TUSD BF'!$N$58</f>
        <v>0</v>
      </c>
      <c r="O48" s="13">
        <f>'TUSD BE'!$O$48*'TUSD BF'!$O$58</f>
        <v>0</v>
      </c>
      <c r="P48" s="13">
        <f>'TUSD BE'!$P$48*'TUSD BF'!$P$58</f>
        <v>0</v>
      </c>
      <c r="Q48" s="13">
        <f>'TUSD BE'!$Q$48*'TUSD BF'!$Q$58</f>
        <v>0</v>
      </c>
      <c r="R48" s="13">
        <f>'TUSD BE'!$R$48*'TUSD BF'!$R$58</f>
        <v>0</v>
      </c>
      <c r="S48" s="13">
        <f>'TUSD BE'!$R$48*'TUSD BF'!$S$58</f>
        <v>0</v>
      </c>
      <c r="T48" s="13">
        <f ca="1">SUM($L$48:$S$48)</f>
        <v>0</v>
      </c>
      <c r="U48" s="13">
        <f>'TUSD BE'!$U$48*'TUSD BF'!$U$58</f>
        <v>0</v>
      </c>
      <c r="V48" s="13">
        <f>'TUSD BE'!$V$48*'TUSD BF'!$V$58</f>
        <v>0</v>
      </c>
      <c r="W48" s="13">
        <f>'TUSD BE'!$W$48*'TUSD BF'!$W$58</f>
        <v>0</v>
      </c>
      <c r="X48" s="13">
        <f>'TUSD BE'!$X$48*'TUSD BF'!$X$58</f>
        <v>0</v>
      </c>
      <c r="Y48" s="13">
        <f>'TUSD BE'!$Y$48*'TUSD BF'!$Y$58</f>
        <v>0</v>
      </c>
      <c r="Z48" s="13">
        <f>'TUSD BE'!$Z$48*'TUSD BF'!$Z$58</f>
        <v>0</v>
      </c>
      <c r="AA48" s="13">
        <f>'TUSD BE'!$AA$48*'TUSD BF'!$AA$58</f>
        <v>0</v>
      </c>
      <c r="AB48" s="13">
        <f>SUM($U$48:$AA$48)</f>
        <v>0</v>
      </c>
      <c r="AC48" s="13">
        <f>'TUSD BE'!$AC$48*'TUSD BF'!$AC$58</f>
        <v>0</v>
      </c>
      <c r="AD48" s="13">
        <f>SUM($AC$48:$AC$48)</f>
        <v>0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BF'!$AH$58</f>
        <v>0</v>
      </c>
      <c r="AI48" s="13">
        <f>'TUSD BE'!$AI$48*'TUSD BF'!$AI$58</f>
        <v>0</v>
      </c>
      <c r="AJ48" s="13">
        <f ca="1">'TUSD BE'!$AJ$48*'TUSD BF'!$AJ$58</f>
        <v>0</v>
      </c>
      <c r="AK48" s="13">
        <f ca="1">'TUSD BE'!$AK$48*'TUSD BF'!$AK$58</f>
        <v>0</v>
      </c>
      <c r="AL48" s="13">
        <f ca="1">SUM($AH$48:$AK$48)</f>
        <v>0</v>
      </c>
      <c r="AM48" s="13">
        <f ca="1">SUMIF($L$4:$AL$4,"SUBTOTAL",$L$48:$AL$48)</f>
        <v>0</v>
      </c>
      <c r="AO48" s="26">
        <f ca="1">+'TUSD BE'!$T$48+'TUSD BE'!$AB$48+'TUSD BE'!$AD$48+'TUSD BE'!$AL$48</f>
        <v>752.68038638225505</v>
      </c>
      <c r="AP48" s="26">
        <f ca="1">+'TUSD BE'!$T$48+'TUSD BE'!$AB$48+'TUSD BE'!$AD$48+'TUSD BE'!$AL$48</f>
        <v>752.68038638225505</v>
      </c>
    </row>
    <row r="49" spans="1:42" ht="11.25" customHeight="1" x14ac:dyDescent="0.25">
      <c r="A49" s="109"/>
      <c r="B49" s="23" t="s">
        <v>88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77</v>
      </c>
      <c r="H49" s="24" t="s">
        <v>73</v>
      </c>
      <c r="I49" s="24">
        <f>'MERCADO TUSD'!$U$46</f>
        <v>0</v>
      </c>
      <c r="J49" s="15"/>
      <c r="L49" s="13">
        <f>'TUSD BE'!$L$49*'TUSD BF'!$L$58</f>
        <v>0</v>
      </c>
      <c r="M49" s="13">
        <f>'TUSD BE'!$M$49*'TUSD BF'!$M$58</f>
        <v>0</v>
      </c>
      <c r="N49" s="13">
        <f ca="1">'TUSD BE'!$N$49*'TUSD BF'!$N$58</f>
        <v>0</v>
      </c>
      <c r="O49" s="13">
        <f>'TUSD BE'!$O$49*'TUSD BF'!$O$58</f>
        <v>0</v>
      </c>
      <c r="P49" s="13">
        <f>'TUSD BE'!$P$49*'TUSD BF'!$P$58</f>
        <v>0</v>
      </c>
      <c r="Q49" s="13">
        <f>'TUSD BE'!$Q$49*'TUSD BF'!$Q$58</f>
        <v>0</v>
      </c>
      <c r="R49" s="13">
        <f>'TUSD BE'!$R$49*'TUSD BF'!$R$58</f>
        <v>0</v>
      </c>
      <c r="S49" s="13">
        <f>'TUSD BE'!$R$49*'TUSD BF'!$S$58</f>
        <v>0</v>
      </c>
      <c r="T49" s="13">
        <f ca="1">SUM($L$49:$S$49)</f>
        <v>0</v>
      </c>
      <c r="U49" s="13">
        <f>'TUSD BE'!$U$49*'TUSD BF'!$U$58</f>
        <v>0</v>
      </c>
      <c r="V49" s="13">
        <f>'TUSD BE'!$V$49*'TUSD BF'!$V$58</f>
        <v>0</v>
      </c>
      <c r="W49" s="13">
        <f>'TUSD BE'!$W$49*'TUSD BF'!$W$58</f>
        <v>0</v>
      </c>
      <c r="X49" s="13">
        <f>'TUSD BE'!$X$49*'TUSD BF'!$X$58</f>
        <v>0</v>
      </c>
      <c r="Y49" s="13">
        <f>'TUSD BE'!$Y$49*'TUSD BF'!$Y$58</f>
        <v>0</v>
      </c>
      <c r="Z49" s="13">
        <f>'TUSD BE'!$Z$49*'TUSD BF'!$Z$58</f>
        <v>0</v>
      </c>
      <c r="AA49" s="13">
        <f>'TUSD BE'!$AA$49*'TUSD BF'!$AA$58</f>
        <v>0</v>
      </c>
      <c r="AB49" s="13">
        <f>SUM($U$49:$AA$49)</f>
        <v>0</v>
      </c>
      <c r="AC49" s="13">
        <f>'TUSD BE'!$AC$49*'TUSD BF'!$AC$58</f>
        <v>0</v>
      </c>
      <c r="AD49" s="13">
        <f>SUM($AC$49:$AC$49)</f>
        <v>0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BF'!$AH$58</f>
        <v>0</v>
      </c>
      <c r="AI49" s="13">
        <f>'TUSD BE'!$AI$49*'TUSD BF'!$AI$58</f>
        <v>0</v>
      </c>
      <c r="AJ49" s="13">
        <f ca="1">'TUSD BE'!$AJ$49*'TUSD BF'!$AJ$58</f>
        <v>0</v>
      </c>
      <c r="AK49" s="13">
        <f ca="1">'TUSD BE'!$AK$49*'TUSD BF'!$AK$58</f>
        <v>0</v>
      </c>
      <c r="AL49" s="13">
        <f ca="1">SUM($AH$49:$AK$49)</f>
        <v>0</v>
      </c>
      <c r="AM49" s="13">
        <f ca="1">SUMIF($L$4:$AL$4,"SUBTOTAL",$L$49:$AL$49)</f>
        <v>0</v>
      </c>
      <c r="AO49" s="26">
        <f ca="1">+'TUSD BE'!$T$49+'TUSD BE'!$AB$49+'TUSD BE'!$AD$49+'TUSD BE'!$AL$49</f>
        <v>752.68038638225505</v>
      </c>
      <c r="AP49" s="26">
        <f ca="1">+'TUSD BE'!$T$49+'TUSD BE'!$AB$49+'TUSD BE'!$AD$49+'TUSD BE'!$AL$49</f>
        <v>752.68038638225505</v>
      </c>
    </row>
    <row r="50" spans="1:42" ht="11.25" customHeight="1" x14ac:dyDescent="0.25">
      <c r="A50" s="109" t="s">
        <v>44</v>
      </c>
      <c r="B50" s="109" t="s">
        <v>23</v>
      </c>
      <c r="C50" s="109" t="s">
        <v>45</v>
      </c>
      <c r="D50" s="23" t="s">
        <v>46</v>
      </c>
      <c r="E50" s="23" t="s">
        <v>25</v>
      </c>
      <c r="F50" s="23" t="s">
        <v>25</v>
      </c>
      <c r="G50" s="24" t="s">
        <v>77</v>
      </c>
      <c r="H50" s="24" t="s">
        <v>73</v>
      </c>
      <c r="I50" s="24">
        <f>'MERCADO TUSD'!$U$47</f>
        <v>905.86099999999999</v>
      </c>
      <c r="J50" s="15"/>
      <c r="L50" s="13">
        <f>'TUSD BE'!$L$50*'TUSD BF'!$L$58</f>
        <v>0</v>
      </c>
      <c r="M50" s="13">
        <f>'TUSD BE'!$M$50*'TUSD BF'!$M$58</f>
        <v>0</v>
      </c>
      <c r="N50" s="13">
        <f ca="1">'TUSD BE'!$N$50*'TUSD BF'!$N$58</f>
        <v>0</v>
      </c>
      <c r="O50" s="13">
        <f>'TUSD BE'!$O$50*'TUSD BF'!$O$58</f>
        <v>0</v>
      </c>
      <c r="P50" s="13">
        <f>'TUSD BE'!$P$50*'TUSD BF'!$P$58</f>
        <v>0</v>
      </c>
      <c r="Q50" s="13">
        <f>'TUSD BE'!$Q$50*'TUSD BF'!$Q$58</f>
        <v>0</v>
      </c>
      <c r="R50" s="13">
        <f>'TUSD BE'!$R$50*'TUSD BF'!$R$58</f>
        <v>0</v>
      </c>
      <c r="S50" s="13">
        <f>'TUSD BE'!$R$50*'TUSD BF'!$S$58</f>
        <v>0</v>
      </c>
      <c r="T50" s="13">
        <f ca="1">SUM($L$50:$S$50)</f>
        <v>0</v>
      </c>
      <c r="U50" s="13">
        <f>'TUSD BE'!$U$50*'TUSD BF'!$U$58</f>
        <v>0</v>
      </c>
      <c r="V50" s="13">
        <f>'TUSD BE'!$V$50*'TUSD BF'!$V$58</f>
        <v>0</v>
      </c>
      <c r="W50" s="13">
        <f>'TUSD BE'!$W$50*'TUSD BF'!$W$58</f>
        <v>0</v>
      </c>
      <c r="X50" s="13">
        <f>'TUSD BE'!$X$50*'TUSD BF'!$X$58</f>
        <v>0</v>
      </c>
      <c r="Y50" s="13">
        <f>'TUSD BE'!$Y$50*'TUSD BF'!$Y$58</f>
        <v>0</v>
      </c>
      <c r="Z50" s="13">
        <f>'TUSD BE'!$Z$50*'TUSD BF'!$Z$58</f>
        <v>0</v>
      </c>
      <c r="AA50" s="13">
        <f>'TUSD BE'!$AA$50*'TUSD BF'!$AA$58</f>
        <v>0</v>
      </c>
      <c r="AB50" s="13">
        <f>SUM($U$50:$AA$50)</f>
        <v>0</v>
      </c>
      <c r="AC50" s="13">
        <f>'TUSD BE'!$AC$50*'TUSD BF'!$AC$58</f>
        <v>0</v>
      </c>
      <c r="AD50" s="13">
        <f>SUM($AC$50:$AC$50)</f>
        <v>0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BF'!$AH$58</f>
        <v>0</v>
      </c>
      <c r="AI50" s="13">
        <f>'TUSD BE'!$AI$50*'TUSD BF'!$AI$58</f>
        <v>0</v>
      </c>
      <c r="AJ50" s="13">
        <f ca="1">'TUSD BE'!$AJ$50*'TUSD BF'!$AJ$58</f>
        <v>0</v>
      </c>
      <c r="AK50" s="13">
        <f ca="1">'TUSD BE'!$AK$50*'TUSD BF'!$AK$58</f>
        <v>0</v>
      </c>
      <c r="AL50" s="13">
        <f ca="1">SUM($AH$50:$AK$50)</f>
        <v>0</v>
      </c>
      <c r="AM50" s="13">
        <f ca="1">SUMIF($L$4:$AL$4,"SUBTOTAL",$L$50:$AL$50)</f>
        <v>0</v>
      </c>
      <c r="AO50" s="26">
        <f ca="1">+'TUSD BE'!$T$50+'TUSD BE'!$AB$50+'TUSD BE'!$AD$50+'TUSD BE'!$AL$50</f>
        <v>413.97421251024031</v>
      </c>
      <c r="AP50" s="26">
        <f ca="1">+'TUSD BE'!$T$50+'TUSD BE'!$AB$50+'TUSD BE'!$AD$50+'TUSD BE'!$AL$50</f>
        <v>413.97421251024031</v>
      </c>
    </row>
    <row r="51" spans="1:42" ht="11.25" customHeight="1" x14ac:dyDescent="0.25">
      <c r="A51" s="109"/>
      <c r="B51" s="109"/>
      <c r="C51" s="109"/>
      <c r="D51" s="24" t="s">
        <v>91</v>
      </c>
      <c r="E51" s="24" t="s">
        <v>25</v>
      </c>
      <c r="F51" s="24" t="s">
        <v>25</v>
      </c>
      <c r="G51" s="24" t="s">
        <v>77</v>
      </c>
      <c r="H51" s="24" t="s">
        <v>73</v>
      </c>
      <c r="I51" s="24">
        <f>'MERCADO TUSD'!$U$48</f>
        <v>0</v>
      </c>
      <c r="J51" s="15"/>
      <c r="L51" s="13">
        <f>'TUSD BE'!$L$51*'TUSD BF'!$L$58</f>
        <v>0</v>
      </c>
      <c r="M51" s="13">
        <f>'TUSD BE'!$M$51*'TUSD BF'!$M$58</f>
        <v>0</v>
      </c>
      <c r="N51" s="13">
        <f ca="1">'TUSD BE'!$N$51*'TUSD BF'!$N$58</f>
        <v>0</v>
      </c>
      <c r="O51" s="13">
        <f>'TUSD BE'!$O$51*'TUSD BF'!$O$58</f>
        <v>0</v>
      </c>
      <c r="P51" s="13">
        <f>'TUSD BE'!$P$51*'TUSD BF'!$P$58</f>
        <v>0</v>
      </c>
      <c r="Q51" s="13">
        <f>'TUSD BE'!$Q$51*'TUSD BF'!$Q$58</f>
        <v>0</v>
      </c>
      <c r="R51" s="13">
        <f>'TUSD BE'!$R$51*'TUSD BF'!$R$58</f>
        <v>0</v>
      </c>
      <c r="S51" s="13">
        <f>'TUSD BE'!$R$51*'TUSD BF'!$S$58</f>
        <v>0</v>
      </c>
      <c r="T51" s="13">
        <f ca="1">SUM($L$51:$S$51)</f>
        <v>0</v>
      </c>
      <c r="U51" s="13">
        <f>'TUSD BE'!$U$51*'TUSD BF'!$U$58</f>
        <v>0</v>
      </c>
      <c r="V51" s="13">
        <f>'TUSD BE'!$V$51*'TUSD BF'!$V$58</f>
        <v>0</v>
      </c>
      <c r="W51" s="13">
        <f>'TUSD BE'!$W$51*'TUSD BF'!$W$58</f>
        <v>0</v>
      </c>
      <c r="X51" s="13">
        <f>'TUSD BE'!$X$51*'TUSD BF'!$X$58</f>
        <v>0</v>
      </c>
      <c r="Y51" s="13">
        <f>'TUSD BE'!$Y$51*'TUSD BF'!$Y$58</f>
        <v>0</v>
      </c>
      <c r="Z51" s="13">
        <f>'TUSD BE'!$Z$51*'TUSD BF'!$Z$58</f>
        <v>0</v>
      </c>
      <c r="AA51" s="13">
        <f>'TUSD BE'!$AA$51*'TUSD BF'!$AA$58</f>
        <v>0</v>
      </c>
      <c r="AB51" s="13">
        <f>SUM($U$51:$AA$51)</f>
        <v>0</v>
      </c>
      <c r="AC51" s="13">
        <f>'TUSD BE'!$AC$51*'TUSD BF'!$AC$58</f>
        <v>0</v>
      </c>
      <c r="AD51" s="13">
        <f>SUM($AC$51:$AC$51)</f>
        <v>0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BF'!$AH$58</f>
        <v>0</v>
      </c>
      <c r="AI51" s="13">
        <f>'TUSD BE'!$AI$51*'TUSD BF'!$AI$58</f>
        <v>0</v>
      </c>
      <c r="AJ51" s="13">
        <f ca="1">'TUSD BE'!$AJ$51*'TUSD BF'!$AJ$58</f>
        <v>0</v>
      </c>
      <c r="AK51" s="13">
        <f ca="1">'TUSD BE'!$AK$51*'TUSD BF'!$AK$58</f>
        <v>0</v>
      </c>
      <c r="AL51" s="13">
        <f ca="1">SUM($AH$51:$AK$51)</f>
        <v>0</v>
      </c>
      <c r="AM51" s="13">
        <f ca="1">SUMIF($L$4:$AL$4,"SUBTOTAL",$L$51:$AL$51)</f>
        <v>0</v>
      </c>
      <c r="AO51" s="26">
        <f ca="1">+'TUSD BE'!$T$51+'TUSD BE'!$AB$51+'TUSD BE'!$AD$51+'TUSD BE'!$AL$51</f>
        <v>451.60823182935309</v>
      </c>
      <c r="AP51" s="26">
        <f ca="1">+'TUSD BE'!$T$51+'TUSD BE'!$AB$51+'TUSD BE'!$AD$51+'TUSD BE'!$AL$51</f>
        <v>451.60823182935309</v>
      </c>
    </row>
    <row r="53" spans="1:42" ht="11.25" customHeight="1" x14ac:dyDescent="0.25">
      <c r="K53" s="16" t="s">
        <v>497</v>
      </c>
      <c r="L53" s="13">
        <f>SUMPRODUCT($I$5:$I51,$L$5:$L51)</f>
        <v>0</v>
      </c>
      <c r="M53" s="13">
        <f>SUMPRODUCT($I$5:$I51,$M$5:$M51)</f>
        <v>0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0</v>
      </c>
      <c r="R53" s="13">
        <f>SUMPRODUCT($I$5:$I51,$R$5:$R51)</f>
        <v>0</v>
      </c>
      <c r="S53" s="13">
        <f>SUMPRODUCT($I$5:$I51,$S$5:$S51)</f>
        <v>0</v>
      </c>
      <c r="T53" s="13">
        <f ca="1">SUMPRODUCT($I$5:$I51,$T$5:$T51)</f>
        <v>0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0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0</v>
      </c>
      <c r="AC53" s="13">
        <f>SUMPRODUCT($I$5:$I51,$AC$5:$AC51)</f>
        <v>0</v>
      </c>
      <c r="AD53" s="13">
        <f>SUMPRODUCT($I$5:$I51,$AD$5:$AD51)</f>
        <v>0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0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0</v>
      </c>
      <c r="AM53" s="13">
        <f ca="1">SUMPRODUCT($I$5:$I51,$AM$5:$AM51)</f>
        <v>0</v>
      </c>
      <c r="AO53" s="24">
        <f ca="1">SUMPRODUCT($I$5:$I51,$AO$5:$AO51)</f>
        <v>43109378.951889157</v>
      </c>
      <c r="AP53" s="24">
        <f ca="1">SUMPRODUCT($I$5:$I51,$AP$5:$AP51)</f>
        <v>43109378.951889157</v>
      </c>
    </row>
    <row r="54" spans="1:42" ht="11.25" customHeight="1" x14ac:dyDescent="0.25">
      <c r="K54" s="16" t="s">
        <v>429</v>
      </c>
      <c r="L54" s="13">
        <f>'TR TUSD'!$L$56</f>
        <v>0</v>
      </c>
      <c r="M54" s="13">
        <f>'TR TUSD'!$M$56</f>
        <v>114961.70757555132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5828451.8683099989</v>
      </c>
      <c r="R54" s="13">
        <f>'TR TUSD'!$R$56</f>
        <v>1015947.5651999997</v>
      </c>
      <c r="S54" s="13">
        <f>'TR TUSD'!$S$56</f>
        <v>0</v>
      </c>
      <c r="T54" s="13">
        <f>'TR TUSD'!$T$56</f>
        <v>6959361.1410855502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10103829.776398001</v>
      </c>
      <c r="Z54" s="13">
        <f>'TR TUSD'!$Z$56</f>
        <v>0</v>
      </c>
      <c r="AA54" s="13">
        <f>'TR TUSD'!$AA$56</f>
        <v>0</v>
      </c>
      <c r="AB54" s="13">
        <f>'TR TUSD'!$AB$56</f>
        <v>10103829.776398001</v>
      </c>
      <c r="AC54" s="13">
        <f>'TR TUSD'!$AC$56</f>
        <v>24944453.093539529</v>
      </c>
      <c r="AD54" s="13">
        <f>'TR TUSD'!$AD$56</f>
        <v>24944453.093539529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1064395.2640595178</v>
      </c>
      <c r="AI54" s="13">
        <f>'TR TUSD'!$AI$56</f>
        <v>37339.676806569471</v>
      </c>
      <c r="AJ54" s="13">
        <f>'TR TUSD'!$AJ$56</f>
        <v>0</v>
      </c>
      <c r="AK54" s="13">
        <f>'TR TUSD'!$AK$56</f>
        <v>0</v>
      </c>
      <c r="AL54" s="13">
        <f>'TR TUSD'!$AL$56</f>
        <v>1101734.9408660873</v>
      </c>
      <c r="AM54" s="13">
        <f>CUSTOS!$D$29</f>
        <v>43109378.951889172</v>
      </c>
      <c r="AO54" s="24">
        <f>$AE$56</f>
        <v>0</v>
      </c>
      <c r="AP54" s="24">
        <f>$AF$56</f>
        <v>0</v>
      </c>
    </row>
    <row r="55" spans="1:42" ht="11.25" customHeight="1" x14ac:dyDescent="0.25">
      <c r="K55" s="16" t="s">
        <v>430</v>
      </c>
      <c r="L55" s="13">
        <f>CUSTOS!$E$2</f>
        <v>0</v>
      </c>
      <c r="M55" s="13">
        <f>CUSTOS!$E$3</f>
        <v>1046.1611809446795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-1148.2595915282764</v>
      </c>
      <c r="R55" s="13">
        <f>CUSTOS!$E$8</f>
        <v>-1845.0275000651886</v>
      </c>
      <c r="S55" s="13">
        <f>CUSTOS!$E$9</f>
        <v>0</v>
      </c>
      <c r="T55" s="13">
        <f>CUSTOS!$E$10</f>
        <v>-1947.1259106487855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323043.48155103542</v>
      </c>
      <c r="Z55" s="13">
        <f>CUSTOS!$E$16</f>
        <v>0</v>
      </c>
      <c r="AA55" s="13">
        <f>CUSTOS!$E$17</f>
        <v>0</v>
      </c>
      <c r="AB55" s="13">
        <f>CUSTOS!$E$18</f>
        <v>323043.48155103542</v>
      </c>
      <c r="AC55" s="13">
        <f>CUSTOS!$E$19</f>
        <v>-9818529.1917725932</v>
      </c>
      <c r="AD55" s="13">
        <f>CUSTOS!$E$20</f>
        <v>-9818529.1917725932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86278.914960153372</v>
      </c>
      <c r="AI55" s="13">
        <f>CUSTOS!$E$25</f>
        <v>3026.7203440445551</v>
      </c>
      <c r="AJ55" s="13">
        <f>CUSTOS!$E$26</f>
        <v>0</v>
      </c>
      <c r="AK55" s="13">
        <f>CUSTOS!$E$27</f>
        <v>0</v>
      </c>
      <c r="AL55" s="13">
        <f>CUSTOS!$E$28</f>
        <v>89305.635304197931</v>
      </c>
      <c r="AM55" s="13">
        <f>CUSTOS!$E$29</f>
        <v>-9408127.2008280084</v>
      </c>
      <c r="AO55" s="24">
        <f ca="1">IF(AO53&lt;&gt;0,AO54/AO53,0)</f>
        <v>0</v>
      </c>
      <c r="AP55" s="24">
        <f ca="1">IF(AP53&lt;&gt;0,AP54/AP53,0)</f>
        <v>0</v>
      </c>
    </row>
    <row r="56" spans="1:42" ht="11.25" customHeight="1" x14ac:dyDescent="0.25">
      <c r="K56" s="16" t="s">
        <v>431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494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/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/>
      <c r="AC57" s="13">
        <v>0</v>
      </c>
      <c r="AD57" s="13"/>
      <c r="AE57" s="13">
        <v>0</v>
      </c>
      <c r="AF57" s="13">
        <v>0</v>
      </c>
      <c r="AG57" s="13"/>
      <c r="AH57" s="13">
        <v>0</v>
      </c>
      <c r="AI57" s="13">
        <v>0</v>
      </c>
      <c r="AJ57" s="13">
        <v>0</v>
      </c>
      <c r="AK57" s="13">
        <v>0</v>
      </c>
      <c r="AL57" s="13"/>
      <c r="AM57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854" priority="55" operator="notEqual">
      <formula>$L$56</formula>
    </cfRule>
    <cfRule type="cellIs" dxfId="853" priority="56" operator="equal">
      <formula>$L$56</formula>
    </cfRule>
  </conditionalFormatting>
  <conditionalFormatting sqref="M53">
    <cfRule type="cellIs" dxfId="852" priority="53" operator="notEqual">
      <formula>$M$56</formula>
    </cfRule>
    <cfRule type="cellIs" dxfId="851" priority="54" operator="equal">
      <formula>$M$56</formula>
    </cfRule>
  </conditionalFormatting>
  <conditionalFormatting sqref="N53">
    <cfRule type="cellIs" dxfId="850" priority="51" operator="notEqual">
      <formula>$N$56</formula>
    </cfRule>
    <cfRule type="cellIs" dxfId="849" priority="52" operator="equal">
      <formula>$N$56</formula>
    </cfRule>
  </conditionalFormatting>
  <conditionalFormatting sqref="O53">
    <cfRule type="cellIs" dxfId="848" priority="49" operator="notEqual">
      <formula>$O$56</formula>
    </cfRule>
    <cfRule type="cellIs" dxfId="847" priority="50" operator="equal">
      <formula>$O$56</formula>
    </cfRule>
  </conditionalFormatting>
  <conditionalFormatting sqref="P53">
    <cfRule type="cellIs" dxfId="846" priority="47" operator="notEqual">
      <formula>$P$56</formula>
    </cfRule>
    <cfRule type="cellIs" dxfId="845" priority="48" operator="equal">
      <formula>$P$56</formula>
    </cfRule>
  </conditionalFormatting>
  <conditionalFormatting sqref="Q53">
    <cfRule type="cellIs" dxfId="844" priority="45" operator="notEqual">
      <formula>$Q$56</formula>
    </cfRule>
    <cfRule type="cellIs" dxfId="843" priority="46" operator="equal">
      <formula>$Q$56</formula>
    </cfRule>
  </conditionalFormatting>
  <conditionalFormatting sqref="R53">
    <cfRule type="cellIs" dxfId="842" priority="43" operator="notEqual">
      <formula>$R$56</formula>
    </cfRule>
    <cfRule type="cellIs" dxfId="841" priority="44" operator="equal">
      <formula>$R$56</formula>
    </cfRule>
  </conditionalFormatting>
  <conditionalFormatting sqref="S53">
    <cfRule type="cellIs" dxfId="840" priority="41" operator="notEqual">
      <formula>$S$56</formula>
    </cfRule>
    <cfRule type="cellIs" dxfId="839" priority="42" operator="equal">
      <formula>$S$56</formula>
    </cfRule>
  </conditionalFormatting>
  <conditionalFormatting sqref="T53">
    <cfRule type="cellIs" dxfId="838" priority="39" operator="notEqual">
      <formula>$T$56</formula>
    </cfRule>
    <cfRule type="cellIs" dxfId="837" priority="40" operator="equal">
      <formula>$T$56</formula>
    </cfRule>
  </conditionalFormatting>
  <conditionalFormatting sqref="U53">
    <cfRule type="cellIs" dxfId="836" priority="37" operator="notEqual">
      <formula>$U$56</formula>
    </cfRule>
    <cfRule type="cellIs" dxfId="835" priority="38" operator="equal">
      <formula>$U$56</formula>
    </cfRule>
  </conditionalFormatting>
  <conditionalFormatting sqref="V53">
    <cfRule type="cellIs" dxfId="834" priority="35" operator="notEqual">
      <formula>$V$56</formula>
    </cfRule>
    <cfRule type="cellIs" dxfId="833" priority="36" operator="equal">
      <formula>$V$56</formula>
    </cfRule>
  </conditionalFormatting>
  <conditionalFormatting sqref="W53">
    <cfRule type="cellIs" dxfId="832" priority="33" operator="notEqual">
      <formula>$W$56</formula>
    </cfRule>
    <cfRule type="cellIs" dxfId="831" priority="34" operator="equal">
      <formula>$W$56</formula>
    </cfRule>
  </conditionalFormatting>
  <conditionalFormatting sqref="X53">
    <cfRule type="cellIs" dxfId="830" priority="31" operator="notEqual">
      <formula>$X$56</formula>
    </cfRule>
    <cfRule type="cellIs" dxfId="829" priority="32" operator="equal">
      <formula>$X$56</formula>
    </cfRule>
  </conditionalFormatting>
  <conditionalFormatting sqref="Y53">
    <cfRule type="cellIs" dxfId="828" priority="29" operator="notEqual">
      <formula>$Y$56</formula>
    </cfRule>
    <cfRule type="cellIs" dxfId="827" priority="30" operator="equal">
      <formula>$Y$56</formula>
    </cfRule>
  </conditionalFormatting>
  <conditionalFormatting sqref="Z53">
    <cfRule type="cellIs" dxfId="826" priority="27" operator="notEqual">
      <formula>$Z$56</formula>
    </cfRule>
    <cfRule type="cellIs" dxfId="825" priority="28" operator="equal">
      <formula>$Z$56</formula>
    </cfRule>
  </conditionalFormatting>
  <conditionalFormatting sqref="AA53">
    <cfRule type="cellIs" dxfId="824" priority="25" operator="notEqual">
      <formula>$AA$56</formula>
    </cfRule>
    <cfRule type="cellIs" dxfId="823" priority="26" operator="equal">
      <formula>$AA$56</formula>
    </cfRule>
  </conditionalFormatting>
  <conditionalFormatting sqref="AB53">
    <cfRule type="cellIs" dxfId="822" priority="23" operator="notEqual">
      <formula>$AB$56</formula>
    </cfRule>
    <cfRule type="cellIs" dxfId="821" priority="24" operator="equal">
      <formula>$AB$56</formula>
    </cfRule>
  </conditionalFormatting>
  <conditionalFormatting sqref="AC53">
    <cfRule type="cellIs" dxfId="820" priority="21" operator="notEqual">
      <formula>$AC$56</formula>
    </cfRule>
    <cfRule type="cellIs" dxfId="819" priority="22" operator="equal">
      <formula>$AC$56</formula>
    </cfRule>
  </conditionalFormatting>
  <conditionalFormatting sqref="AD53">
    <cfRule type="cellIs" dxfId="818" priority="19" operator="notEqual">
      <formula>$AD$56</formula>
    </cfRule>
    <cfRule type="cellIs" dxfId="817" priority="20" operator="equal">
      <formula>$AD$56</formula>
    </cfRule>
  </conditionalFormatting>
  <conditionalFormatting sqref="AE53">
    <cfRule type="cellIs" dxfId="816" priority="17" operator="notEqual">
      <formula>$AE$56</formula>
    </cfRule>
    <cfRule type="cellIs" dxfId="815" priority="18" operator="equal">
      <formula>$AE$56</formula>
    </cfRule>
  </conditionalFormatting>
  <conditionalFormatting sqref="AF53">
    <cfRule type="cellIs" dxfId="814" priority="16" operator="equal">
      <formula>$AF$56</formula>
    </cfRule>
  </conditionalFormatting>
  <conditionalFormatting sqref="AF53">
    <cfRule type="cellIs" dxfId="813" priority="15" operator="notEqual">
      <formula>$AF$56</formula>
    </cfRule>
  </conditionalFormatting>
  <conditionalFormatting sqref="AG53">
    <cfRule type="cellIs" dxfId="812" priority="14" operator="equal">
      <formula>$AG$56</formula>
    </cfRule>
  </conditionalFormatting>
  <conditionalFormatting sqref="AG53">
    <cfRule type="cellIs" dxfId="811" priority="13" operator="notEqual">
      <formula>$AG$56</formula>
    </cfRule>
  </conditionalFormatting>
  <conditionalFormatting sqref="AH53">
    <cfRule type="cellIs" dxfId="810" priority="12" operator="equal">
      <formula>$AH$56</formula>
    </cfRule>
  </conditionalFormatting>
  <conditionalFormatting sqref="AH53">
    <cfRule type="cellIs" dxfId="809" priority="11" operator="notEqual">
      <formula>$AH$56</formula>
    </cfRule>
  </conditionalFormatting>
  <conditionalFormatting sqref="AI53">
    <cfRule type="cellIs" dxfId="808" priority="10" operator="equal">
      <formula>$AI$56</formula>
    </cfRule>
  </conditionalFormatting>
  <conditionalFormatting sqref="AI53">
    <cfRule type="cellIs" dxfId="807" priority="9" operator="notEqual">
      <formula>$AI$56</formula>
    </cfRule>
  </conditionalFormatting>
  <conditionalFormatting sqref="AJ53">
    <cfRule type="cellIs" dxfId="806" priority="8" operator="equal">
      <formula>$AJ$56</formula>
    </cfRule>
  </conditionalFormatting>
  <conditionalFormatting sqref="AJ53">
    <cfRule type="cellIs" dxfId="805" priority="7" operator="notEqual">
      <formula>$AJ$56</formula>
    </cfRule>
  </conditionalFormatting>
  <conditionalFormatting sqref="AK53">
    <cfRule type="cellIs" dxfId="804" priority="6" operator="equal">
      <formula>$AK$56</formula>
    </cfRule>
  </conditionalFormatting>
  <conditionalFormatting sqref="AK53">
    <cfRule type="cellIs" dxfId="803" priority="5" operator="notEqual">
      <formula>$AK$56</formula>
    </cfRule>
  </conditionalFormatting>
  <conditionalFormatting sqref="AL53">
    <cfRule type="cellIs" dxfId="802" priority="4" operator="equal">
      <formula>$AL$56</formula>
    </cfRule>
  </conditionalFormatting>
  <conditionalFormatting sqref="AL53">
    <cfRule type="cellIs" dxfId="801" priority="3" operator="notEqual">
      <formula>$AL$56</formula>
    </cfRule>
  </conditionalFormatting>
  <conditionalFormatting sqref="AM53">
    <cfRule type="cellIs" dxfId="800" priority="2" operator="equal">
      <formula>$AM$56</formula>
    </cfRule>
  </conditionalFormatting>
  <conditionalFormatting sqref="AM53">
    <cfRule type="cellIs" dxfId="799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9FEC-787D-446C-BB89-86CC9AF16766}">
  <dimension ref="A1:AB50"/>
  <sheetViews>
    <sheetView showGridLines="0" topLeftCell="A36" workbookViewId="0">
      <selection activeCell="K44" sqref="K44:AB50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7.85546875" style="9" bestFit="1" customWidth="1"/>
    <col min="13" max="13" width="10" style="9" bestFit="1" customWidth="1"/>
    <col min="14" max="14" width="7.85546875" style="9" bestFit="1" customWidth="1"/>
    <col min="15" max="15" width="11.140625" style="9" bestFit="1" customWidth="1"/>
    <col min="16" max="16" width="10.570312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19" t="s">
        <v>63</v>
      </c>
      <c r="B1" s="119" t="s">
        <v>64</v>
      </c>
      <c r="C1" s="119" t="s">
        <v>65</v>
      </c>
      <c r="D1" s="119" t="s">
        <v>66</v>
      </c>
      <c r="E1" s="119" t="s">
        <v>67</v>
      </c>
      <c r="F1" s="119" t="s">
        <v>15</v>
      </c>
      <c r="G1" s="119" t="s">
        <v>69</v>
      </c>
      <c r="H1" s="119" t="s">
        <v>70</v>
      </c>
      <c r="I1" s="119" t="s">
        <v>488</v>
      </c>
      <c r="J1" s="98"/>
      <c r="L1" s="117" t="s">
        <v>509</v>
      </c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</row>
    <row r="2" spans="1:28" ht="11.25" customHeight="1" x14ac:dyDescent="0.25">
      <c r="A2" s="119"/>
      <c r="B2" s="119"/>
      <c r="C2" s="119"/>
      <c r="D2" s="119"/>
      <c r="E2" s="119"/>
      <c r="F2" s="119"/>
      <c r="G2" s="119"/>
      <c r="H2" s="119"/>
      <c r="I2" s="119"/>
      <c r="J2" s="98"/>
      <c r="L2" s="117" t="s">
        <v>415</v>
      </c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</row>
    <row r="3" spans="1:28" ht="11.25" customHeight="1" x14ac:dyDescent="0.25">
      <c r="A3" s="119"/>
      <c r="B3" s="119"/>
      <c r="C3" s="119"/>
      <c r="D3" s="119"/>
      <c r="E3" s="119"/>
      <c r="F3" s="119"/>
      <c r="G3" s="119"/>
      <c r="H3" s="119"/>
      <c r="I3" s="119"/>
      <c r="J3" s="98"/>
      <c r="L3" s="117" t="s">
        <v>388</v>
      </c>
      <c r="M3" s="117"/>
      <c r="N3" s="117"/>
      <c r="O3" s="117"/>
      <c r="P3" s="117"/>
      <c r="Q3" s="117"/>
      <c r="R3" s="117" t="s">
        <v>419</v>
      </c>
      <c r="S3" s="117"/>
      <c r="T3" s="117" t="s">
        <v>397</v>
      </c>
      <c r="U3" s="117"/>
      <c r="V3" s="117"/>
      <c r="W3" s="117"/>
      <c r="X3" s="117" t="s">
        <v>407</v>
      </c>
      <c r="Y3" s="117"/>
      <c r="Z3" s="117" t="s">
        <v>410</v>
      </c>
      <c r="AA3" s="117"/>
      <c r="AB3" s="117" t="s">
        <v>396</v>
      </c>
    </row>
    <row r="4" spans="1:28" ht="11.25" customHeight="1" x14ac:dyDescent="0.25">
      <c r="A4" s="119"/>
      <c r="B4" s="119"/>
      <c r="C4" s="119"/>
      <c r="D4" s="119"/>
      <c r="E4" s="119"/>
      <c r="F4" s="119"/>
      <c r="G4" s="119"/>
      <c r="H4" s="119"/>
      <c r="I4" s="119"/>
      <c r="J4" s="98"/>
      <c r="L4" s="30" t="s">
        <v>390</v>
      </c>
      <c r="M4" s="30" t="s">
        <v>416</v>
      </c>
      <c r="N4" s="30" t="s">
        <v>417</v>
      </c>
      <c r="O4" s="30" t="s">
        <v>476</v>
      </c>
      <c r="P4" s="30" t="s">
        <v>418</v>
      </c>
      <c r="Q4" s="30" t="s">
        <v>396</v>
      </c>
      <c r="R4" s="30" t="s">
        <v>420</v>
      </c>
      <c r="S4" s="30" t="s">
        <v>396</v>
      </c>
      <c r="T4" s="30" t="s">
        <v>421</v>
      </c>
      <c r="U4" s="30" t="s">
        <v>422</v>
      </c>
      <c r="V4" s="30" t="s">
        <v>423</v>
      </c>
      <c r="W4" s="30" t="s">
        <v>396</v>
      </c>
      <c r="X4" s="30" t="s">
        <v>408</v>
      </c>
      <c r="Y4" s="30" t="s">
        <v>396</v>
      </c>
      <c r="Z4" s="30" t="s">
        <v>424</v>
      </c>
      <c r="AA4" s="30" t="s">
        <v>396</v>
      </c>
      <c r="AB4" s="118"/>
    </row>
    <row r="5" spans="1:28" ht="11.25" customHeight="1" x14ac:dyDescent="0.25">
      <c r="A5" s="120" t="s">
        <v>35</v>
      </c>
      <c r="B5" s="120" t="s">
        <v>72</v>
      </c>
      <c r="C5" s="120" t="s">
        <v>25</v>
      </c>
      <c r="D5" s="120" t="s">
        <v>25</v>
      </c>
      <c r="E5" s="120" t="s">
        <v>25</v>
      </c>
      <c r="F5" s="120" t="s">
        <v>25</v>
      </c>
      <c r="G5" s="29" t="s">
        <v>74</v>
      </c>
      <c r="H5" s="29" t="s">
        <v>73</v>
      </c>
      <c r="I5" s="29">
        <f>'MERCADO TE'!$U$2</f>
        <v>3179.3539999999994</v>
      </c>
      <c r="J5" s="15"/>
      <c r="L5" s="26">
        <v>1</v>
      </c>
      <c r="M5" s="26">
        <v>1</v>
      </c>
      <c r="N5" s="26">
        <v>1</v>
      </c>
      <c r="O5" s="26">
        <v>1</v>
      </c>
      <c r="P5" s="26">
        <v>1</v>
      </c>
      <c r="Q5" s="26"/>
      <c r="R5" s="26">
        <v>1</v>
      </c>
      <c r="S5" s="26"/>
      <c r="T5" s="26">
        <v>1</v>
      </c>
      <c r="U5" s="26">
        <v>1</v>
      </c>
      <c r="V5" s="26">
        <v>1</v>
      </c>
      <c r="W5" s="26"/>
      <c r="X5" s="26"/>
      <c r="Y5" s="26"/>
      <c r="Z5" s="26">
        <v>1</v>
      </c>
      <c r="AA5" s="26"/>
      <c r="AB5" s="26"/>
    </row>
    <row r="6" spans="1:28" ht="11.25" customHeight="1" x14ac:dyDescent="0.25">
      <c r="A6" s="120"/>
      <c r="B6" s="120"/>
      <c r="C6" s="120"/>
      <c r="D6" s="120"/>
      <c r="E6" s="120"/>
      <c r="F6" s="120"/>
      <c r="G6" s="29" t="s">
        <v>75</v>
      </c>
      <c r="H6" s="29" t="s">
        <v>73</v>
      </c>
      <c r="I6" s="29">
        <f>'MERCADO TE'!$U$3</f>
        <v>38515.306999999993</v>
      </c>
      <c r="J6" s="15"/>
      <c r="L6" s="26">
        <v>1</v>
      </c>
      <c r="M6" s="26">
        <v>1</v>
      </c>
      <c r="N6" s="26">
        <v>1</v>
      </c>
      <c r="O6" s="26">
        <v>1</v>
      </c>
      <c r="P6" s="26">
        <v>1</v>
      </c>
      <c r="Q6" s="26"/>
      <c r="R6" s="26">
        <v>1</v>
      </c>
      <c r="S6" s="26"/>
      <c r="T6" s="26">
        <v>1</v>
      </c>
      <c r="U6" s="26">
        <v>1</v>
      </c>
      <c r="V6" s="26">
        <v>1</v>
      </c>
      <c r="W6" s="26"/>
      <c r="X6" s="26"/>
      <c r="Y6" s="26"/>
      <c r="Z6" s="26">
        <v>1</v>
      </c>
      <c r="AA6" s="26"/>
      <c r="AB6" s="26"/>
    </row>
    <row r="7" spans="1:28" ht="11.25" customHeight="1" x14ac:dyDescent="0.25">
      <c r="A7" s="120"/>
      <c r="B7" s="28" t="s">
        <v>76</v>
      </c>
      <c r="C7" s="28" t="s">
        <v>25</v>
      </c>
      <c r="D7" s="28" t="s">
        <v>25</v>
      </c>
      <c r="E7" s="28" t="s">
        <v>25</v>
      </c>
      <c r="F7" s="28" t="s">
        <v>25</v>
      </c>
      <c r="G7" s="29" t="s">
        <v>77</v>
      </c>
      <c r="H7" s="29" t="s">
        <v>73</v>
      </c>
      <c r="I7" s="29">
        <f>'MERCADO TE'!$U$4</f>
        <v>0</v>
      </c>
      <c r="J7" s="15"/>
      <c r="L7" s="26">
        <v>1</v>
      </c>
      <c r="M7" s="26">
        <v>1</v>
      </c>
      <c r="N7" s="26">
        <v>1</v>
      </c>
      <c r="O7" s="26">
        <v>1</v>
      </c>
      <c r="P7" s="26">
        <v>1</v>
      </c>
      <c r="Q7" s="26"/>
      <c r="R7" s="26">
        <v>1</v>
      </c>
      <c r="S7" s="26"/>
      <c r="T7" s="26">
        <v>1</v>
      </c>
      <c r="U7" s="26">
        <v>1</v>
      </c>
      <c r="V7" s="26">
        <v>1</v>
      </c>
      <c r="W7" s="26"/>
      <c r="X7" s="26"/>
      <c r="Y7" s="26"/>
      <c r="Z7" s="26">
        <v>1</v>
      </c>
      <c r="AA7" s="26"/>
      <c r="AB7" s="26"/>
    </row>
    <row r="8" spans="1:28" ht="11.25" customHeight="1" x14ac:dyDescent="0.25">
      <c r="A8" s="120" t="s">
        <v>22</v>
      </c>
      <c r="B8" s="120" t="s">
        <v>72</v>
      </c>
      <c r="C8" s="120" t="s">
        <v>24</v>
      </c>
      <c r="D8" s="120" t="s">
        <v>24</v>
      </c>
      <c r="E8" s="120" t="s">
        <v>25</v>
      </c>
      <c r="F8" s="120" t="s">
        <v>25</v>
      </c>
      <c r="G8" s="29" t="s">
        <v>74</v>
      </c>
      <c r="H8" s="29" t="s">
        <v>73</v>
      </c>
      <c r="I8" s="29">
        <f>'MERCADO TE'!$U$5</f>
        <v>0</v>
      </c>
      <c r="J8" s="15"/>
      <c r="L8" s="26">
        <v>1</v>
      </c>
      <c r="M8" s="26">
        <v>1</v>
      </c>
      <c r="N8" s="26">
        <v>1</v>
      </c>
      <c r="O8" s="26">
        <v>1</v>
      </c>
      <c r="P8" s="26">
        <v>1</v>
      </c>
      <c r="Q8" s="26"/>
      <c r="R8" s="26">
        <v>1</v>
      </c>
      <c r="S8" s="26"/>
      <c r="T8" s="26">
        <v>1</v>
      </c>
      <c r="U8" s="26">
        <v>1</v>
      </c>
      <c r="V8" s="26">
        <v>1</v>
      </c>
      <c r="W8" s="26"/>
      <c r="X8" s="26"/>
      <c r="Y8" s="26"/>
      <c r="Z8" s="26">
        <v>1</v>
      </c>
      <c r="AA8" s="26"/>
      <c r="AB8" s="26"/>
    </row>
    <row r="9" spans="1:28" ht="11.25" customHeight="1" x14ac:dyDescent="0.25">
      <c r="A9" s="120"/>
      <c r="B9" s="120"/>
      <c r="C9" s="120"/>
      <c r="D9" s="120"/>
      <c r="E9" s="120"/>
      <c r="F9" s="120"/>
      <c r="G9" s="29" t="s">
        <v>85</v>
      </c>
      <c r="H9" s="29" t="s">
        <v>73</v>
      </c>
      <c r="I9" s="29">
        <f>'MERCADO TE'!$U$6</f>
        <v>0</v>
      </c>
      <c r="J9" s="15"/>
      <c r="L9" s="26">
        <v>1</v>
      </c>
      <c r="M9" s="26">
        <v>1</v>
      </c>
      <c r="N9" s="26">
        <v>1</v>
      </c>
      <c r="O9" s="26">
        <v>1</v>
      </c>
      <c r="P9" s="26">
        <v>1</v>
      </c>
      <c r="Q9" s="26"/>
      <c r="R9" s="26">
        <v>1</v>
      </c>
      <c r="S9" s="26"/>
      <c r="T9" s="26">
        <v>1</v>
      </c>
      <c r="U9" s="26">
        <v>1</v>
      </c>
      <c r="V9" s="26">
        <v>1</v>
      </c>
      <c r="W9" s="26"/>
      <c r="X9" s="26"/>
      <c r="Y9" s="26"/>
      <c r="Z9" s="26">
        <v>1</v>
      </c>
      <c r="AA9" s="26"/>
      <c r="AB9" s="26"/>
    </row>
    <row r="10" spans="1:28" ht="11.25" customHeight="1" x14ac:dyDescent="0.25">
      <c r="A10" s="120"/>
      <c r="B10" s="120"/>
      <c r="C10" s="120"/>
      <c r="D10" s="120"/>
      <c r="E10" s="120"/>
      <c r="F10" s="120"/>
      <c r="G10" s="29" t="s">
        <v>75</v>
      </c>
      <c r="H10" s="29" t="s">
        <v>73</v>
      </c>
      <c r="I10" s="29">
        <f>'MERCADO TE'!$U$7</f>
        <v>0</v>
      </c>
      <c r="J10" s="15"/>
      <c r="L10" s="26">
        <v>1</v>
      </c>
      <c r="M10" s="26">
        <v>1</v>
      </c>
      <c r="N10" s="26">
        <v>1</v>
      </c>
      <c r="O10" s="26">
        <v>1</v>
      </c>
      <c r="P10" s="26">
        <v>1</v>
      </c>
      <c r="Q10" s="26"/>
      <c r="R10" s="26">
        <v>1</v>
      </c>
      <c r="S10" s="26"/>
      <c r="T10" s="26">
        <v>1</v>
      </c>
      <c r="U10" s="26">
        <v>1</v>
      </c>
      <c r="V10" s="26">
        <v>1</v>
      </c>
      <c r="W10" s="26"/>
      <c r="X10" s="26"/>
      <c r="Y10" s="26"/>
      <c r="Z10" s="26">
        <v>1</v>
      </c>
      <c r="AA10" s="26"/>
      <c r="AB10" s="26"/>
    </row>
    <row r="11" spans="1:28" ht="11.25" customHeight="1" x14ac:dyDescent="0.25">
      <c r="A11" s="120"/>
      <c r="B11" s="120" t="s">
        <v>76</v>
      </c>
      <c r="C11" s="120" t="s">
        <v>24</v>
      </c>
      <c r="D11" s="28" t="s">
        <v>24</v>
      </c>
      <c r="E11" s="28" t="s">
        <v>25</v>
      </c>
      <c r="F11" s="28" t="s">
        <v>25</v>
      </c>
      <c r="G11" s="29" t="s">
        <v>77</v>
      </c>
      <c r="H11" s="29" t="s">
        <v>73</v>
      </c>
      <c r="I11" s="29">
        <f>'MERCADO TE'!$U$8</f>
        <v>4803.848</v>
      </c>
      <c r="J11" s="15"/>
      <c r="L11" s="26">
        <v>1</v>
      </c>
      <c r="M11" s="26">
        <v>1</v>
      </c>
      <c r="N11" s="26">
        <v>1</v>
      </c>
      <c r="O11" s="26">
        <v>1</v>
      </c>
      <c r="P11" s="26">
        <v>1</v>
      </c>
      <c r="Q11" s="26"/>
      <c r="R11" s="26">
        <v>1</v>
      </c>
      <c r="S11" s="26"/>
      <c r="T11" s="26">
        <v>1</v>
      </c>
      <c r="U11" s="26">
        <v>1</v>
      </c>
      <c r="V11" s="26">
        <v>1</v>
      </c>
      <c r="W11" s="26"/>
      <c r="X11" s="26"/>
      <c r="Y11" s="26"/>
      <c r="Z11" s="26">
        <v>1</v>
      </c>
      <c r="AA11" s="26"/>
      <c r="AB11" s="26"/>
    </row>
    <row r="12" spans="1:28" ht="11.25" customHeight="1" x14ac:dyDescent="0.25">
      <c r="A12" s="120"/>
      <c r="B12" s="120"/>
      <c r="C12" s="120"/>
      <c r="D12" s="28" t="s">
        <v>29</v>
      </c>
      <c r="E12" s="28" t="s">
        <v>25</v>
      </c>
      <c r="F12" s="28" t="s">
        <v>25</v>
      </c>
      <c r="G12" s="29" t="s">
        <v>77</v>
      </c>
      <c r="H12" s="29" t="s">
        <v>73</v>
      </c>
      <c r="I12" s="29">
        <f>'MERCADO TE'!$U$9</f>
        <v>28.29</v>
      </c>
      <c r="J12" s="15"/>
      <c r="L12" s="26">
        <f>1 - CUSTOS!$M$24</f>
        <v>1</v>
      </c>
      <c r="M12" s="26">
        <f>1 - CUSTOS!$M$24</f>
        <v>1</v>
      </c>
      <c r="N12" s="26">
        <f>1 - CUSTOS!$M$24</f>
        <v>1</v>
      </c>
      <c r="O12" s="26">
        <f>1 - CUSTOS!$M$24</f>
        <v>1</v>
      </c>
      <c r="P12" s="26">
        <f>1 - CUSTOS!$M$24</f>
        <v>1</v>
      </c>
      <c r="Q12" s="26"/>
      <c r="R12" s="26">
        <f>(1 - CUSTOS!$M$24)*1</f>
        <v>1</v>
      </c>
      <c r="S12" s="26"/>
      <c r="T12" s="26">
        <f>1 - CUSTOS!$M$24</f>
        <v>1</v>
      </c>
      <c r="U12" s="26">
        <f>1 - CUSTOS!$M$24</f>
        <v>1</v>
      </c>
      <c r="V12" s="26">
        <f>1 - CUSTOS!$M$24</f>
        <v>1</v>
      </c>
      <c r="W12" s="26"/>
      <c r="X12" s="26"/>
      <c r="Y12" s="26"/>
      <c r="Z12" s="26">
        <f>1 - CUSTOS!$M$24</f>
        <v>1</v>
      </c>
      <c r="AA12" s="26"/>
      <c r="AB12" s="26"/>
    </row>
    <row r="13" spans="1:28" ht="11.25" customHeight="1" x14ac:dyDescent="0.25">
      <c r="A13" s="120"/>
      <c r="B13" s="120"/>
      <c r="C13" s="120"/>
      <c r="D13" s="28" t="s">
        <v>30</v>
      </c>
      <c r="E13" s="28" t="s">
        <v>25</v>
      </c>
      <c r="F13" s="28" t="s">
        <v>25</v>
      </c>
      <c r="G13" s="29" t="s">
        <v>77</v>
      </c>
      <c r="H13" s="29" t="s">
        <v>73</v>
      </c>
      <c r="I13" s="29">
        <f>'MERCADO TE'!$U$10</f>
        <v>50.516000000000005</v>
      </c>
      <c r="J13" s="15"/>
      <c r="L13" s="26">
        <f>1 - CUSTOS!$M$25</f>
        <v>1</v>
      </c>
      <c r="M13" s="26">
        <f>1 - CUSTOS!$M$25</f>
        <v>1</v>
      </c>
      <c r="N13" s="26">
        <f>1 - CUSTOS!$M$25</f>
        <v>1</v>
      </c>
      <c r="O13" s="26">
        <f>1 - CUSTOS!$M$25</f>
        <v>1</v>
      </c>
      <c r="P13" s="26">
        <f>1 - CUSTOS!$M$25</f>
        <v>1</v>
      </c>
      <c r="Q13" s="26"/>
      <c r="R13" s="26">
        <f>(1 - CUSTOS!$M$25)*1</f>
        <v>1</v>
      </c>
      <c r="S13" s="26"/>
      <c r="T13" s="26">
        <f>1 - CUSTOS!$M$25</f>
        <v>1</v>
      </c>
      <c r="U13" s="26">
        <f>1 - CUSTOS!$M$25</f>
        <v>1</v>
      </c>
      <c r="V13" s="26">
        <f>1 - CUSTOS!$M$25</f>
        <v>1</v>
      </c>
      <c r="W13" s="26"/>
      <c r="X13" s="26"/>
      <c r="Y13" s="26"/>
      <c r="Z13" s="26">
        <f>1 - CUSTOS!$M$25</f>
        <v>1</v>
      </c>
      <c r="AA13" s="26"/>
      <c r="AB13" s="26"/>
    </row>
    <row r="14" spans="1:28" ht="11.25" customHeight="1" x14ac:dyDescent="0.25">
      <c r="A14" s="120"/>
      <c r="B14" s="120"/>
      <c r="C14" s="120"/>
      <c r="D14" s="28" t="s">
        <v>31</v>
      </c>
      <c r="E14" s="28" t="s">
        <v>25</v>
      </c>
      <c r="F14" s="28" t="s">
        <v>25</v>
      </c>
      <c r="G14" s="29" t="s">
        <v>77</v>
      </c>
      <c r="H14" s="29" t="s">
        <v>73</v>
      </c>
      <c r="I14" s="29">
        <f>'MERCADO TE'!$U$11</f>
        <v>39.111000000000004</v>
      </c>
      <c r="J14" s="15"/>
      <c r="L14" s="26">
        <f>1 - CUSTOS!$M$26</f>
        <v>1</v>
      </c>
      <c r="M14" s="26">
        <f>1 - CUSTOS!$M$26</f>
        <v>1</v>
      </c>
      <c r="N14" s="26">
        <f>1 - CUSTOS!$M$26</f>
        <v>1</v>
      </c>
      <c r="O14" s="26">
        <f>1 - CUSTOS!$M$26</f>
        <v>1</v>
      </c>
      <c r="P14" s="26">
        <f>1 - CUSTOS!$M$26</f>
        <v>1</v>
      </c>
      <c r="Q14" s="26"/>
      <c r="R14" s="26">
        <f>(1 - CUSTOS!$M$26)*1</f>
        <v>1</v>
      </c>
      <c r="S14" s="26"/>
      <c r="T14" s="26">
        <f>1 - CUSTOS!$M$26</f>
        <v>1</v>
      </c>
      <c r="U14" s="26">
        <f>1 - CUSTOS!$M$26</f>
        <v>1</v>
      </c>
      <c r="V14" s="26">
        <f>1 - CUSTOS!$M$26</f>
        <v>1</v>
      </c>
      <c r="W14" s="26"/>
      <c r="X14" s="26"/>
      <c r="Y14" s="26"/>
      <c r="Z14" s="26">
        <f>1 - CUSTOS!$M$26</f>
        <v>1</v>
      </c>
      <c r="AA14" s="26"/>
      <c r="AB14" s="26"/>
    </row>
    <row r="15" spans="1:28" ht="11.25" customHeight="1" x14ac:dyDescent="0.25">
      <c r="A15" s="120"/>
      <c r="B15" s="120"/>
      <c r="C15" s="120"/>
      <c r="D15" s="28" t="s">
        <v>32</v>
      </c>
      <c r="E15" s="28" t="s">
        <v>25</v>
      </c>
      <c r="F15" s="28" t="s">
        <v>25</v>
      </c>
      <c r="G15" s="29" t="s">
        <v>77</v>
      </c>
      <c r="H15" s="29" t="s">
        <v>73</v>
      </c>
      <c r="I15" s="29">
        <f>'MERCADO TE'!$U$12</f>
        <v>10.074999999999999</v>
      </c>
      <c r="J15" s="15"/>
      <c r="L15" s="26">
        <f>1 - CUSTOS!$M$27</f>
        <v>1</v>
      </c>
      <c r="M15" s="26">
        <f>1 - CUSTOS!$M$27</f>
        <v>1</v>
      </c>
      <c r="N15" s="26">
        <f>1 - CUSTOS!$M$27</f>
        <v>1</v>
      </c>
      <c r="O15" s="26">
        <f>1 - CUSTOS!$M$27</f>
        <v>1</v>
      </c>
      <c r="P15" s="26">
        <f>1 - CUSTOS!$M$27</f>
        <v>1</v>
      </c>
      <c r="Q15" s="26"/>
      <c r="R15" s="26">
        <f>(1 - CUSTOS!$M$27)*1</f>
        <v>1</v>
      </c>
      <c r="S15" s="26"/>
      <c r="T15" s="26">
        <f>1 - CUSTOS!$M$27</f>
        <v>1</v>
      </c>
      <c r="U15" s="26">
        <f>1 - CUSTOS!$M$27</f>
        <v>1</v>
      </c>
      <c r="V15" s="26">
        <f>1 - CUSTOS!$M$27</f>
        <v>1</v>
      </c>
      <c r="W15" s="26"/>
      <c r="X15" s="26"/>
      <c r="Y15" s="26"/>
      <c r="Z15" s="26">
        <f>1 - CUSTOS!$M$27</f>
        <v>1</v>
      </c>
      <c r="AA15" s="26"/>
      <c r="AB15" s="26"/>
    </row>
    <row r="16" spans="1:28" ht="11.25" customHeight="1" x14ac:dyDescent="0.25">
      <c r="A16" s="120"/>
      <c r="B16" s="120" t="s">
        <v>87</v>
      </c>
      <c r="C16" s="120" t="s">
        <v>24</v>
      </c>
      <c r="D16" s="28" t="s">
        <v>24</v>
      </c>
      <c r="E16" s="28" t="s">
        <v>25</v>
      </c>
      <c r="F16" s="28" t="s">
        <v>25</v>
      </c>
      <c r="G16" s="29" t="s">
        <v>77</v>
      </c>
      <c r="H16" s="29" t="s">
        <v>73</v>
      </c>
      <c r="I16" s="29">
        <f>'MERCADO TE'!$U$13</f>
        <v>0</v>
      </c>
      <c r="J16" s="15"/>
      <c r="L16" s="26">
        <v>1</v>
      </c>
      <c r="M16" s="26">
        <v>1</v>
      </c>
      <c r="N16" s="26">
        <v>1</v>
      </c>
      <c r="O16" s="26">
        <v>1</v>
      </c>
      <c r="P16" s="26">
        <v>1</v>
      </c>
      <c r="Q16" s="26"/>
      <c r="R16" s="26">
        <v>1</v>
      </c>
      <c r="S16" s="26"/>
      <c r="T16" s="26">
        <v>1</v>
      </c>
      <c r="U16" s="26">
        <v>1</v>
      </c>
      <c r="V16" s="26">
        <v>1</v>
      </c>
      <c r="W16" s="26"/>
      <c r="X16" s="26"/>
      <c r="Y16" s="26"/>
      <c r="Z16" s="26">
        <v>1</v>
      </c>
      <c r="AA16" s="26"/>
      <c r="AB16" s="26"/>
    </row>
    <row r="17" spans="1:28" ht="11.25" customHeight="1" x14ac:dyDescent="0.25">
      <c r="A17" s="120"/>
      <c r="B17" s="120"/>
      <c r="C17" s="120"/>
      <c r="D17" s="28" t="s">
        <v>29</v>
      </c>
      <c r="E17" s="28" t="s">
        <v>25</v>
      </c>
      <c r="F17" s="28" t="s">
        <v>25</v>
      </c>
      <c r="G17" s="29" t="s">
        <v>77</v>
      </c>
      <c r="H17" s="29" t="s">
        <v>73</v>
      </c>
      <c r="I17" s="29">
        <f>'MERCADO TE'!$U$14</f>
        <v>0</v>
      </c>
      <c r="J17" s="15"/>
      <c r="L17" s="26">
        <f>1 - CUSTOS!$M$24</f>
        <v>1</v>
      </c>
      <c r="M17" s="26">
        <f>1 - CUSTOS!$M$24</f>
        <v>1</v>
      </c>
      <c r="N17" s="26">
        <f>1 - CUSTOS!$M$24</f>
        <v>1</v>
      </c>
      <c r="O17" s="26">
        <f>1 - CUSTOS!$M$24</f>
        <v>1</v>
      </c>
      <c r="P17" s="26">
        <f>1 - CUSTOS!$M$24</f>
        <v>1</v>
      </c>
      <c r="Q17" s="26"/>
      <c r="R17" s="26">
        <f>(1 - CUSTOS!$M$24)*1</f>
        <v>1</v>
      </c>
      <c r="S17" s="26"/>
      <c r="T17" s="26">
        <f>1 - CUSTOS!$M$24</f>
        <v>1</v>
      </c>
      <c r="U17" s="26">
        <f>1 - CUSTOS!$M$24</f>
        <v>1</v>
      </c>
      <c r="V17" s="26">
        <f>1 - CUSTOS!$M$24</f>
        <v>1</v>
      </c>
      <c r="W17" s="26"/>
      <c r="X17" s="26"/>
      <c r="Y17" s="26"/>
      <c r="Z17" s="26">
        <f>1 - CUSTOS!$M$24</f>
        <v>1</v>
      </c>
      <c r="AA17" s="26"/>
      <c r="AB17" s="26"/>
    </row>
    <row r="18" spans="1:28" ht="11.25" customHeight="1" x14ac:dyDescent="0.25">
      <c r="A18" s="120"/>
      <c r="B18" s="120"/>
      <c r="C18" s="120"/>
      <c r="D18" s="28" t="s">
        <v>30</v>
      </c>
      <c r="E18" s="28" t="s">
        <v>25</v>
      </c>
      <c r="F18" s="28" t="s">
        <v>25</v>
      </c>
      <c r="G18" s="29" t="s">
        <v>77</v>
      </c>
      <c r="H18" s="29" t="s">
        <v>73</v>
      </c>
      <c r="I18" s="29">
        <f>'MERCADO TE'!$U$15</f>
        <v>0</v>
      </c>
      <c r="J18" s="15"/>
      <c r="L18" s="26">
        <f>1 - CUSTOS!$M$25</f>
        <v>1</v>
      </c>
      <c r="M18" s="26">
        <f>1 - CUSTOS!$M$25</f>
        <v>1</v>
      </c>
      <c r="N18" s="26">
        <f>1 - CUSTOS!$M$25</f>
        <v>1</v>
      </c>
      <c r="O18" s="26">
        <f>1 - CUSTOS!$M$25</f>
        <v>1</v>
      </c>
      <c r="P18" s="26">
        <f>1 - CUSTOS!$M$25</f>
        <v>1</v>
      </c>
      <c r="Q18" s="26"/>
      <c r="R18" s="26">
        <f>(1 - CUSTOS!$M$25)*1</f>
        <v>1</v>
      </c>
      <c r="S18" s="26"/>
      <c r="T18" s="26">
        <f>1 - CUSTOS!$M$25</f>
        <v>1</v>
      </c>
      <c r="U18" s="26">
        <f>1 - CUSTOS!$M$25</f>
        <v>1</v>
      </c>
      <c r="V18" s="26">
        <f>1 - CUSTOS!$M$25</f>
        <v>1</v>
      </c>
      <c r="W18" s="26"/>
      <c r="X18" s="26"/>
      <c r="Y18" s="26"/>
      <c r="Z18" s="26">
        <f>1 - CUSTOS!$M$25</f>
        <v>1</v>
      </c>
      <c r="AA18" s="26"/>
      <c r="AB18" s="26"/>
    </row>
    <row r="19" spans="1:28" ht="11.25" customHeight="1" x14ac:dyDescent="0.25">
      <c r="A19" s="120"/>
      <c r="B19" s="120"/>
      <c r="C19" s="120"/>
      <c r="D19" s="28" t="s">
        <v>31</v>
      </c>
      <c r="E19" s="28" t="s">
        <v>25</v>
      </c>
      <c r="F19" s="28" t="s">
        <v>25</v>
      </c>
      <c r="G19" s="29" t="s">
        <v>77</v>
      </c>
      <c r="H19" s="29" t="s">
        <v>73</v>
      </c>
      <c r="I19" s="29">
        <f>'MERCADO TE'!$U$16</f>
        <v>0</v>
      </c>
      <c r="J19" s="15"/>
      <c r="L19" s="26">
        <f>1 - CUSTOS!$M$26</f>
        <v>1</v>
      </c>
      <c r="M19" s="26">
        <f>1 - CUSTOS!$M$26</f>
        <v>1</v>
      </c>
      <c r="N19" s="26">
        <f>1 - CUSTOS!$M$26</f>
        <v>1</v>
      </c>
      <c r="O19" s="26">
        <f>1 - CUSTOS!$M$26</f>
        <v>1</v>
      </c>
      <c r="P19" s="26">
        <f>1 - CUSTOS!$M$26</f>
        <v>1</v>
      </c>
      <c r="Q19" s="26"/>
      <c r="R19" s="26">
        <f>(1 - CUSTOS!$M$26)*1</f>
        <v>1</v>
      </c>
      <c r="S19" s="26"/>
      <c r="T19" s="26">
        <f>1 - CUSTOS!$M$26</f>
        <v>1</v>
      </c>
      <c r="U19" s="26">
        <f>1 - CUSTOS!$M$26</f>
        <v>1</v>
      </c>
      <c r="V19" s="26">
        <f>1 - CUSTOS!$M$26</f>
        <v>1</v>
      </c>
      <c r="W19" s="26"/>
      <c r="X19" s="26"/>
      <c r="Y19" s="26"/>
      <c r="Z19" s="26">
        <f>1 - CUSTOS!$M$26</f>
        <v>1</v>
      </c>
      <c r="AA19" s="26"/>
      <c r="AB19" s="26"/>
    </row>
    <row r="20" spans="1:28" ht="11.25" customHeight="1" x14ac:dyDescent="0.25">
      <c r="A20" s="120"/>
      <c r="B20" s="120"/>
      <c r="C20" s="120"/>
      <c r="D20" s="28" t="s">
        <v>32</v>
      </c>
      <c r="E20" s="28" t="s">
        <v>25</v>
      </c>
      <c r="F20" s="28" t="s">
        <v>25</v>
      </c>
      <c r="G20" s="29" t="s">
        <v>77</v>
      </c>
      <c r="H20" s="29" t="s">
        <v>73</v>
      </c>
      <c r="I20" s="29">
        <f>'MERCADO TE'!$U$17</f>
        <v>0</v>
      </c>
      <c r="J20" s="15"/>
      <c r="L20" s="26">
        <f>1 - CUSTOS!$M$27</f>
        <v>1</v>
      </c>
      <c r="M20" s="26">
        <f>1 - CUSTOS!$M$27</f>
        <v>1</v>
      </c>
      <c r="N20" s="26">
        <f>1 - CUSTOS!$M$27</f>
        <v>1</v>
      </c>
      <c r="O20" s="26">
        <f>1 - CUSTOS!$M$27</f>
        <v>1</v>
      </c>
      <c r="P20" s="26">
        <f>1 - CUSTOS!$M$27</f>
        <v>1</v>
      </c>
      <c r="Q20" s="26"/>
      <c r="R20" s="26">
        <f>(1 - CUSTOS!$M$27)*1</f>
        <v>1</v>
      </c>
      <c r="S20" s="26"/>
      <c r="T20" s="26">
        <f>1 - CUSTOS!$M$27</f>
        <v>1</v>
      </c>
      <c r="U20" s="26">
        <f>1 - CUSTOS!$M$27</f>
        <v>1</v>
      </c>
      <c r="V20" s="26">
        <f>1 - CUSTOS!$M$27</f>
        <v>1</v>
      </c>
      <c r="W20" s="26"/>
      <c r="X20" s="26"/>
      <c r="Y20" s="26"/>
      <c r="Z20" s="26">
        <f>1 - CUSTOS!$M$27</f>
        <v>1</v>
      </c>
      <c r="AA20" s="26"/>
      <c r="AB20" s="26"/>
    </row>
    <row r="21" spans="1:28" ht="11.25" customHeight="1" x14ac:dyDescent="0.25">
      <c r="A21" s="120" t="s">
        <v>41</v>
      </c>
      <c r="B21" s="120" t="s">
        <v>72</v>
      </c>
      <c r="C21" s="120" t="s">
        <v>42</v>
      </c>
      <c r="D21" s="120" t="s">
        <v>25</v>
      </c>
      <c r="E21" s="120" t="s">
        <v>25</v>
      </c>
      <c r="F21" s="120" t="s">
        <v>25</v>
      </c>
      <c r="G21" s="29" t="s">
        <v>74</v>
      </c>
      <c r="H21" s="29" t="s">
        <v>73</v>
      </c>
      <c r="I21" s="29">
        <f>'MERCADO TE'!$U$18</f>
        <v>0</v>
      </c>
      <c r="J21" s="15"/>
      <c r="L21" s="26">
        <f>1 - CUSTOS!$M$28</f>
        <v>1</v>
      </c>
      <c r="M21" s="26">
        <f>1 - CUSTOS!$M$28</f>
        <v>1</v>
      </c>
      <c r="N21" s="26">
        <f>1 - CUSTOS!$M$28</f>
        <v>1</v>
      </c>
      <c r="O21" s="26">
        <f>1 - CUSTOS!$M$28</f>
        <v>1</v>
      </c>
      <c r="P21" s="26">
        <f>1 - CUSTOS!$M$28</f>
        <v>1</v>
      </c>
      <c r="Q21" s="26"/>
      <c r="R21" s="26">
        <f>(1 - CUSTOS!$M$28)*1</f>
        <v>1</v>
      </c>
      <c r="S21" s="26"/>
      <c r="T21" s="26">
        <f>1 - CUSTOS!$M$28</f>
        <v>1</v>
      </c>
      <c r="U21" s="26">
        <f>1 - CUSTOS!$M$28</f>
        <v>1</v>
      </c>
      <c r="V21" s="26">
        <f>1 - CUSTOS!$M$28</f>
        <v>1</v>
      </c>
      <c r="W21" s="26"/>
      <c r="X21" s="26"/>
      <c r="Y21" s="26"/>
      <c r="Z21" s="26">
        <f>1 - CUSTOS!$M$28</f>
        <v>1</v>
      </c>
      <c r="AA21" s="26"/>
      <c r="AB21" s="26"/>
    </row>
    <row r="22" spans="1:28" ht="11.25" customHeight="1" x14ac:dyDescent="0.25">
      <c r="A22" s="120"/>
      <c r="B22" s="120"/>
      <c r="C22" s="120"/>
      <c r="D22" s="120"/>
      <c r="E22" s="120"/>
      <c r="F22" s="120"/>
      <c r="G22" s="29" t="s">
        <v>85</v>
      </c>
      <c r="H22" s="29" t="s">
        <v>73</v>
      </c>
      <c r="I22" s="29">
        <f>'MERCADO TE'!$U$19</f>
        <v>0</v>
      </c>
      <c r="J22" s="15"/>
      <c r="L22" s="26">
        <f>1 - CUSTOS!$M$28</f>
        <v>1</v>
      </c>
      <c r="M22" s="26">
        <f>1 - CUSTOS!$M$28</f>
        <v>1</v>
      </c>
      <c r="N22" s="26">
        <f>1 - CUSTOS!$M$28</f>
        <v>1</v>
      </c>
      <c r="O22" s="26">
        <f>1 - CUSTOS!$M$28</f>
        <v>1</v>
      </c>
      <c r="P22" s="26">
        <f>1 - CUSTOS!$M$28</f>
        <v>1</v>
      </c>
      <c r="Q22" s="26"/>
      <c r="R22" s="26">
        <f>(1 - CUSTOS!$M$28)*1</f>
        <v>1</v>
      </c>
      <c r="S22" s="26"/>
      <c r="T22" s="26">
        <f>1 - CUSTOS!$M$28</f>
        <v>1</v>
      </c>
      <c r="U22" s="26">
        <f>1 - CUSTOS!$M$28</f>
        <v>1</v>
      </c>
      <c r="V22" s="26">
        <f>1 - CUSTOS!$M$28</f>
        <v>1</v>
      </c>
      <c r="W22" s="26"/>
      <c r="X22" s="26"/>
      <c r="Y22" s="26"/>
      <c r="Z22" s="26">
        <f>1 - CUSTOS!$M$28</f>
        <v>1</v>
      </c>
      <c r="AA22" s="26"/>
      <c r="AB22" s="26"/>
    </row>
    <row r="23" spans="1:28" ht="11.25" customHeight="1" x14ac:dyDescent="0.25">
      <c r="A23" s="120"/>
      <c r="B23" s="120"/>
      <c r="C23" s="120"/>
      <c r="D23" s="120"/>
      <c r="E23" s="120"/>
      <c r="F23" s="120"/>
      <c r="G23" s="29" t="s">
        <v>75</v>
      </c>
      <c r="H23" s="29" t="s">
        <v>73</v>
      </c>
      <c r="I23" s="29">
        <f>'MERCADO TE'!$U$20</f>
        <v>0</v>
      </c>
      <c r="J23" s="15"/>
      <c r="L23" s="26">
        <f>1 - CUSTOS!$M$28</f>
        <v>1</v>
      </c>
      <c r="M23" s="26">
        <f>1 - CUSTOS!$M$28</f>
        <v>1</v>
      </c>
      <c r="N23" s="26">
        <f>1 - CUSTOS!$M$28</f>
        <v>1</v>
      </c>
      <c r="O23" s="26">
        <f>1 - CUSTOS!$M$28</f>
        <v>1</v>
      </c>
      <c r="P23" s="26">
        <f>1 - CUSTOS!$M$28</f>
        <v>1</v>
      </c>
      <c r="Q23" s="26"/>
      <c r="R23" s="26">
        <f>(1 - CUSTOS!$M$28)*1</f>
        <v>1</v>
      </c>
      <c r="S23" s="26"/>
      <c r="T23" s="26">
        <f>1 - CUSTOS!$M$28</f>
        <v>1</v>
      </c>
      <c r="U23" s="26">
        <f>1 - CUSTOS!$M$28</f>
        <v>1</v>
      </c>
      <c r="V23" s="26">
        <f>1 - CUSTOS!$M$28</f>
        <v>1</v>
      </c>
      <c r="W23" s="26"/>
      <c r="X23" s="26"/>
      <c r="Y23" s="26"/>
      <c r="Z23" s="26">
        <f>1 - CUSTOS!$M$28</f>
        <v>1</v>
      </c>
      <c r="AA23" s="26"/>
      <c r="AB23" s="26"/>
    </row>
    <row r="24" spans="1:28" ht="11.25" customHeight="1" x14ac:dyDescent="0.25">
      <c r="A24" s="120"/>
      <c r="B24" s="28" t="s">
        <v>76</v>
      </c>
      <c r="C24" s="28" t="s">
        <v>42</v>
      </c>
      <c r="D24" s="28" t="s">
        <v>25</v>
      </c>
      <c r="E24" s="28" t="s">
        <v>25</v>
      </c>
      <c r="F24" s="28" t="s">
        <v>25</v>
      </c>
      <c r="G24" s="29" t="s">
        <v>77</v>
      </c>
      <c r="H24" s="29" t="s">
        <v>73</v>
      </c>
      <c r="I24" s="29">
        <f>'MERCADO TE'!$U$21</f>
        <v>21333.253999999997</v>
      </c>
      <c r="J24" s="15"/>
      <c r="L24" s="26">
        <f>1 - CUSTOS!$M$28</f>
        <v>1</v>
      </c>
      <c r="M24" s="26">
        <f>1 - CUSTOS!$M$28</f>
        <v>1</v>
      </c>
      <c r="N24" s="26">
        <f>1 - CUSTOS!$M$28</f>
        <v>1</v>
      </c>
      <c r="O24" s="26">
        <f>1 - CUSTOS!$M$28</f>
        <v>1</v>
      </c>
      <c r="P24" s="26">
        <f>1 - CUSTOS!$M$28</f>
        <v>1</v>
      </c>
      <c r="Q24" s="26"/>
      <c r="R24" s="26">
        <f>(1 - CUSTOS!$M$28)*1</f>
        <v>1</v>
      </c>
      <c r="S24" s="26"/>
      <c r="T24" s="26">
        <f>1 - CUSTOS!$M$28</f>
        <v>1</v>
      </c>
      <c r="U24" s="26">
        <f>1 - CUSTOS!$M$28</f>
        <v>1</v>
      </c>
      <c r="V24" s="26">
        <f>1 - CUSTOS!$M$28</f>
        <v>1</v>
      </c>
      <c r="W24" s="26"/>
      <c r="X24" s="26"/>
      <c r="Y24" s="26"/>
      <c r="Z24" s="26">
        <f>1 - CUSTOS!$M$28</f>
        <v>1</v>
      </c>
      <c r="AA24" s="26"/>
      <c r="AB24" s="26"/>
    </row>
    <row r="25" spans="1:28" ht="11.25" customHeight="1" x14ac:dyDescent="0.25">
      <c r="A25" s="120"/>
      <c r="B25" s="120" t="s">
        <v>72</v>
      </c>
      <c r="C25" s="120" t="s">
        <v>42</v>
      </c>
      <c r="D25" s="120" t="s">
        <v>89</v>
      </c>
      <c r="E25" s="120" t="s">
        <v>25</v>
      </c>
      <c r="F25" s="120" t="s">
        <v>25</v>
      </c>
      <c r="G25" s="29" t="s">
        <v>74</v>
      </c>
      <c r="H25" s="29" t="s">
        <v>73</v>
      </c>
      <c r="I25" s="29">
        <f>'MERCADO TE'!$U$22</f>
        <v>0</v>
      </c>
      <c r="J25" s="15"/>
      <c r="L25" s="26">
        <f>1 - CUSTOS!$M$29</f>
        <v>1</v>
      </c>
      <c r="M25" s="26">
        <f>1 - CUSTOS!$M$29</f>
        <v>1</v>
      </c>
      <c r="N25" s="26">
        <f>1 - CUSTOS!$M$29</f>
        <v>1</v>
      </c>
      <c r="O25" s="26">
        <f>1 - CUSTOS!$M$29</f>
        <v>1</v>
      </c>
      <c r="P25" s="26">
        <f>1 - CUSTOS!$M$29</f>
        <v>1</v>
      </c>
      <c r="Q25" s="26"/>
      <c r="R25" s="26">
        <f>(1 - CUSTOS!$M$29)*1</f>
        <v>1</v>
      </c>
      <c r="S25" s="26"/>
      <c r="T25" s="26">
        <f>1 - CUSTOS!$M$29</f>
        <v>1</v>
      </c>
      <c r="U25" s="26">
        <f>1 - CUSTOS!$M$29</f>
        <v>1</v>
      </c>
      <c r="V25" s="26">
        <f>1 - CUSTOS!$M$29</f>
        <v>1</v>
      </c>
      <c r="W25" s="26"/>
      <c r="X25" s="26"/>
      <c r="Y25" s="26"/>
      <c r="Z25" s="26">
        <f>1 - CUSTOS!$M$29</f>
        <v>1</v>
      </c>
      <c r="AA25" s="26"/>
      <c r="AB25" s="26"/>
    </row>
    <row r="26" spans="1:28" ht="11.25" customHeight="1" x14ac:dyDescent="0.25">
      <c r="A26" s="120"/>
      <c r="B26" s="120"/>
      <c r="C26" s="120"/>
      <c r="D26" s="120"/>
      <c r="E26" s="120"/>
      <c r="F26" s="120"/>
      <c r="G26" s="29" t="s">
        <v>85</v>
      </c>
      <c r="H26" s="29" t="s">
        <v>73</v>
      </c>
      <c r="I26" s="29">
        <f>'MERCADO TE'!$U$23</f>
        <v>0</v>
      </c>
      <c r="J26" s="15"/>
      <c r="L26" s="26">
        <f>1 - CUSTOS!$M$29</f>
        <v>1</v>
      </c>
      <c r="M26" s="26">
        <f>1 - CUSTOS!$M$29</f>
        <v>1</v>
      </c>
      <c r="N26" s="26">
        <f>1 - CUSTOS!$M$29</f>
        <v>1</v>
      </c>
      <c r="O26" s="26">
        <f>1 - CUSTOS!$M$29</f>
        <v>1</v>
      </c>
      <c r="P26" s="26">
        <f>1 - CUSTOS!$M$29</f>
        <v>1</v>
      </c>
      <c r="Q26" s="26"/>
      <c r="R26" s="26">
        <f>(1 - CUSTOS!$M$29)*1</f>
        <v>1</v>
      </c>
      <c r="S26" s="26"/>
      <c r="T26" s="26">
        <f>1 - CUSTOS!$M$29</f>
        <v>1</v>
      </c>
      <c r="U26" s="26">
        <f>1 - CUSTOS!$M$29</f>
        <v>1</v>
      </c>
      <c r="V26" s="26">
        <f>1 - CUSTOS!$M$29</f>
        <v>1</v>
      </c>
      <c r="W26" s="26"/>
      <c r="X26" s="26"/>
      <c r="Y26" s="26"/>
      <c r="Z26" s="26">
        <f>1 - CUSTOS!$M$29</f>
        <v>1</v>
      </c>
      <c r="AA26" s="26"/>
      <c r="AB26" s="26"/>
    </row>
    <row r="27" spans="1:28" ht="11.25" customHeight="1" x14ac:dyDescent="0.25">
      <c r="A27" s="120"/>
      <c r="B27" s="120"/>
      <c r="C27" s="120"/>
      <c r="D27" s="120"/>
      <c r="E27" s="120"/>
      <c r="F27" s="120"/>
      <c r="G27" s="29" t="s">
        <v>75</v>
      </c>
      <c r="H27" s="29" t="s">
        <v>73</v>
      </c>
      <c r="I27" s="29">
        <f>'MERCADO TE'!$U$24</f>
        <v>0</v>
      </c>
      <c r="J27" s="15"/>
      <c r="L27" s="26">
        <f>1 - CUSTOS!$M$29</f>
        <v>1</v>
      </c>
      <c r="M27" s="26">
        <f>1 - CUSTOS!$M$29</f>
        <v>1</v>
      </c>
      <c r="N27" s="26">
        <f>1 - CUSTOS!$M$29</f>
        <v>1</v>
      </c>
      <c r="O27" s="26">
        <f>1 - CUSTOS!$M$29</f>
        <v>1</v>
      </c>
      <c r="P27" s="26">
        <f>1 - CUSTOS!$M$29</f>
        <v>1</v>
      </c>
      <c r="Q27" s="26"/>
      <c r="R27" s="26">
        <f>(1 - CUSTOS!$M$29)*1</f>
        <v>1</v>
      </c>
      <c r="S27" s="26"/>
      <c r="T27" s="26">
        <f>1 - CUSTOS!$M$29</f>
        <v>1</v>
      </c>
      <c r="U27" s="26">
        <f>1 - CUSTOS!$M$29</f>
        <v>1</v>
      </c>
      <c r="V27" s="26">
        <f>1 - CUSTOS!$M$29</f>
        <v>1</v>
      </c>
      <c r="W27" s="26"/>
      <c r="X27" s="26"/>
      <c r="Y27" s="26"/>
      <c r="Z27" s="26">
        <f>1 - CUSTOS!$M$29</f>
        <v>1</v>
      </c>
      <c r="AA27" s="26"/>
      <c r="AB27" s="26"/>
    </row>
    <row r="28" spans="1:28" ht="11.25" customHeight="1" x14ac:dyDescent="0.25">
      <c r="A28" s="120"/>
      <c r="B28" s="28" t="s">
        <v>76</v>
      </c>
      <c r="C28" s="28" t="s">
        <v>42</v>
      </c>
      <c r="D28" s="28" t="s">
        <v>89</v>
      </c>
      <c r="E28" s="28" t="s">
        <v>25</v>
      </c>
      <c r="F28" s="28" t="s">
        <v>25</v>
      </c>
      <c r="G28" s="29" t="s">
        <v>77</v>
      </c>
      <c r="H28" s="29" t="s">
        <v>73</v>
      </c>
      <c r="I28" s="29">
        <f>'MERCADO TE'!$U$25</f>
        <v>0</v>
      </c>
      <c r="J28" s="15"/>
      <c r="L28" s="26">
        <f>1 - CUSTOS!$M$29</f>
        <v>1</v>
      </c>
      <c r="M28" s="26">
        <f>1 - CUSTOS!$M$29</f>
        <v>1</v>
      </c>
      <c r="N28" s="26">
        <f>1 - CUSTOS!$M$29</f>
        <v>1</v>
      </c>
      <c r="O28" s="26">
        <f>1 - CUSTOS!$M$29</f>
        <v>1</v>
      </c>
      <c r="P28" s="26">
        <f>1 - CUSTOS!$M$29</f>
        <v>1</v>
      </c>
      <c r="Q28" s="26"/>
      <c r="R28" s="26">
        <f>(1 - CUSTOS!$M$29)*1</f>
        <v>1</v>
      </c>
      <c r="S28" s="26"/>
      <c r="T28" s="26">
        <f>1 - CUSTOS!$M$29</f>
        <v>1</v>
      </c>
      <c r="U28" s="26">
        <f>1 - CUSTOS!$M$29</f>
        <v>1</v>
      </c>
      <c r="V28" s="26">
        <f>1 - CUSTOS!$M$29</f>
        <v>1</v>
      </c>
      <c r="W28" s="26"/>
      <c r="X28" s="26"/>
      <c r="Y28" s="26"/>
      <c r="Z28" s="26">
        <f>1 - CUSTOS!$M$29</f>
        <v>1</v>
      </c>
      <c r="AA28" s="26"/>
      <c r="AB28" s="26"/>
    </row>
    <row r="29" spans="1:28" ht="11.25" customHeight="1" x14ac:dyDescent="0.25">
      <c r="A29" s="120"/>
      <c r="B29" s="120" t="s">
        <v>72</v>
      </c>
      <c r="C29" s="120" t="s">
        <v>42</v>
      </c>
      <c r="D29" s="120" t="s">
        <v>90</v>
      </c>
      <c r="E29" s="120" t="s">
        <v>25</v>
      </c>
      <c r="F29" s="120" t="s">
        <v>25</v>
      </c>
      <c r="G29" s="29" t="s">
        <v>74</v>
      </c>
      <c r="H29" s="29" t="s">
        <v>73</v>
      </c>
      <c r="I29" s="29">
        <f>'MERCADO TE'!$U$26</f>
        <v>0</v>
      </c>
      <c r="J29" s="15"/>
      <c r="L29" s="26">
        <f>1 - CUSTOS!$M$30</f>
        <v>1</v>
      </c>
      <c r="M29" s="26">
        <f>1 - CUSTOS!$M$30</f>
        <v>1</v>
      </c>
      <c r="N29" s="26">
        <f>1 - CUSTOS!$M$30</f>
        <v>1</v>
      </c>
      <c r="O29" s="26">
        <f>1 - CUSTOS!$M$30</f>
        <v>1</v>
      </c>
      <c r="P29" s="26">
        <f>1 - CUSTOS!$M$30</f>
        <v>1</v>
      </c>
      <c r="Q29" s="26"/>
      <c r="R29" s="26">
        <f>(1 - CUSTOS!$M$30)*1</f>
        <v>1</v>
      </c>
      <c r="S29" s="26"/>
      <c r="T29" s="26">
        <f>1 - CUSTOS!$M$30</f>
        <v>1</v>
      </c>
      <c r="U29" s="26">
        <f>1 - CUSTOS!$M$30</f>
        <v>1</v>
      </c>
      <c r="V29" s="26">
        <f>1 - CUSTOS!$M$30</f>
        <v>1</v>
      </c>
      <c r="W29" s="26"/>
      <c r="X29" s="26"/>
      <c r="Y29" s="26"/>
      <c r="Z29" s="26">
        <f>1 - CUSTOS!$M$30</f>
        <v>1</v>
      </c>
      <c r="AA29" s="26"/>
      <c r="AB29" s="26"/>
    </row>
    <row r="30" spans="1:28" ht="11.25" customHeight="1" x14ac:dyDescent="0.25">
      <c r="A30" s="120"/>
      <c r="B30" s="120"/>
      <c r="C30" s="120"/>
      <c r="D30" s="120"/>
      <c r="E30" s="120"/>
      <c r="F30" s="120"/>
      <c r="G30" s="29" t="s">
        <v>85</v>
      </c>
      <c r="H30" s="29" t="s">
        <v>73</v>
      </c>
      <c r="I30" s="29">
        <f>'MERCADO TE'!$U$27</f>
        <v>0</v>
      </c>
      <c r="J30" s="15"/>
      <c r="L30" s="26">
        <f>1 - CUSTOS!$M$30</f>
        <v>1</v>
      </c>
      <c r="M30" s="26">
        <f>1 - CUSTOS!$M$30</f>
        <v>1</v>
      </c>
      <c r="N30" s="26">
        <f>1 - CUSTOS!$M$30</f>
        <v>1</v>
      </c>
      <c r="O30" s="26">
        <f>1 - CUSTOS!$M$30</f>
        <v>1</v>
      </c>
      <c r="P30" s="26">
        <f>1 - CUSTOS!$M$30</f>
        <v>1</v>
      </c>
      <c r="Q30" s="26"/>
      <c r="R30" s="26">
        <f>(1 - CUSTOS!$M$30)*1</f>
        <v>1</v>
      </c>
      <c r="S30" s="26"/>
      <c r="T30" s="26">
        <f>1 - CUSTOS!$M$30</f>
        <v>1</v>
      </c>
      <c r="U30" s="26">
        <f>1 - CUSTOS!$M$30</f>
        <v>1</v>
      </c>
      <c r="V30" s="26">
        <f>1 - CUSTOS!$M$30</f>
        <v>1</v>
      </c>
      <c r="W30" s="26"/>
      <c r="X30" s="26"/>
      <c r="Y30" s="26"/>
      <c r="Z30" s="26">
        <f>1 - CUSTOS!$M$30</f>
        <v>1</v>
      </c>
      <c r="AA30" s="26"/>
      <c r="AB30" s="26"/>
    </row>
    <row r="31" spans="1:28" ht="11.25" customHeight="1" x14ac:dyDescent="0.25">
      <c r="A31" s="120"/>
      <c r="B31" s="120"/>
      <c r="C31" s="120"/>
      <c r="D31" s="120"/>
      <c r="E31" s="120"/>
      <c r="F31" s="120"/>
      <c r="G31" s="29" t="s">
        <v>75</v>
      </c>
      <c r="H31" s="29" t="s">
        <v>73</v>
      </c>
      <c r="I31" s="29">
        <f>'MERCADO TE'!$U$28</f>
        <v>0</v>
      </c>
      <c r="J31" s="15"/>
      <c r="L31" s="26">
        <f>1 - CUSTOS!$M$30</f>
        <v>1</v>
      </c>
      <c r="M31" s="26">
        <f>1 - CUSTOS!$M$30</f>
        <v>1</v>
      </c>
      <c r="N31" s="26">
        <f>1 - CUSTOS!$M$30</f>
        <v>1</v>
      </c>
      <c r="O31" s="26">
        <f>1 - CUSTOS!$M$30</f>
        <v>1</v>
      </c>
      <c r="P31" s="26">
        <f>1 - CUSTOS!$M$30</f>
        <v>1</v>
      </c>
      <c r="Q31" s="26"/>
      <c r="R31" s="26">
        <f>(1 - CUSTOS!$M$30)*1</f>
        <v>1</v>
      </c>
      <c r="S31" s="26"/>
      <c r="T31" s="26">
        <f>1 - CUSTOS!$M$30</f>
        <v>1</v>
      </c>
      <c r="U31" s="26">
        <f>1 - CUSTOS!$M$30</f>
        <v>1</v>
      </c>
      <c r="V31" s="26">
        <f>1 - CUSTOS!$M$30</f>
        <v>1</v>
      </c>
      <c r="W31" s="26"/>
      <c r="X31" s="26"/>
      <c r="Y31" s="26"/>
      <c r="Z31" s="26">
        <f>1 - CUSTOS!$M$30</f>
        <v>1</v>
      </c>
      <c r="AA31" s="26"/>
      <c r="AB31" s="26"/>
    </row>
    <row r="32" spans="1:28" ht="11.25" customHeight="1" x14ac:dyDescent="0.25">
      <c r="A32" s="120"/>
      <c r="B32" s="28" t="s">
        <v>76</v>
      </c>
      <c r="C32" s="28" t="s">
        <v>42</v>
      </c>
      <c r="D32" s="28" t="s">
        <v>90</v>
      </c>
      <c r="E32" s="28" t="s">
        <v>25</v>
      </c>
      <c r="F32" s="28" t="s">
        <v>25</v>
      </c>
      <c r="G32" s="29" t="s">
        <v>77</v>
      </c>
      <c r="H32" s="29" t="s">
        <v>73</v>
      </c>
      <c r="I32" s="29">
        <f>'MERCADO TE'!$U$29</f>
        <v>0</v>
      </c>
      <c r="J32" s="15"/>
      <c r="L32" s="26">
        <f>1 - CUSTOS!$M$30</f>
        <v>1</v>
      </c>
      <c r="M32" s="26">
        <f>1 - CUSTOS!$M$30</f>
        <v>1</v>
      </c>
      <c r="N32" s="26">
        <f>1 - CUSTOS!$M$30</f>
        <v>1</v>
      </c>
      <c r="O32" s="26">
        <f>1 - CUSTOS!$M$30</f>
        <v>1</v>
      </c>
      <c r="P32" s="26">
        <f>1 - CUSTOS!$M$30</f>
        <v>1</v>
      </c>
      <c r="Q32" s="26"/>
      <c r="R32" s="26">
        <f>(1 - CUSTOS!$M$30)*1</f>
        <v>1</v>
      </c>
      <c r="S32" s="26"/>
      <c r="T32" s="26">
        <f>1 - CUSTOS!$M$30</f>
        <v>1</v>
      </c>
      <c r="U32" s="26">
        <f>1 - CUSTOS!$M$30</f>
        <v>1</v>
      </c>
      <c r="V32" s="26">
        <f>1 - CUSTOS!$M$30</f>
        <v>1</v>
      </c>
      <c r="W32" s="26"/>
      <c r="X32" s="26"/>
      <c r="Y32" s="26"/>
      <c r="Z32" s="26">
        <f>1 - CUSTOS!$M$30</f>
        <v>1</v>
      </c>
      <c r="AA32" s="26"/>
      <c r="AB32" s="26"/>
    </row>
    <row r="33" spans="1:28" ht="11.25" customHeight="1" x14ac:dyDescent="0.25">
      <c r="A33" s="120"/>
      <c r="B33" s="120" t="s">
        <v>87</v>
      </c>
      <c r="C33" s="120" t="s">
        <v>42</v>
      </c>
      <c r="D33" s="28" t="s">
        <v>25</v>
      </c>
      <c r="E33" s="28" t="s">
        <v>25</v>
      </c>
      <c r="F33" s="28" t="s">
        <v>25</v>
      </c>
      <c r="G33" s="29" t="s">
        <v>77</v>
      </c>
      <c r="H33" s="29" t="s">
        <v>73</v>
      </c>
      <c r="I33" s="29">
        <f>'MERCADO TE'!$U$30</f>
        <v>0</v>
      </c>
      <c r="J33" s="15"/>
      <c r="L33" s="26">
        <f>1 - CUSTOS!$M$28</f>
        <v>1</v>
      </c>
      <c r="M33" s="26">
        <f>1 - CUSTOS!$M$28</f>
        <v>1</v>
      </c>
      <c r="N33" s="26">
        <f>1 - CUSTOS!$M$28</f>
        <v>1</v>
      </c>
      <c r="O33" s="26">
        <f>1 - CUSTOS!$M$28</f>
        <v>1</v>
      </c>
      <c r="P33" s="26">
        <f>1 - CUSTOS!$M$28</f>
        <v>1</v>
      </c>
      <c r="Q33" s="26"/>
      <c r="R33" s="26">
        <f>(1 - CUSTOS!$M$28)*1</f>
        <v>1</v>
      </c>
      <c r="S33" s="26"/>
      <c r="T33" s="26">
        <f>1 - CUSTOS!$M$28</f>
        <v>1</v>
      </c>
      <c r="U33" s="26">
        <f>1 - CUSTOS!$M$28</f>
        <v>1</v>
      </c>
      <c r="V33" s="26">
        <f>1 - CUSTOS!$M$28</f>
        <v>1</v>
      </c>
      <c r="W33" s="26"/>
      <c r="X33" s="26"/>
      <c r="Y33" s="26"/>
      <c r="Z33" s="26">
        <f>1 - CUSTOS!$M$28</f>
        <v>1</v>
      </c>
      <c r="AA33" s="26"/>
      <c r="AB33" s="26"/>
    </row>
    <row r="34" spans="1:28" ht="11.25" customHeight="1" x14ac:dyDescent="0.25">
      <c r="A34" s="120"/>
      <c r="B34" s="120"/>
      <c r="C34" s="120"/>
      <c r="D34" s="28" t="s">
        <v>89</v>
      </c>
      <c r="E34" s="28" t="s">
        <v>25</v>
      </c>
      <c r="F34" s="28" t="s">
        <v>25</v>
      </c>
      <c r="G34" s="29" t="s">
        <v>77</v>
      </c>
      <c r="H34" s="29" t="s">
        <v>73</v>
      </c>
      <c r="I34" s="29">
        <f>'MERCADO TE'!$U$31</f>
        <v>0</v>
      </c>
      <c r="J34" s="15"/>
      <c r="L34" s="26">
        <f>1 - CUSTOS!$M$29</f>
        <v>1</v>
      </c>
      <c r="M34" s="26">
        <f>1 - CUSTOS!$M$29</f>
        <v>1</v>
      </c>
      <c r="N34" s="26">
        <f>1 - CUSTOS!$M$29</f>
        <v>1</v>
      </c>
      <c r="O34" s="26">
        <f>1 - CUSTOS!$M$29</f>
        <v>1</v>
      </c>
      <c r="P34" s="26">
        <f>1 - CUSTOS!$M$29</f>
        <v>1</v>
      </c>
      <c r="Q34" s="26"/>
      <c r="R34" s="26">
        <f>(1 - CUSTOS!$M$29)*1</f>
        <v>1</v>
      </c>
      <c r="S34" s="26"/>
      <c r="T34" s="26">
        <f>1 - CUSTOS!$M$29</f>
        <v>1</v>
      </c>
      <c r="U34" s="26">
        <f>1 - CUSTOS!$M$29</f>
        <v>1</v>
      </c>
      <c r="V34" s="26">
        <f>1 - CUSTOS!$M$29</f>
        <v>1</v>
      </c>
      <c r="W34" s="26"/>
      <c r="X34" s="26"/>
      <c r="Y34" s="26"/>
      <c r="Z34" s="26">
        <f>1 - CUSTOS!$M$29</f>
        <v>1</v>
      </c>
      <c r="AA34" s="26"/>
      <c r="AB34" s="26"/>
    </row>
    <row r="35" spans="1:28" ht="11.25" customHeight="1" x14ac:dyDescent="0.25">
      <c r="A35" s="120"/>
      <c r="B35" s="120"/>
      <c r="C35" s="120"/>
      <c r="D35" s="28" t="s">
        <v>90</v>
      </c>
      <c r="E35" s="28" t="s">
        <v>25</v>
      </c>
      <c r="F35" s="28" t="s">
        <v>25</v>
      </c>
      <c r="G35" s="29" t="s">
        <v>77</v>
      </c>
      <c r="H35" s="29" t="s">
        <v>73</v>
      </c>
      <c r="I35" s="29">
        <f>'MERCADO TE'!$U$32</f>
        <v>0</v>
      </c>
      <c r="J35" s="15"/>
      <c r="L35" s="26">
        <f>1 - CUSTOS!$M$30</f>
        <v>1</v>
      </c>
      <c r="M35" s="26">
        <f>1 - CUSTOS!$M$30</f>
        <v>1</v>
      </c>
      <c r="N35" s="26">
        <f>1 - CUSTOS!$M$30</f>
        <v>1</v>
      </c>
      <c r="O35" s="26">
        <f>1 - CUSTOS!$M$30</f>
        <v>1</v>
      </c>
      <c r="P35" s="26">
        <f>1 - CUSTOS!$M$30</f>
        <v>1</v>
      </c>
      <c r="Q35" s="26"/>
      <c r="R35" s="26">
        <f>(1 - CUSTOS!$M$30)*1</f>
        <v>1</v>
      </c>
      <c r="S35" s="26"/>
      <c r="T35" s="26">
        <f>1 - CUSTOS!$M$30</f>
        <v>1</v>
      </c>
      <c r="U35" s="26">
        <f>1 - CUSTOS!$M$30</f>
        <v>1</v>
      </c>
      <c r="V35" s="26">
        <f>1 - CUSTOS!$M$30</f>
        <v>1</v>
      </c>
      <c r="W35" s="26"/>
      <c r="X35" s="26"/>
      <c r="Y35" s="26"/>
      <c r="Z35" s="26">
        <f>1 - CUSTOS!$M$30</f>
        <v>1</v>
      </c>
      <c r="AA35" s="26"/>
      <c r="AB35" s="26"/>
    </row>
    <row r="36" spans="1:28" ht="11.25" customHeight="1" x14ac:dyDescent="0.25">
      <c r="A36" s="120" t="s">
        <v>33</v>
      </c>
      <c r="B36" s="120" t="s">
        <v>72</v>
      </c>
      <c r="C36" s="120" t="s">
        <v>25</v>
      </c>
      <c r="D36" s="120" t="s">
        <v>25</v>
      </c>
      <c r="E36" s="120" t="s">
        <v>25</v>
      </c>
      <c r="F36" s="120" t="s">
        <v>25</v>
      </c>
      <c r="G36" s="29" t="s">
        <v>74</v>
      </c>
      <c r="H36" s="29" t="s">
        <v>73</v>
      </c>
      <c r="I36" s="29">
        <f>'MERCADO TE'!$U$33</f>
        <v>0</v>
      </c>
      <c r="J36" s="15"/>
      <c r="L36" s="26">
        <f>1 - CUSTOS!$M$31</f>
        <v>1</v>
      </c>
      <c r="M36" s="26">
        <f>1 - CUSTOS!$M$31</f>
        <v>1</v>
      </c>
      <c r="N36" s="26">
        <f>1 - CUSTOS!$M$31</f>
        <v>1</v>
      </c>
      <c r="O36" s="26">
        <f>1 - CUSTOS!$M$31</f>
        <v>1</v>
      </c>
      <c r="P36" s="26">
        <f>1 - CUSTOS!$M$31</f>
        <v>1</v>
      </c>
      <c r="Q36" s="26"/>
      <c r="R36" s="26">
        <f>(1 - CUSTOS!$M$31)*1</f>
        <v>1</v>
      </c>
      <c r="S36" s="26"/>
      <c r="T36" s="26">
        <f>1 - CUSTOS!$M$31</f>
        <v>1</v>
      </c>
      <c r="U36" s="26">
        <f>1 - CUSTOS!$M$31</f>
        <v>1</v>
      </c>
      <c r="V36" s="26">
        <f>1 - CUSTOS!$M$31</f>
        <v>1</v>
      </c>
      <c r="W36" s="26"/>
      <c r="X36" s="26"/>
      <c r="Y36" s="26"/>
      <c r="Z36" s="26">
        <f>1 - CUSTOS!$M$31</f>
        <v>1</v>
      </c>
      <c r="AA36" s="26"/>
      <c r="AB36" s="26"/>
    </row>
    <row r="37" spans="1:28" ht="11.25" customHeight="1" x14ac:dyDescent="0.25">
      <c r="A37" s="120"/>
      <c r="B37" s="120"/>
      <c r="C37" s="120"/>
      <c r="D37" s="120"/>
      <c r="E37" s="120"/>
      <c r="F37" s="120"/>
      <c r="G37" s="29" t="s">
        <v>85</v>
      </c>
      <c r="H37" s="29" t="s">
        <v>73</v>
      </c>
      <c r="I37" s="29">
        <f>'MERCADO TE'!$U$34</f>
        <v>0</v>
      </c>
      <c r="J37" s="15"/>
      <c r="L37" s="26">
        <f>1 - CUSTOS!$M$31</f>
        <v>1</v>
      </c>
      <c r="M37" s="26">
        <f>1 - CUSTOS!$M$31</f>
        <v>1</v>
      </c>
      <c r="N37" s="26">
        <f>1 - CUSTOS!$M$31</f>
        <v>1</v>
      </c>
      <c r="O37" s="26">
        <f>1 - CUSTOS!$M$31</f>
        <v>1</v>
      </c>
      <c r="P37" s="26">
        <f>1 - CUSTOS!$M$31</f>
        <v>1</v>
      </c>
      <c r="Q37" s="26"/>
      <c r="R37" s="26">
        <f>(1 - CUSTOS!$M$31)*1</f>
        <v>1</v>
      </c>
      <c r="S37" s="26"/>
      <c r="T37" s="26">
        <f>1 - CUSTOS!$M$31</f>
        <v>1</v>
      </c>
      <c r="U37" s="26">
        <f>1 - CUSTOS!$M$31</f>
        <v>1</v>
      </c>
      <c r="V37" s="26">
        <f>1 - CUSTOS!$M$31</f>
        <v>1</v>
      </c>
      <c r="W37" s="26"/>
      <c r="X37" s="26"/>
      <c r="Y37" s="26"/>
      <c r="Z37" s="26">
        <f>1 - CUSTOS!$M$31</f>
        <v>1</v>
      </c>
      <c r="AA37" s="26"/>
      <c r="AB37" s="26"/>
    </row>
    <row r="38" spans="1:28" ht="11.25" customHeight="1" x14ac:dyDescent="0.25">
      <c r="A38" s="120"/>
      <c r="B38" s="120"/>
      <c r="C38" s="120"/>
      <c r="D38" s="120"/>
      <c r="E38" s="120"/>
      <c r="F38" s="120"/>
      <c r="G38" s="29" t="s">
        <v>75</v>
      </c>
      <c r="H38" s="29" t="s">
        <v>73</v>
      </c>
      <c r="I38" s="29">
        <f>'MERCADO TE'!$U$35</f>
        <v>0</v>
      </c>
      <c r="J38" s="15"/>
      <c r="L38" s="26">
        <f>1 - CUSTOS!$M$31</f>
        <v>1</v>
      </c>
      <c r="M38" s="26">
        <f>1 - CUSTOS!$M$31</f>
        <v>1</v>
      </c>
      <c r="N38" s="26">
        <f>1 - CUSTOS!$M$31</f>
        <v>1</v>
      </c>
      <c r="O38" s="26">
        <f>1 - CUSTOS!$M$31</f>
        <v>1</v>
      </c>
      <c r="P38" s="26">
        <f>1 - CUSTOS!$M$31</f>
        <v>1</v>
      </c>
      <c r="Q38" s="26"/>
      <c r="R38" s="26">
        <f>(1 - CUSTOS!$M$31)*1</f>
        <v>1</v>
      </c>
      <c r="S38" s="26"/>
      <c r="T38" s="26">
        <f>1 - CUSTOS!$M$31</f>
        <v>1</v>
      </c>
      <c r="U38" s="26">
        <f>1 - CUSTOS!$M$31</f>
        <v>1</v>
      </c>
      <c r="V38" s="26">
        <f>1 - CUSTOS!$M$31</f>
        <v>1</v>
      </c>
      <c r="W38" s="26"/>
      <c r="X38" s="26"/>
      <c r="Y38" s="26"/>
      <c r="Z38" s="26">
        <f>1 - CUSTOS!$M$31</f>
        <v>1</v>
      </c>
      <c r="AA38" s="26"/>
      <c r="AB38" s="26"/>
    </row>
    <row r="39" spans="1:28" ht="11.25" customHeight="1" x14ac:dyDescent="0.25">
      <c r="A39" s="120"/>
      <c r="B39" s="28" t="s">
        <v>76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77</v>
      </c>
      <c r="H39" s="29" t="s">
        <v>73</v>
      </c>
      <c r="I39" s="29">
        <f>'MERCADO TE'!$U$36</f>
        <v>3162.4160000000002</v>
      </c>
      <c r="J39" s="15"/>
      <c r="L39" s="26">
        <f>1 - CUSTOS!$M$31</f>
        <v>1</v>
      </c>
      <c r="M39" s="26">
        <f>1 - CUSTOS!$M$31</f>
        <v>1</v>
      </c>
      <c r="N39" s="26">
        <f>1 - CUSTOS!$M$31</f>
        <v>1</v>
      </c>
      <c r="O39" s="26">
        <f>1 - CUSTOS!$M$31</f>
        <v>1</v>
      </c>
      <c r="P39" s="26">
        <f>1 - CUSTOS!$M$31</f>
        <v>1</v>
      </c>
      <c r="Q39" s="26"/>
      <c r="R39" s="26">
        <f>(1 - CUSTOS!$M$31)*1</f>
        <v>1</v>
      </c>
      <c r="S39" s="26"/>
      <c r="T39" s="26">
        <f>1 - CUSTOS!$M$31</f>
        <v>1</v>
      </c>
      <c r="U39" s="26">
        <f>1 - CUSTOS!$M$31</f>
        <v>1</v>
      </c>
      <c r="V39" s="26">
        <f>1 - CUSTOS!$M$31</f>
        <v>1</v>
      </c>
      <c r="W39" s="26"/>
      <c r="X39" s="26"/>
      <c r="Y39" s="26"/>
      <c r="Z39" s="26">
        <f>1 - CUSTOS!$M$31</f>
        <v>1</v>
      </c>
      <c r="AA39" s="26"/>
      <c r="AB39" s="26"/>
    </row>
    <row r="40" spans="1:28" ht="11.25" customHeight="1" x14ac:dyDescent="0.25">
      <c r="A40" s="120"/>
      <c r="B40" s="28" t="s">
        <v>87</v>
      </c>
      <c r="C40" s="28" t="s">
        <v>25</v>
      </c>
      <c r="D40" s="28" t="s">
        <v>25</v>
      </c>
      <c r="E40" s="28" t="s">
        <v>25</v>
      </c>
      <c r="F40" s="28" t="s">
        <v>25</v>
      </c>
      <c r="G40" s="29" t="s">
        <v>77</v>
      </c>
      <c r="H40" s="29" t="s">
        <v>73</v>
      </c>
      <c r="I40" s="29">
        <f>'MERCADO TE'!$U$37</f>
        <v>0</v>
      </c>
      <c r="J40" s="15"/>
      <c r="L40" s="26">
        <f>1 - CUSTOS!$M$31</f>
        <v>1</v>
      </c>
      <c r="M40" s="26">
        <f>1 - CUSTOS!$M$31</f>
        <v>1</v>
      </c>
      <c r="N40" s="26">
        <f>1 - CUSTOS!$M$31</f>
        <v>1</v>
      </c>
      <c r="O40" s="26">
        <f>1 - CUSTOS!$M$31</f>
        <v>1</v>
      </c>
      <c r="P40" s="26">
        <f>1 - CUSTOS!$M$31</f>
        <v>1</v>
      </c>
      <c r="Q40" s="26"/>
      <c r="R40" s="26">
        <f>(1 - CUSTOS!$M$31)*1</f>
        <v>1</v>
      </c>
      <c r="S40" s="26"/>
      <c r="T40" s="26">
        <f>1 - CUSTOS!$M$31</f>
        <v>1</v>
      </c>
      <c r="U40" s="26">
        <f>1 - CUSTOS!$M$31</f>
        <v>1</v>
      </c>
      <c r="V40" s="26">
        <f>1 - CUSTOS!$M$31</f>
        <v>1</v>
      </c>
      <c r="W40" s="26"/>
      <c r="X40" s="26"/>
      <c r="Y40" s="26"/>
      <c r="Z40" s="26">
        <f>1 - CUSTOS!$M$31</f>
        <v>1</v>
      </c>
      <c r="AA40" s="26"/>
      <c r="AB40" s="26"/>
    </row>
    <row r="41" spans="1:28" ht="11.25" customHeight="1" x14ac:dyDescent="0.25">
      <c r="A41" s="120" t="s">
        <v>44</v>
      </c>
      <c r="B41" s="120" t="s">
        <v>76</v>
      </c>
      <c r="C41" s="120" t="s">
        <v>45</v>
      </c>
      <c r="D41" s="28" t="s">
        <v>46</v>
      </c>
      <c r="E41" s="28" t="s">
        <v>25</v>
      </c>
      <c r="F41" s="28" t="s">
        <v>25</v>
      </c>
      <c r="G41" s="29" t="s">
        <v>77</v>
      </c>
      <c r="H41" s="29" t="s">
        <v>73</v>
      </c>
      <c r="I41" s="29">
        <f>'MERCADO TE'!$U$38</f>
        <v>905.86099999999999</v>
      </c>
      <c r="J41" s="15"/>
      <c r="L41" s="26">
        <f>1 - CUSTOS!$M$32</f>
        <v>0.55000000000000004</v>
      </c>
      <c r="M41" s="26">
        <f>1 - CUSTOS!$M$32</f>
        <v>0.55000000000000004</v>
      </c>
      <c r="N41" s="26">
        <f>1 - CUSTOS!$M$32</f>
        <v>0.55000000000000004</v>
      </c>
      <c r="O41" s="26">
        <f>1 - CUSTOS!$M$32</f>
        <v>0.55000000000000004</v>
      </c>
      <c r="P41" s="26">
        <f>1 - CUSTOS!$M$32</f>
        <v>0.55000000000000004</v>
      </c>
      <c r="Q41" s="26"/>
      <c r="R41" s="26">
        <f>(1 - CUSTOS!$M$32)*1</f>
        <v>0.55000000000000004</v>
      </c>
      <c r="S41" s="26"/>
      <c r="T41" s="26">
        <f>1 - CUSTOS!$M$32</f>
        <v>0.55000000000000004</v>
      </c>
      <c r="U41" s="26">
        <f>1 - CUSTOS!$M$32</f>
        <v>0.55000000000000004</v>
      </c>
      <c r="V41" s="26">
        <f>1 - CUSTOS!$M$32</f>
        <v>0.55000000000000004</v>
      </c>
      <c r="W41" s="26"/>
      <c r="X41" s="26"/>
      <c r="Y41" s="26"/>
      <c r="Z41" s="26">
        <f>1 - CUSTOS!$M$32</f>
        <v>0.55000000000000004</v>
      </c>
      <c r="AA41" s="26"/>
      <c r="AB41" s="26"/>
    </row>
    <row r="42" spans="1:28" ht="11.25" customHeight="1" x14ac:dyDescent="0.25">
      <c r="A42" s="120"/>
      <c r="B42" s="120"/>
      <c r="C42" s="120"/>
      <c r="D42" s="29" t="s">
        <v>91</v>
      </c>
      <c r="E42" s="29" t="s">
        <v>25</v>
      </c>
      <c r="F42" s="29" t="s">
        <v>25</v>
      </c>
      <c r="G42" s="29" t="s">
        <v>77</v>
      </c>
      <c r="H42" s="29" t="s">
        <v>73</v>
      </c>
      <c r="I42" s="29">
        <f>'MERCADO TE'!$U$39</f>
        <v>0</v>
      </c>
      <c r="J42" s="15"/>
      <c r="L42" s="26">
        <f>1 - CUSTOS!$M$33</f>
        <v>0.6</v>
      </c>
      <c r="M42" s="26">
        <f>1 - CUSTOS!$M$33</f>
        <v>0.6</v>
      </c>
      <c r="N42" s="26">
        <f>1 - CUSTOS!$M$33</f>
        <v>0.6</v>
      </c>
      <c r="O42" s="26">
        <f>1 - CUSTOS!$M$33</f>
        <v>0.6</v>
      </c>
      <c r="P42" s="26">
        <f>1 - CUSTOS!$M$33</f>
        <v>0.6</v>
      </c>
      <c r="Q42" s="26"/>
      <c r="R42" s="26">
        <f>(1 - CUSTOS!$M$33)*1</f>
        <v>0.6</v>
      </c>
      <c r="S42" s="26"/>
      <c r="T42" s="26">
        <f>1 - CUSTOS!$M$33</f>
        <v>0.6</v>
      </c>
      <c r="U42" s="26">
        <f>1 - CUSTOS!$M$33</f>
        <v>0.6</v>
      </c>
      <c r="V42" s="26">
        <f>1 - CUSTOS!$M$33</f>
        <v>0.6</v>
      </c>
      <c r="W42" s="26"/>
      <c r="X42" s="26"/>
      <c r="Y42" s="26"/>
      <c r="Z42" s="26">
        <f>1 - CUSTOS!$M$33</f>
        <v>0.6</v>
      </c>
      <c r="AA42" s="26"/>
      <c r="AB42" s="26"/>
    </row>
    <row r="44" spans="1:28" ht="11.25" customHeight="1" x14ac:dyDescent="0.25">
      <c r="K44" s="31" t="s">
        <v>510</v>
      </c>
      <c r="L44" s="26">
        <f t="shared" ref="L44:AB44" si="0">SUMPRODUCT($I$5:$I$42,L$5:L$42)</f>
        <v>71620.394549999983</v>
      </c>
      <c r="M44" s="26">
        <f t="shared" si="0"/>
        <v>71620.394549999983</v>
      </c>
      <c r="N44" s="26">
        <f t="shared" si="0"/>
        <v>71620.394549999983</v>
      </c>
      <c r="O44" s="26">
        <f t="shared" si="0"/>
        <v>71620.394549999983</v>
      </c>
      <c r="P44" s="26">
        <f t="shared" si="0"/>
        <v>71620.394549999983</v>
      </c>
      <c r="Q44" s="26">
        <f t="shared" si="0"/>
        <v>0</v>
      </c>
      <c r="R44" s="26">
        <f t="shared" si="0"/>
        <v>71620.394549999983</v>
      </c>
      <c r="S44" s="26">
        <f t="shared" si="0"/>
        <v>0</v>
      </c>
      <c r="T44" s="26">
        <f t="shared" si="0"/>
        <v>71620.394549999983</v>
      </c>
      <c r="U44" s="26">
        <f t="shared" si="0"/>
        <v>71620.394549999983</v>
      </c>
      <c r="V44" s="26">
        <f t="shared" si="0"/>
        <v>71620.394549999983</v>
      </c>
      <c r="W44" s="26">
        <f t="shared" si="0"/>
        <v>0</v>
      </c>
      <c r="X44" s="26">
        <f t="shared" si="0"/>
        <v>0</v>
      </c>
      <c r="Y44" s="26">
        <f t="shared" si="0"/>
        <v>0</v>
      </c>
      <c r="Z44" s="26">
        <f t="shared" si="0"/>
        <v>71620.394549999983</v>
      </c>
      <c r="AA44" s="26">
        <f t="shared" si="0"/>
        <v>0</v>
      </c>
      <c r="AB44" s="26">
        <f t="shared" si="0"/>
        <v>0</v>
      </c>
    </row>
    <row r="45" spans="1:28" ht="11.25" customHeight="1" x14ac:dyDescent="0.25">
      <c r="K45" s="31" t="s">
        <v>429</v>
      </c>
      <c r="L45" s="26">
        <f>CUSTOS!$D$30</f>
        <v>0</v>
      </c>
      <c r="M45" s="26">
        <f>CUSTOS!$D$31</f>
        <v>1761723.1356897787</v>
      </c>
      <c r="N45" s="26">
        <f>CUSTOS!$D$32</f>
        <v>0</v>
      </c>
      <c r="O45" s="26">
        <f>CUSTOS!$D$33</f>
        <v>0</v>
      </c>
      <c r="P45" s="26">
        <f>CUSTOS!$D$34</f>
        <v>-1060000</v>
      </c>
      <c r="Q45" s="26">
        <f>CUSTOS!$D$35</f>
        <v>701723.13568977872</v>
      </c>
      <c r="R45" s="26">
        <f>CUSTOS!$D$36</f>
        <v>11862097.911139071</v>
      </c>
      <c r="S45" s="26">
        <f>CUSTOS!$D$37</f>
        <v>11862097.911139071</v>
      </c>
      <c r="T45" s="26">
        <f>CUSTOS!$D$38</f>
        <v>0</v>
      </c>
      <c r="U45" s="26">
        <f>CUSTOS!$D$39</f>
        <v>0</v>
      </c>
      <c r="V45" s="26">
        <f>CUSTOS!$D$40</f>
        <v>0</v>
      </c>
      <c r="W45" s="26">
        <f>CUSTOS!$D$41</f>
        <v>0</v>
      </c>
      <c r="X45" s="26">
        <f>CUSTOS!$D$42</f>
        <v>0</v>
      </c>
      <c r="Y45" s="26">
        <f>CUSTOS!$D$43</f>
        <v>0</v>
      </c>
      <c r="Z45" s="26">
        <f>CUSTOS!$D$44</f>
        <v>416130.09490527812</v>
      </c>
      <c r="AA45" s="26">
        <f>CUSTOS!$D$45</f>
        <v>416130.09490527812</v>
      </c>
      <c r="AB45" s="26">
        <f>CUSTOS!$D$46</f>
        <v>12979951.141734127</v>
      </c>
    </row>
    <row r="46" spans="1:28" ht="11.25" customHeight="1" x14ac:dyDescent="0.25">
      <c r="K46" s="31" t="s">
        <v>430</v>
      </c>
      <c r="L46" s="26">
        <f>CUSTOS!$E$30</f>
        <v>0</v>
      </c>
      <c r="M46" s="26">
        <f>CUSTOS!$E$31</f>
        <v>103119.10171779385</v>
      </c>
      <c r="N46" s="26">
        <f>CUSTOS!$E$32</f>
        <v>0</v>
      </c>
      <c r="O46" s="26">
        <f>CUSTOS!$E$33</f>
        <v>0</v>
      </c>
      <c r="P46" s="26">
        <f>CUSTOS!$E$34</f>
        <v>0</v>
      </c>
      <c r="Q46" s="26">
        <f>CUSTOS!$E$35</f>
        <v>103119.10171779385</v>
      </c>
      <c r="R46" s="26">
        <f>CUSTOS!$E$36</f>
        <v>961530.9006738991</v>
      </c>
      <c r="S46" s="26">
        <f>CUSTOS!$E$37</f>
        <v>961530.9006738991</v>
      </c>
      <c r="T46" s="26">
        <f>CUSTOS!$E$38</f>
        <v>0</v>
      </c>
      <c r="U46" s="26">
        <f>CUSTOS!$E$39</f>
        <v>0</v>
      </c>
      <c r="V46" s="26">
        <f>CUSTOS!$E$40</f>
        <v>0</v>
      </c>
      <c r="W46" s="26">
        <f>CUSTOS!$E$41</f>
        <v>0</v>
      </c>
      <c r="X46" s="26">
        <f>CUSTOS!$E$42</f>
        <v>0</v>
      </c>
      <c r="Y46" s="26">
        <f>CUSTOS!$E$43</f>
        <v>0</v>
      </c>
      <c r="Z46" s="26">
        <f>CUSTOS!$E$44</f>
        <v>33731.128165453243</v>
      </c>
      <c r="AA46" s="26">
        <f>CUSTOS!$E$45</f>
        <v>33731.128165453243</v>
      </c>
      <c r="AB46" s="26">
        <f>CUSTOS!$E$46</f>
        <v>1098381.1305571462</v>
      </c>
    </row>
    <row r="47" spans="1:28" ht="11.25" customHeight="1" x14ac:dyDescent="0.25">
      <c r="K47" s="31" t="s">
        <v>431</v>
      </c>
      <c r="L47" s="26">
        <f>CUSTOS!$F$30</f>
        <v>0</v>
      </c>
      <c r="M47" s="26">
        <f>CUSTOS!$F$31</f>
        <v>0</v>
      </c>
      <c r="N47" s="26">
        <f>CUSTOS!$F$32</f>
        <v>0</v>
      </c>
      <c r="O47" s="26">
        <f>CUSTOS!$F$33</f>
        <v>0</v>
      </c>
      <c r="P47" s="26">
        <f>CUSTOS!$F$34</f>
        <v>0</v>
      </c>
      <c r="Q47" s="26">
        <f>CUSTOS!$F$35</f>
        <v>0</v>
      </c>
      <c r="R47" s="26">
        <f>CUSTOS!$F$36</f>
        <v>0</v>
      </c>
      <c r="S47" s="26">
        <f>CUSTOS!$F$37</f>
        <v>0</v>
      </c>
      <c r="T47" s="26">
        <f>CUSTOS!$F$38</f>
        <v>0</v>
      </c>
      <c r="U47" s="26">
        <f>CUSTOS!$F$39</f>
        <v>0</v>
      </c>
      <c r="V47" s="26">
        <f>CUSTOS!$F$40</f>
        <v>0</v>
      </c>
      <c r="W47" s="26">
        <f>CUSTOS!$F$41</f>
        <v>0</v>
      </c>
      <c r="X47" s="26">
        <f>CUSTOS!$F$42</f>
        <v>0</v>
      </c>
      <c r="Y47" s="26">
        <f>CUSTOS!$F$43</f>
        <v>0</v>
      </c>
      <c r="Z47" s="26">
        <f>CUSTOS!$F$44</f>
        <v>0</v>
      </c>
      <c r="AA47" s="26">
        <f>CUSTOS!$F$45</f>
        <v>0</v>
      </c>
      <c r="AB47" s="26">
        <f>CUSTOS!$F$46</f>
        <v>0</v>
      </c>
    </row>
    <row r="48" spans="1:28" ht="11.25" customHeight="1" x14ac:dyDescent="0.25">
      <c r="K48" s="31" t="s">
        <v>511</v>
      </c>
      <c r="L48" s="26">
        <f>IF(SUMPRODUCT($I$5:$I$42,$L$5:$L$42)&lt;&gt;0,L45/SUMPRODUCT($I$5:$I$42,$L$5:$L$42),0)</f>
        <v>0</v>
      </c>
      <c r="M48" s="26">
        <f>IF(SUMPRODUCT($I$5:$I$42,$M$5:$M$42)&lt;&gt;0,M45/SUMPRODUCT($I$5:$I$42,$M$5:$M$42),0)</f>
        <v>24.598065212554449</v>
      </c>
      <c r="N48" s="26">
        <f>IF(SUMPRODUCT($I$5:$I$42,$N$5:$N$42)&lt;&gt;0,N45/SUMPRODUCT($I$5:$I$42,$N$5:$N$42),0)</f>
        <v>0</v>
      </c>
      <c r="O48" s="26">
        <f>IF(SUMPRODUCT($I$5:$I$42,$O$5:$O$42)&lt;&gt;0,O45/SUMPRODUCT($I$5:$I$42,$O$5:$O$42),0)</f>
        <v>0</v>
      </c>
      <c r="P48" s="26">
        <f>IF(SUMPRODUCT($I$5:$I$42,$P$5:$P$42)&lt;&gt;0,P45/SUMPRODUCT($I$5:$I$42,$P$5:$P$42),0)</f>
        <v>-14.800253568276387</v>
      </c>
      <c r="Q48" s="26"/>
      <c r="R48" s="26">
        <f>IF((CUSTOS!$M$12-CUSTOS!$M$13)&lt;&gt;0,(CUSTOS!$M$12*CUSTOS!$M$14)/(CUSTOS!$M$12-CUSTOS!$M$13),0)</f>
        <v>167.39865220759651</v>
      </c>
      <c r="S48" s="26"/>
      <c r="T48" s="26">
        <f>IF(SUMPRODUCT($I$5:$I$42,$T$5:$T$42)&lt;&gt;0,T45/SUMPRODUCT($I$5:$I$42,$T$5:$T$42),0)</f>
        <v>0</v>
      </c>
      <c r="U48" s="26">
        <f>IF(SUMPRODUCT($I$5:$I$42,$U$5:$U$42)&lt;&gt;0,U45/SUMPRODUCT($I$5:$I$42,$U$5:$U$42),0)</f>
        <v>0</v>
      </c>
      <c r="V48" s="26">
        <f>IF(SUMPRODUCT($I$5:$I$42,$V$5:$V$42)&lt;&gt;0,V45/SUMPRODUCT($I$5:$I$42,$V$5:$V$42),0)</f>
        <v>0</v>
      </c>
      <c r="W48" s="26"/>
      <c r="X48" s="26">
        <f>IF(SUMPRODUCT($I$5:$I$42,$X$5:$X$42)&lt;&gt;0,X45/SUMPRODUCT($I$5:$I$42,$X$5:$X$42),0)</f>
        <v>0</v>
      </c>
      <c r="Y48" s="26"/>
      <c r="Z48" s="26">
        <f>IF(SUMPRODUCT($I$5:$I$42,$Z$5:$Z$42)&lt;&gt;0,Z45/SUMPRODUCT($I$5:$I$42,$Z$5:$Z$42),0)</f>
        <v>5.8102178509330518</v>
      </c>
      <c r="AA48" s="26"/>
      <c r="AB48" s="26"/>
    </row>
    <row r="49" spans="11:28" ht="11.25" customHeight="1" x14ac:dyDescent="0.25">
      <c r="K49" s="31" t="s">
        <v>512</v>
      </c>
      <c r="L49" s="26">
        <f>IF(L44&lt;&gt;0,(L45-L48*0)/(L44-0),0)</f>
        <v>0</v>
      </c>
      <c r="M49" s="26">
        <f>IF(M44&lt;&gt;0,(M45-M48*0)/(M44-0),0)</f>
        <v>24.598065212554449</v>
      </c>
      <c r="N49" s="26">
        <f>IF(N44&lt;&gt;0,(N45-N48*0)/(N44-0),0)</f>
        <v>0</v>
      </c>
      <c r="O49" s="26">
        <f>IF(O44&lt;&gt;0,(O45-O48*0)/(O44-0),0)</f>
        <v>0</v>
      </c>
      <c r="P49" s="26">
        <f>IF(P44&lt;&gt;0,(P45-P48*0)/(P44-0),0)</f>
        <v>-14.800253568276387</v>
      </c>
      <c r="Q49" s="26"/>
      <c r="R49" s="26">
        <f>IF(R44&lt;&gt;0,(R45-R48*0)/(R44-0),0)</f>
        <v>165.62458201564144</v>
      </c>
      <c r="S49" s="26"/>
      <c r="T49" s="26">
        <f>IF(T44&lt;&gt;0,(T45-T48*0)/(T44-0),0)</f>
        <v>0</v>
      </c>
      <c r="U49" s="26">
        <f>IF(U44&lt;&gt;0,(U45-U48*0)/(U44-0),0)</f>
        <v>0</v>
      </c>
      <c r="V49" s="26">
        <f>IF(V44&lt;&gt;0,(V45-V48*0)/(V44-0),0)</f>
        <v>0</v>
      </c>
      <c r="W49" s="26"/>
      <c r="X49" s="26">
        <f>IF(X44&lt;&gt;0,(X45-X48*0)/(X44-0),0)</f>
        <v>0</v>
      </c>
      <c r="Y49" s="26"/>
      <c r="Z49" s="26">
        <f>IF(Z44&lt;&gt;0,(Z45-Z48*0)/(Z44-0),0)</f>
        <v>5.8102178509330518</v>
      </c>
      <c r="AA49" s="26"/>
      <c r="AB49" s="26"/>
    </row>
    <row r="50" spans="11:28" ht="11.25" customHeight="1" x14ac:dyDescent="0.25">
      <c r="K50" s="31" t="s">
        <v>513</v>
      </c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</sheetData>
  <mergeCells count="61">
    <mergeCell ref="F5:F6"/>
    <mergeCell ref="A5:A7"/>
    <mergeCell ref="B5:B6"/>
    <mergeCell ref="C5:C6"/>
    <mergeCell ref="D5:D6"/>
    <mergeCell ref="E5:E6"/>
    <mergeCell ref="F8:F10"/>
    <mergeCell ref="B11:B15"/>
    <mergeCell ref="C11:C15"/>
    <mergeCell ref="B16:B20"/>
    <mergeCell ref="C16:C20"/>
    <mergeCell ref="A8:A20"/>
    <mergeCell ref="B8:B10"/>
    <mergeCell ref="C8:C10"/>
    <mergeCell ref="D8:D10"/>
    <mergeCell ref="E8:E10"/>
    <mergeCell ref="E29:E31"/>
    <mergeCell ref="F29:F31"/>
    <mergeCell ref="A21:A35"/>
    <mergeCell ref="B21:B23"/>
    <mergeCell ref="C21:C23"/>
    <mergeCell ref="D21:D23"/>
    <mergeCell ref="E21:E23"/>
    <mergeCell ref="F21:F23"/>
    <mergeCell ref="B25:B27"/>
    <mergeCell ref="C25:C27"/>
    <mergeCell ref="D25:D27"/>
    <mergeCell ref="E25:E27"/>
    <mergeCell ref="F1:F4"/>
    <mergeCell ref="E36:E38"/>
    <mergeCell ref="F36:F38"/>
    <mergeCell ref="A41:A42"/>
    <mergeCell ref="B41:B42"/>
    <mergeCell ref="C41:C42"/>
    <mergeCell ref="B33:B35"/>
    <mergeCell ref="C33:C35"/>
    <mergeCell ref="A36:A40"/>
    <mergeCell ref="B36:B38"/>
    <mergeCell ref="C36:C38"/>
    <mergeCell ref="D36:D38"/>
    <mergeCell ref="F25:F27"/>
    <mergeCell ref="B29:B31"/>
    <mergeCell ref="C29:C31"/>
    <mergeCell ref="D29:D31"/>
    <mergeCell ref="A1:A4"/>
    <mergeCell ref="B1:B4"/>
    <mergeCell ref="C1:C4"/>
    <mergeCell ref="D1:D4"/>
    <mergeCell ref="E1:E4"/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74D9-A4AF-4EE1-ACD8-BA6771992770}">
  <dimension ref="A1:AB50"/>
  <sheetViews>
    <sheetView showGridLines="0" topLeftCell="Q36" workbookViewId="0">
      <selection activeCell="AB44" sqref="AB44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7.85546875" style="9" bestFit="1" customWidth="1"/>
    <col min="13" max="13" width="10" style="9" bestFit="1" customWidth="1"/>
    <col min="14" max="14" width="7.85546875" style="9" bestFit="1" customWidth="1"/>
    <col min="15" max="15" width="11.140625" style="9" bestFit="1" customWidth="1"/>
    <col min="16" max="16" width="10.570312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19" t="s">
        <v>63</v>
      </c>
      <c r="B1" s="119" t="s">
        <v>64</v>
      </c>
      <c r="C1" s="119" t="s">
        <v>65</v>
      </c>
      <c r="D1" s="119" t="s">
        <v>66</v>
      </c>
      <c r="E1" s="119" t="s">
        <v>67</v>
      </c>
      <c r="F1" s="119" t="s">
        <v>15</v>
      </c>
      <c r="G1" s="119" t="s">
        <v>69</v>
      </c>
      <c r="H1" s="119" t="s">
        <v>70</v>
      </c>
      <c r="I1" s="119" t="s">
        <v>488</v>
      </c>
      <c r="J1" s="98"/>
      <c r="L1" s="117" t="s">
        <v>514</v>
      </c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</row>
    <row r="2" spans="1:28" ht="11.25" customHeight="1" x14ac:dyDescent="0.25">
      <c r="A2" s="119"/>
      <c r="B2" s="119"/>
      <c r="C2" s="119"/>
      <c r="D2" s="119"/>
      <c r="E2" s="119"/>
      <c r="F2" s="119"/>
      <c r="G2" s="119"/>
      <c r="H2" s="119"/>
      <c r="I2" s="119"/>
      <c r="J2" s="98"/>
      <c r="L2" s="117" t="s">
        <v>415</v>
      </c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</row>
    <row r="3" spans="1:28" ht="11.25" customHeight="1" x14ac:dyDescent="0.25">
      <c r="A3" s="119"/>
      <c r="B3" s="119"/>
      <c r="C3" s="119"/>
      <c r="D3" s="119"/>
      <c r="E3" s="119"/>
      <c r="F3" s="119"/>
      <c r="G3" s="119"/>
      <c r="H3" s="119"/>
      <c r="I3" s="119"/>
      <c r="J3" s="98"/>
      <c r="L3" s="117" t="s">
        <v>388</v>
      </c>
      <c r="M3" s="117"/>
      <c r="N3" s="117"/>
      <c r="O3" s="117"/>
      <c r="P3" s="117"/>
      <c r="Q3" s="117"/>
      <c r="R3" s="117" t="s">
        <v>419</v>
      </c>
      <c r="S3" s="117"/>
      <c r="T3" s="117" t="s">
        <v>397</v>
      </c>
      <c r="U3" s="117"/>
      <c r="V3" s="117"/>
      <c r="W3" s="117"/>
      <c r="X3" s="117" t="s">
        <v>407</v>
      </c>
      <c r="Y3" s="117"/>
      <c r="Z3" s="117" t="s">
        <v>410</v>
      </c>
      <c r="AA3" s="117"/>
      <c r="AB3" s="117" t="s">
        <v>396</v>
      </c>
    </row>
    <row r="4" spans="1:28" ht="11.25" customHeight="1" x14ac:dyDescent="0.25">
      <c r="A4" s="119"/>
      <c r="B4" s="119"/>
      <c r="C4" s="119"/>
      <c r="D4" s="119"/>
      <c r="E4" s="119"/>
      <c r="F4" s="119"/>
      <c r="G4" s="119"/>
      <c r="H4" s="119"/>
      <c r="I4" s="119"/>
      <c r="J4" s="98"/>
      <c r="L4" s="30" t="s">
        <v>390</v>
      </c>
      <c r="M4" s="30" t="s">
        <v>416</v>
      </c>
      <c r="N4" s="30" t="s">
        <v>417</v>
      </c>
      <c r="O4" s="30" t="s">
        <v>476</v>
      </c>
      <c r="P4" s="30" t="s">
        <v>418</v>
      </c>
      <c r="Q4" s="30" t="s">
        <v>396</v>
      </c>
      <c r="R4" s="30" t="s">
        <v>420</v>
      </c>
      <c r="S4" s="30" t="s">
        <v>396</v>
      </c>
      <c r="T4" s="30" t="s">
        <v>421</v>
      </c>
      <c r="U4" s="30" t="s">
        <v>422</v>
      </c>
      <c r="V4" s="30" t="s">
        <v>423</v>
      </c>
      <c r="W4" s="30" t="s">
        <v>396</v>
      </c>
      <c r="X4" s="30" t="s">
        <v>408</v>
      </c>
      <c r="Y4" s="30" t="s">
        <v>396</v>
      </c>
      <c r="Z4" s="30" t="s">
        <v>424</v>
      </c>
      <c r="AA4" s="30" t="s">
        <v>396</v>
      </c>
      <c r="AB4" s="118"/>
    </row>
    <row r="5" spans="1:28" ht="11.25" customHeight="1" x14ac:dyDescent="0.25">
      <c r="A5" s="120" t="s">
        <v>35</v>
      </c>
      <c r="B5" s="120" t="s">
        <v>72</v>
      </c>
      <c r="C5" s="120" t="s">
        <v>25</v>
      </c>
      <c r="D5" s="120" t="s">
        <v>25</v>
      </c>
      <c r="E5" s="120" t="s">
        <v>25</v>
      </c>
      <c r="F5" s="120" t="s">
        <v>25</v>
      </c>
      <c r="G5" s="29" t="s">
        <v>74</v>
      </c>
      <c r="H5" s="29" t="s">
        <v>73</v>
      </c>
      <c r="I5" s="29">
        <f>'MERCADO TE'!$U$2</f>
        <v>3179.3539999999994</v>
      </c>
      <c r="J5" s="15"/>
      <c r="L5" s="26">
        <f>'TR TE'!$L$5*'TR TE'!$L$49</f>
        <v>0</v>
      </c>
      <c r="M5" s="26">
        <f>'TR TE'!$M$5*'TR TE'!$M$49</f>
        <v>24.598065212554449</v>
      </c>
      <c r="N5" s="26">
        <f>'TR TE'!$N$5*'TR TE'!$N$49</f>
        <v>0</v>
      </c>
      <c r="O5" s="26">
        <f>'TR TE'!$O$5*'TR TE'!$O$49</f>
        <v>0</v>
      </c>
      <c r="P5" s="26">
        <f>'TR TE'!$P$5*'TR TE'!$P$49</f>
        <v>-14.800253568276387</v>
      </c>
      <c r="Q5" s="26">
        <f>SUM($L$5:$P$5)</f>
        <v>9.7978116442780614</v>
      </c>
      <c r="R5" s="26">
        <f>'TR TE'!$R$5*'TR TE'!$R$49</f>
        <v>165.62458201564144</v>
      </c>
      <c r="S5" s="26">
        <f>SUM($R$5:$R$5)</f>
        <v>165.62458201564144</v>
      </c>
      <c r="T5" s="26">
        <f>'TR TE'!$T$5*'TR TE'!$T$49</f>
        <v>0</v>
      </c>
      <c r="U5" s="26">
        <f>'TR TE'!$U$5*'TR TE'!$U$49</f>
        <v>0</v>
      </c>
      <c r="V5" s="26">
        <f>'TR TE'!$V$5*'TR TE'!$V$49</f>
        <v>0</v>
      </c>
      <c r="W5" s="26">
        <f>SUM($T$5:$V$5)</f>
        <v>0</v>
      </c>
      <c r="X5" s="26"/>
      <c r="Y5" s="26">
        <f>SUM($X$5:$X$5)</f>
        <v>0</v>
      </c>
      <c r="Z5" s="26">
        <f>'TR TE'!$Z$5*'TR TE'!$Z$49</f>
        <v>5.8102178509330518</v>
      </c>
      <c r="AA5" s="26">
        <f>SUM($Z$5:$Z$5)</f>
        <v>5.8102178509330518</v>
      </c>
      <c r="AB5" s="26">
        <f>SUMIF($L$4:$AA$4,"SUBTOTAL",$L$5:$AA$5)</f>
        <v>181.23261151085254</v>
      </c>
    </row>
    <row r="6" spans="1:28" ht="11.25" customHeight="1" x14ac:dyDescent="0.25">
      <c r="A6" s="120"/>
      <c r="B6" s="120"/>
      <c r="C6" s="120"/>
      <c r="D6" s="120"/>
      <c r="E6" s="120"/>
      <c r="F6" s="120"/>
      <c r="G6" s="29" t="s">
        <v>75</v>
      </c>
      <c r="H6" s="29" t="s">
        <v>73</v>
      </c>
      <c r="I6" s="29">
        <f>'MERCADO TE'!$U$3</f>
        <v>38515.306999999993</v>
      </c>
      <c r="J6" s="15"/>
      <c r="L6" s="26">
        <f>'TR TE'!$L$6*'TR TE'!$L$49</f>
        <v>0</v>
      </c>
      <c r="M6" s="26">
        <f>'TR TE'!$M$6*'TR TE'!$M$49</f>
        <v>24.598065212554449</v>
      </c>
      <c r="N6" s="26">
        <f>'TR TE'!$N$6*'TR TE'!$N$49</f>
        <v>0</v>
      </c>
      <c r="O6" s="26">
        <f>'TR TE'!$O$6*'TR TE'!$O$49</f>
        <v>0</v>
      </c>
      <c r="P6" s="26">
        <f>'TR TE'!$P$6*'TR TE'!$P$49</f>
        <v>-14.800253568276387</v>
      </c>
      <c r="Q6" s="26">
        <f>SUM($L$6:$P$6)</f>
        <v>9.7978116442780614</v>
      </c>
      <c r="R6" s="26">
        <f>'TR TE'!$R$6*'TR TE'!$R$49</f>
        <v>165.62458201564144</v>
      </c>
      <c r="S6" s="26">
        <f>SUM($R$6:$R$6)</f>
        <v>165.62458201564144</v>
      </c>
      <c r="T6" s="26">
        <f>'TR TE'!$T$6*'TR TE'!$T$49</f>
        <v>0</v>
      </c>
      <c r="U6" s="26">
        <f>'TR TE'!$U$6*'TR TE'!$U$49</f>
        <v>0</v>
      </c>
      <c r="V6" s="26">
        <f>'TR TE'!$V$6*'TR TE'!$V$49</f>
        <v>0</v>
      </c>
      <c r="W6" s="26">
        <f>SUM($T$6:$V$6)</f>
        <v>0</v>
      </c>
      <c r="X6" s="26"/>
      <c r="Y6" s="26">
        <f>SUM($X$6:$X$6)</f>
        <v>0</v>
      </c>
      <c r="Z6" s="26">
        <f>'TR TE'!$Z$6*'TR TE'!$Z$49</f>
        <v>5.8102178509330518</v>
      </c>
      <c r="AA6" s="26">
        <f>SUM($Z$6:$Z$6)</f>
        <v>5.8102178509330518</v>
      </c>
      <c r="AB6" s="26">
        <f>SUMIF($L$4:$AA$4,"SUBTOTAL",$L$6:$AA$6)</f>
        <v>181.23261151085254</v>
      </c>
    </row>
    <row r="7" spans="1:28" ht="11.25" customHeight="1" x14ac:dyDescent="0.25">
      <c r="A7" s="120"/>
      <c r="B7" s="28" t="s">
        <v>76</v>
      </c>
      <c r="C7" s="28" t="s">
        <v>25</v>
      </c>
      <c r="D7" s="28" t="s">
        <v>25</v>
      </c>
      <c r="E7" s="28" t="s">
        <v>25</v>
      </c>
      <c r="F7" s="28" t="s">
        <v>25</v>
      </c>
      <c r="G7" s="29" t="s">
        <v>77</v>
      </c>
      <c r="H7" s="29" t="s">
        <v>73</v>
      </c>
      <c r="I7" s="29">
        <f>'MERCADO TE'!$U$4</f>
        <v>0</v>
      </c>
      <c r="J7" s="15"/>
      <c r="L7" s="26">
        <f>'TR TE'!$L$7*'TR TE'!$L$49</f>
        <v>0</v>
      </c>
      <c r="M7" s="26">
        <f>'TR TE'!$M$7*'TR TE'!$M$49</f>
        <v>24.598065212554449</v>
      </c>
      <c r="N7" s="26">
        <f>'TR TE'!$N$7*'TR TE'!$N$49</f>
        <v>0</v>
      </c>
      <c r="O7" s="26">
        <f>'TR TE'!$O$7*'TR TE'!$O$49</f>
        <v>0</v>
      </c>
      <c r="P7" s="26">
        <f>'TR TE'!$P$7*'TR TE'!$P$49</f>
        <v>-14.800253568276387</v>
      </c>
      <c r="Q7" s="26">
        <f>SUM($L$7:$P$7)</f>
        <v>9.7978116442780614</v>
      </c>
      <c r="R7" s="26">
        <f>'TR TE'!$R$7*'TR TE'!$R$49</f>
        <v>165.62458201564144</v>
      </c>
      <c r="S7" s="26">
        <f>SUM($R$7:$R$7)</f>
        <v>165.62458201564144</v>
      </c>
      <c r="T7" s="26">
        <f>'TR TE'!$T$7*'TR TE'!$T$49</f>
        <v>0</v>
      </c>
      <c r="U7" s="26">
        <f>'TR TE'!$U$7*'TR TE'!$U$49</f>
        <v>0</v>
      </c>
      <c r="V7" s="26">
        <f>'TR TE'!$V$7*'TR TE'!$V$49</f>
        <v>0</v>
      </c>
      <c r="W7" s="26">
        <f>SUM($T$7:$V$7)</f>
        <v>0</v>
      </c>
      <c r="X7" s="26"/>
      <c r="Y7" s="26">
        <f>SUM($X$7:$X$7)</f>
        <v>0</v>
      </c>
      <c r="Z7" s="26">
        <f>'TR TE'!$Z$7*'TR TE'!$Z$49</f>
        <v>5.8102178509330518</v>
      </c>
      <c r="AA7" s="26">
        <f>SUM($Z$7:$Z$7)</f>
        <v>5.8102178509330518</v>
      </c>
      <c r="AB7" s="26">
        <f>SUMIF($L$4:$AA$4,"SUBTOTAL",$L$7:$AA$7)</f>
        <v>181.23261151085254</v>
      </c>
    </row>
    <row r="8" spans="1:28" ht="11.25" customHeight="1" x14ac:dyDescent="0.25">
      <c r="A8" s="120" t="s">
        <v>22</v>
      </c>
      <c r="B8" s="120" t="s">
        <v>72</v>
      </c>
      <c r="C8" s="120" t="s">
        <v>24</v>
      </c>
      <c r="D8" s="120" t="s">
        <v>24</v>
      </c>
      <c r="E8" s="120" t="s">
        <v>25</v>
      </c>
      <c r="F8" s="120" t="s">
        <v>25</v>
      </c>
      <c r="G8" s="29" t="s">
        <v>74</v>
      </c>
      <c r="H8" s="29" t="s">
        <v>73</v>
      </c>
      <c r="I8" s="29">
        <f>'MERCADO TE'!$U$5</f>
        <v>0</v>
      </c>
      <c r="J8" s="15"/>
      <c r="L8" s="26">
        <f>'TR TE'!$L$8*'TR TE'!$L$49</f>
        <v>0</v>
      </c>
      <c r="M8" s="26">
        <f>'TR TE'!$M$8*'TR TE'!$M$49</f>
        <v>24.598065212554449</v>
      </c>
      <c r="N8" s="26">
        <f>'TR TE'!$N$8*'TR TE'!$N$49</f>
        <v>0</v>
      </c>
      <c r="O8" s="26">
        <f>'TR TE'!$O$8*'TR TE'!$O$49</f>
        <v>0</v>
      </c>
      <c r="P8" s="26">
        <f>'TR TE'!$P$8*'TR TE'!$P$49</f>
        <v>-14.800253568276387</v>
      </c>
      <c r="Q8" s="26">
        <f>SUM($L$8:$P$8)</f>
        <v>9.7978116442780614</v>
      </c>
      <c r="R8" s="26">
        <f>'TR TE'!$R$8*'TR TE'!$R$49</f>
        <v>165.62458201564144</v>
      </c>
      <c r="S8" s="26">
        <f>SUM($R$8:$R$8)</f>
        <v>165.62458201564144</v>
      </c>
      <c r="T8" s="26">
        <f>'TR TE'!$T$8*'TR TE'!$T$49</f>
        <v>0</v>
      </c>
      <c r="U8" s="26">
        <f>'TR TE'!$U$8*'TR TE'!$U$49</f>
        <v>0</v>
      </c>
      <c r="V8" s="26">
        <f>'TR TE'!$V$8*'TR TE'!$V$49</f>
        <v>0</v>
      </c>
      <c r="W8" s="26">
        <f>SUM($T$8:$V$8)</f>
        <v>0</v>
      </c>
      <c r="X8" s="26"/>
      <c r="Y8" s="26">
        <f>SUM($X$8:$X$8)</f>
        <v>0</v>
      </c>
      <c r="Z8" s="26">
        <f>'TR TE'!$Z$8*'TR TE'!$Z$49</f>
        <v>5.8102178509330518</v>
      </c>
      <c r="AA8" s="26">
        <f>SUM($Z$8:$Z$8)</f>
        <v>5.8102178509330518</v>
      </c>
      <c r="AB8" s="26">
        <f>SUMIF($L$4:$AA$4,"SUBTOTAL",$L$8:$AA$8)</f>
        <v>181.23261151085254</v>
      </c>
    </row>
    <row r="9" spans="1:28" ht="11.25" customHeight="1" x14ac:dyDescent="0.25">
      <c r="A9" s="120"/>
      <c r="B9" s="120"/>
      <c r="C9" s="120"/>
      <c r="D9" s="120"/>
      <c r="E9" s="120"/>
      <c r="F9" s="120"/>
      <c r="G9" s="29" t="s">
        <v>85</v>
      </c>
      <c r="H9" s="29" t="s">
        <v>73</v>
      </c>
      <c r="I9" s="29">
        <f>'MERCADO TE'!$U$6</f>
        <v>0</v>
      </c>
      <c r="J9" s="15"/>
      <c r="L9" s="26">
        <f>'TR TE'!$L$9*'TR TE'!$L$49</f>
        <v>0</v>
      </c>
      <c r="M9" s="26">
        <f>'TR TE'!$M$9*'TR TE'!$M$49</f>
        <v>24.598065212554449</v>
      </c>
      <c r="N9" s="26">
        <f>'TR TE'!$N$9*'TR TE'!$N$49</f>
        <v>0</v>
      </c>
      <c r="O9" s="26">
        <f>'TR TE'!$O$9*'TR TE'!$O$49</f>
        <v>0</v>
      </c>
      <c r="P9" s="26">
        <f>'TR TE'!$P$9*'TR TE'!$P$49</f>
        <v>-14.800253568276387</v>
      </c>
      <c r="Q9" s="26">
        <f>SUM($L$9:$P$9)</f>
        <v>9.7978116442780614</v>
      </c>
      <c r="R9" s="26">
        <f>'TR TE'!$R$9*'TR TE'!$R$49</f>
        <v>165.62458201564144</v>
      </c>
      <c r="S9" s="26">
        <f>SUM($R$9:$R$9)</f>
        <v>165.62458201564144</v>
      </c>
      <c r="T9" s="26">
        <f>'TR TE'!$T$9*'TR TE'!$T$49</f>
        <v>0</v>
      </c>
      <c r="U9" s="26">
        <f>'TR TE'!$U$9*'TR TE'!$U$49</f>
        <v>0</v>
      </c>
      <c r="V9" s="26">
        <f>'TR TE'!$V$9*'TR TE'!$V$49</f>
        <v>0</v>
      </c>
      <c r="W9" s="26">
        <f>SUM($T$9:$V$9)</f>
        <v>0</v>
      </c>
      <c r="X9" s="26"/>
      <c r="Y9" s="26">
        <f>SUM($X$9:$X$9)</f>
        <v>0</v>
      </c>
      <c r="Z9" s="26">
        <f>'TR TE'!$Z$9*'TR TE'!$Z$49</f>
        <v>5.8102178509330518</v>
      </c>
      <c r="AA9" s="26">
        <f>SUM($Z$9:$Z$9)</f>
        <v>5.8102178509330518</v>
      </c>
      <c r="AB9" s="26">
        <f>SUMIF($L$4:$AA$4,"SUBTOTAL",$L$9:$AA$9)</f>
        <v>181.23261151085254</v>
      </c>
    </row>
    <row r="10" spans="1:28" ht="11.25" customHeight="1" x14ac:dyDescent="0.25">
      <c r="A10" s="120"/>
      <c r="B10" s="120"/>
      <c r="C10" s="120"/>
      <c r="D10" s="120"/>
      <c r="E10" s="120"/>
      <c r="F10" s="120"/>
      <c r="G10" s="29" t="s">
        <v>75</v>
      </c>
      <c r="H10" s="29" t="s">
        <v>73</v>
      </c>
      <c r="I10" s="29">
        <f>'MERCADO TE'!$U$7</f>
        <v>0</v>
      </c>
      <c r="J10" s="15"/>
      <c r="L10" s="26">
        <f>'TR TE'!$L$10*'TR TE'!$L$49</f>
        <v>0</v>
      </c>
      <c r="M10" s="26">
        <f>'TR TE'!$M$10*'TR TE'!$M$49</f>
        <v>24.598065212554449</v>
      </c>
      <c r="N10" s="26">
        <f>'TR TE'!$N$10*'TR TE'!$N$49</f>
        <v>0</v>
      </c>
      <c r="O10" s="26">
        <f>'TR TE'!$O$10*'TR TE'!$O$49</f>
        <v>0</v>
      </c>
      <c r="P10" s="26">
        <f>'TR TE'!$P$10*'TR TE'!$P$49</f>
        <v>-14.800253568276387</v>
      </c>
      <c r="Q10" s="26">
        <f>SUM($L$10:$P$10)</f>
        <v>9.7978116442780614</v>
      </c>
      <c r="R10" s="26">
        <f>'TR TE'!$R$10*'TR TE'!$R$49</f>
        <v>165.62458201564144</v>
      </c>
      <c r="S10" s="26">
        <f>SUM($R$10:$R$10)</f>
        <v>165.62458201564144</v>
      </c>
      <c r="T10" s="26">
        <f>'TR TE'!$T$10*'TR TE'!$T$49</f>
        <v>0</v>
      </c>
      <c r="U10" s="26">
        <f>'TR TE'!$U$10*'TR TE'!$U$49</f>
        <v>0</v>
      </c>
      <c r="V10" s="26">
        <f>'TR TE'!$V$10*'TR TE'!$V$49</f>
        <v>0</v>
      </c>
      <c r="W10" s="26">
        <f>SUM($T$10:$V$10)</f>
        <v>0</v>
      </c>
      <c r="X10" s="26"/>
      <c r="Y10" s="26">
        <f>SUM($X$10:$X$10)</f>
        <v>0</v>
      </c>
      <c r="Z10" s="26">
        <f>'TR TE'!$Z$10*'TR TE'!$Z$49</f>
        <v>5.8102178509330518</v>
      </c>
      <c r="AA10" s="26">
        <f>SUM($Z$10:$Z$10)</f>
        <v>5.8102178509330518</v>
      </c>
      <c r="AB10" s="26">
        <f>SUMIF($L$4:$AA$4,"SUBTOTAL",$L$10:$AA$10)</f>
        <v>181.23261151085254</v>
      </c>
    </row>
    <row r="11" spans="1:28" ht="11.25" customHeight="1" x14ac:dyDescent="0.25">
      <c r="A11" s="120"/>
      <c r="B11" s="120" t="s">
        <v>76</v>
      </c>
      <c r="C11" s="120" t="s">
        <v>24</v>
      </c>
      <c r="D11" s="28" t="s">
        <v>24</v>
      </c>
      <c r="E11" s="28" t="s">
        <v>25</v>
      </c>
      <c r="F11" s="28" t="s">
        <v>25</v>
      </c>
      <c r="G11" s="29" t="s">
        <v>77</v>
      </c>
      <c r="H11" s="29" t="s">
        <v>73</v>
      </c>
      <c r="I11" s="29">
        <f>'MERCADO TE'!$U$8</f>
        <v>4803.848</v>
      </c>
      <c r="J11" s="15"/>
      <c r="L11" s="26">
        <f>'TR TE'!$L$11*'TR TE'!$L$49</f>
        <v>0</v>
      </c>
      <c r="M11" s="26">
        <f>'TR TE'!$M$11*'TR TE'!$M$49</f>
        <v>24.598065212554449</v>
      </c>
      <c r="N11" s="26">
        <f>'TR TE'!$N$11*'TR TE'!$N$49</f>
        <v>0</v>
      </c>
      <c r="O11" s="26">
        <f>'TR TE'!$O$11*'TR TE'!$O$49</f>
        <v>0</v>
      </c>
      <c r="P11" s="26">
        <f>'TR TE'!$P$11*'TR TE'!$P$49</f>
        <v>-14.800253568276387</v>
      </c>
      <c r="Q11" s="26">
        <f>SUM($L$11:$P$11)</f>
        <v>9.7978116442780614</v>
      </c>
      <c r="R11" s="26">
        <f>'TR TE'!$R$11*'TR TE'!$R$49</f>
        <v>165.62458201564144</v>
      </c>
      <c r="S11" s="26">
        <f>SUM($R$11:$R$11)</f>
        <v>165.62458201564144</v>
      </c>
      <c r="T11" s="26">
        <f>'TR TE'!$T$11*'TR TE'!$T$49</f>
        <v>0</v>
      </c>
      <c r="U11" s="26">
        <f>'TR TE'!$U$11*'TR TE'!$U$49</f>
        <v>0</v>
      </c>
      <c r="V11" s="26">
        <f>'TR TE'!$V$11*'TR TE'!$V$49</f>
        <v>0</v>
      </c>
      <c r="W11" s="26">
        <f>SUM($T$11:$V$11)</f>
        <v>0</v>
      </c>
      <c r="X11" s="26"/>
      <c r="Y11" s="26">
        <f>SUM($X$11:$X$11)</f>
        <v>0</v>
      </c>
      <c r="Z11" s="26">
        <f>'TR TE'!$Z$11*'TR TE'!$Z$49</f>
        <v>5.8102178509330518</v>
      </c>
      <c r="AA11" s="26">
        <f>SUM($Z$11:$Z$11)</f>
        <v>5.8102178509330518</v>
      </c>
      <c r="AB11" s="26">
        <f>SUMIF($L$4:$AA$4,"SUBTOTAL",$L$11:$AA$11)</f>
        <v>181.23261151085254</v>
      </c>
    </row>
    <row r="12" spans="1:28" ht="11.25" customHeight="1" x14ac:dyDescent="0.25">
      <c r="A12" s="120"/>
      <c r="B12" s="120"/>
      <c r="C12" s="120"/>
      <c r="D12" s="28" t="s">
        <v>29</v>
      </c>
      <c r="E12" s="28" t="s">
        <v>25</v>
      </c>
      <c r="F12" s="28" t="s">
        <v>25</v>
      </c>
      <c r="G12" s="29" t="s">
        <v>77</v>
      </c>
      <c r="H12" s="29" t="s">
        <v>73</v>
      </c>
      <c r="I12" s="29">
        <f>'MERCADO TE'!$U$9</f>
        <v>28.29</v>
      </c>
      <c r="J12" s="15"/>
      <c r="L12" s="26">
        <f>'TR TE'!$L$12*'TR TE'!$L$49</f>
        <v>0</v>
      </c>
      <c r="M12" s="26">
        <f>'TR TE'!$M$12*'TR TE'!$M$49</f>
        <v>24.598065212554449</v>
      </c>
      <c r="N12" s="26">
        <f>'TR TE'!$N$12*'TR TE'!$N$49</f>
        <v>0</v>
      </c>
      <c r="O12" s="26">
        <f>'TR TE'!$O$12*'TR TE'!$O$49</f>
        <v>0</v>
      </c>
      <c r="P12" s="26">
        <f>'TR TE'!$P$12*'TR TE'!$P$49</f>
        <v>-14.800253568276387</v>
      </c>
      <c r="Q12" s="26">
        <f>SUM($L$12:$P$12)</f>
        <v>9.7978116442780614</v>
      </c>
      <c r="R12" s="26">
        <f>'TR TE'!$R$12*'TR TE'!$R$49</f>
        <v>165.62458201564144</v>
      </c>
      <c r="S12" s="26">
        <f>SUM($R$12:$R$12)</f>
        <v>165.62458201564144</v>
      </c>
      <c r="T12" s="26">
        <f>'TR TE'!$T$12*'TR TE'!$T$49</f>
        <v>0</v>
      </c>
      <c r="U12" s="26">
        <f>'TR TE'!$U$12*'TR TE'!$U$49</f>
        <v>0</v>
      </c>
      <c r="V12" s="26">
        <f>'TR TE'!$V$12*'TR TE'!$V$49</f>
        <v>0</v>
      </c>
      <c r="W12" s="26">
        <f>SUM($T$12:$V$12)</f>
        <v>0</v>
      </c>
      <c r="X12" s="26"/>
      <c r="Y12" s="26">
        <f>SUM($X$12:$X$12)</f>
        <v>0</v>
      </c>
      <c r="Z12" s="26">
        <f>'TR TE'!$Z$12*'TR TE'!$Z$49</f>
        <v>5.8102178509330518</v>
      </c>
      <c r="AA12" s="26">
        <f>SUM($Z$12:$Z$12)</f>
        <v>5.8102178509330518</v>
      </c>
      <c r="AB12" s="26">
        <f>SUMIF($L$4:$AA$4,"SUBTOTAL",$L$12:$AA$12)</f>
        <v>181.23261151085254</v>
      </c>
    </row>
    <row r="13" spans="1:28" ht="11.25" customHeight="1" x14ac:dyDescent="0.25">
      <c r="A13" s="120"/>
      <c r="B13" s="120"/>
      <c r="C13" s="120"/>
      <c r="D13" s="28" t="s">
        <v>30</v>
      </c>
      <c r="E13" s="28" t="s">
        <v>25</v>
      </c>
      <c r="F13" s="28" t="s">
        <v>25</v>
      </c>
      <c r="G13" s="29" t="s">
        <v>77</v>
      </c>
      <c r="H13" s="29" t="s">
        <v>73</v>
      </c>
      <c r="I13" s="29">
        <f>'MERCADO TE'!$U$10</f>
        <v>50.516000000000005</v>
      </c>
      <c r="J13" s="15"/>
      <c r="L13" s="26">
        <f>'TR TE'!$L$13*'TR TE'!$L$49</f>
        <v>0</v>
      </c>
      <c r="M13" s="26">
        <f>'TR TE'!$M$13*'TR TE'!$M$49</f>
        <v>24.598065212554449</v>
      </c>
      <c r="N13" s="26">
        <f>'TR TE'!$N$13*'TR TE'!$N$49</f>
        <v>0</v>
      </c>
      <c r="O13" s="26">
        <f>'TR TE'!$O$13*'TR TE'!$O$49</f>
        <v>0</v>
      </c>
      <c r="P13" s="26">
        <f>'TR TE'!$P$13*'TR TE'!$P$49</f>
        <v>-14.800253568276387</v>
      </c>
      <c r="Q13" s="26">
        <f>SUM($L$13:$P$13)</f>
        <v>9.7978116442780614</v>
      </c>
      <c r="R13" s="26">
        <f>'TR TE'!$R$13*'TR TE'!$R$49</f>
        <v>165.62458201564144</v>
      </c>
      <c r="S13" s="26">
        <f>SUM($R$13:$R$13)</f>
        <v>165.62458201564144</v>
      </c>
      <c r="T13" s="26">
        <f>'TR TE'!$T$13*'TR TE'!$T$49</f>
        <v>0</v>
      </c>
      <c r="U13" s="26">
        <f>'TR TE'!$U$13*'TR TE'!$U$49</f>
        <v>0</v>
      </c>
      <c r="V13" s="26">
        <f>'TR TE'!$V$13*'TR TE'!$V$49</f>
        <v>0</v>
      </c>
      <c r="W13" s="26">
        <f>SUM($T$13:$V$13)</f>
        <v>0</v>
      </c>
      <c r="X13" s="26"/>
      <c r="Y13" s="26">
        <f>SUM($X$13:$X$13)</f>
        <v>0</v>
      </c>
      <c r="Z13" s="26">
        <f>'TR TE'!$Z$13*'TR TE'!$Z$49</f>
        <v>5.8102178509330518</v>
      </c>
      <c r="AA13" s="26">
        <f>SUM($Z$13:$Z$13)</f>
        <v>5.8102178509330518</v>
      </c>
      <c r="AB13" s="26">
        <f>SUMIF($L$4:$AA$4,"SUBTOTAL",$L$13:$AA$13)</f>
        <v>181.23261151085254</v>
      </c>
    </row>
    <row r="14" spans="1:28" ht="11.25" customHeight="1" x14ac:dyDescent="0.25">
      <c r="A14" s="120"/>
      <c r="B14" s="120"/>
      <c r="C14" s="120"/>
      <c r="D14" s="28" t="s">
        <v>31</v>
      </c>
      <c r="E14" s="28" t="s">
        <v>25</v>
      </c>
      <c r="F14" s="28" t="s">
        <v>25</v>
      </c>
      <c r="G14" s="29" t="s">
        <v>77</v>
      </c>
      <c r="H14" s="29" t="s">
        <v>73</v>
      </c>
      <c r="I14" s="29">
        <f>'MERCADO TE'!$U$11</f>
        <v>39.111000000000004</v>
      </c>
      <c r="J14" s="15"/>
      <c r="L14" s="26">
        <f>'TR TE'!$L$14*'TR TE'!$L$49</f>
        <v>0</v>
      </c>
      <c r="M14" s="26">
        <f>'TR TE'!$M$14*'TR TE'!$M$49</f>
        <v>24.598065212554449</v>
      </c>
      <c r="N14" s="26">
        <f>'TR TE'!$N$14*'TR TE'!$N$49</f>
        <v>0</v>
      </c>
      <c r="O14" s="26">
        <f>'TR TE'!$O$14*'TR TE'!$O$49</f>
        <v>0</v>
      </c>
      <c r="P14" s="26">
        <f>'TR TE'!$P$14*'TR TE'!$P$49</f>
        <v>-14.800253568276387</v>
      </c>
      <c r="Q14" s="26">
        <f>SUM($L$14:$P$14)</f>
        <v>9.7978116442780614</v>
      </c>
      <c r="R14" s="26">
        <f>'TR TE'!$R$14*'TR TE'!$R$49</f>
        <v>165.62458201564144</v>
      </c>
      <c r="S14" s="26">
        <f>SUM($R$14:$R$14)</f>
        <v>165.62458201564144</v>
      </c>
      <c r="T14" s="26">
        <f>'TR TE'!$T$14*'TR TE'!$T$49</f>
        <v>0</v>
      </c>
      <c r="U14" s="26">
        <f>'TR TE'!$U$14*'TR TE'!$U$49</f>
        <v>0</v>
      </c>
      <c r="V14" s="26">
        <f>'TR TE'!$V$14*'TR TE'!$V$49</f>
        <v>0</v>
      </c>
      <c r="W14" s="26">
        <f>SUM($T$14:$V$14)</f>
        <v>0</v>
      </c>
      <c r="X14" s="26"/>
      <c r="Y14" s="26">
        <f>SUM($X$14:$X$14)</f>
        <v>0</v>
      </c>
      <c r="Z14" s="26">
        <f>'TR TE'!$Z$14*'TR TE'!$Z$49</f>
        <v>5.8102178509330518</v>
      </c>
      <c r="AA14" s="26">
        <f>SUM($Z$14:$Z$14)</f>
        <v>5.8102178509330518</v>
      </c>
      <c r="AB14" s="26">
        <f>SUMIF($L$4:$AA$4,"SUBTOTAL",$L$14:$AA$14)</f>
        <v>181.23261151085254</v>
      </c>
    </row>
    <row r="15" spans="1:28" ht="11.25" customHeight="1" x14ac:dyDescent="0.25">
      <c r="A15" s="120"/>
      <c r="B15" s="120"/>
      <c r="C15" s="120"/>
      <c r="D15" s="28" t="s">
        <v>32</v>
      </c>
      <c r="E15" s="28" t="s">
        <v>25</v>
      </c>
      <c r="F15" s="28" t="s">
        <v>25</v>
      </c>
      <c r="G15" s="29" t="s">
        <v>77</v>
      </c>
      <c r="H15" s="29" t="s">
        <v>73</v>
      </c>
      <c r="I15" s="29">
        <f>'MERCADO TE'!$U$12</f>
        <v>10.074999999999999</v>
      </c>
      <c r="J15" s="15"/>
      <c r="L15" s="26">
        <f>'TR TE'!$L$15*'TR TE'!$L$49</f>
        <v>0</v>
      </c>
      <c r="M15" s="26">
        <f>'TR TE'!$M$15*'TR TE'!$M$49</f>
        <v>24.598065212554449</v>
      </c>
      <c r="N15" s="26">
        <f>'TR TE'!$N$15*'TR TE'!$N$49</f>
        <v>0</v>
      </c>
      <c r="O15" s="26">
        <f>'TR TE'!$O$15*'TR TE'!$O$49</f>
        <v>0</v>
      </c>
      <c r="P15" s="26">
        <f>'TR TE'!$P$15*'TR TE'!$P$49</f>
        <v>-14.800253568276387</v>
      </c>
      <c r="Q15" s="26">
        <f>SUM($L$15:$P$15)</f>
        <v>9.7978116442780614</v>
      </c>
      <c r="R15" s="26">
        <f>'TR TE'!$R$15*'TR TE'!$R$49</f>
        <v>165.62458201564144</v>
      </c>
      <c r="S15" s="26">
        <f>SUM($R$15:$R$15)</f>
        <v>165.62458201564144</v>
      </c>
      <c r="T15" s="26">
        <f>'TR TE'!$T$15*'TR TE'!$T$49</f>
        <v>0</v>
      </c>
      <c r="U15" s="26">
        <f>'TR TE'!$U$15*'TR TE'!$U$49</f>
        <v>0</v>
      </c>
      <c r="V15" s="26">
        <f>'TR TE'!$V$15*'TR TE'!$V$49</f>
        <v>0</v>
      </c>
      <c r="W15" s="26">
        <f>SUM($T$15:$V$15)</f>
        <v>0</v>
      </c>
      <c r="X15" s="26"/>
      <c r="Y15" s="26">
        <f>SUM($X$15:$X$15)</f>
        <v>0</v>
      </c>
      <c r="Z15" s="26">
        <f>'TR TE'!$Z$15*'TR TE'!$Z$49</f>
        <v>5.8102178509330518</v>
      </c>
      <c r="AA15" s="26">
        <f>SUM($Z$15:$Z$15)</f>
        <v>5.8102178509330518</v>
      </c>
      <c r="AB15" s="26">
        <f>SUMIF($L$4:$AA$4,"SUBTOTAL",$L$15:$AA$15)</f>
        <v>181.23261151085254</v>
      </c>
    </row>
    <row r="16" spans="1:28" ht="11.25" customHeight="1" x14ac:dyDescent="0.25">
      <c r="A16" s="120"/>
      <c r="B16" s="120" t="s">
        <v>87</v>
      </c>
      <c r="C16" s="120" t="s">
        <v>24</v>
      </c>
      <c r="D16" s="28" t="s">
        <v>24</v>
      </c>
      <c r="E16" s="28" t="s">
        <v>25</v>
      </c>
      <c r="F16" s="28" t="s">
        <v>25</v>
      </c>
      <c r="G16" s="29" t="s">
        <v>77</v>
      </c>
      <c r="H16" s="29" t="s">
        <v>73</v>
      </c>
      <c r="I16" s="29">
        <f>'MERCADO TE'!$U$13</f>
        <v>0</v>
      </c>
      <c r="J16" s="15"/>
      <c r="L16" s="26">
        <f>'TR TE'!$L$16*'TR TE'!$L$49</f>
        <v>0</v>
      </c>
      <c r="M16" s="26">
        <f>'TR TE'!$M$16*'TR TE'!$M$49</f>
        <v>24.598065212554449</v>
      </c>
      <c r="N16" s="26">
        <f>'TR TE'!$N$16*'TR TE'!$N$49</f>
        <v>0</v>
      </c>
      <c r="O16" s="26">
        <f>'TR TE'!$O$16*'TR TE'!$O$49</f>
        <v>0</v>
      </c>
      <c r="P16" s="26">
        <f>'TR TE'!$P$16*'TR TE'!$P$49</f>
        <v>-14.800253568276387</v>
      </c>
      <c r="Q16" s="26">
        <f>SUM($L$16:$P$16)</f>
        <v>9.7978116442780614</v>
      </c>
      <c r="R16" s="26">
        <f>'TR TE'!$R$16*'TR TE'!$R$49</f>
        <v>165.62458201564144</v>
      </c>
      <c r="S16" s="26">
        <f>SUM($R$16:$R$16)</f>
        <v>165.62458201564144</v>
      </c>
      <c r="T16" s="26">
        <f>'TR TE'!$T$16*'TR TE'!$T$49</f>
        <v>0</v>
      </c>
      <c r="U16" s="26">
        <f>'TR TE'!$U$16*'TR TE'!$U$49</f>
        <v>0</v>
      </c>
      <c r="V16" s="26">
        <f>'TR TE'!$V$16*'TR TE'!$V$49</f>
        <v>0</v>
      </c>
      <c r="W16" s="26">
        <f>SUM($T$16:$V$16)</f>
        <v>0</v>
      </c>
      <c r="X16" s="26"/>
      <c r="Y16" s="26">
        <f>SUM($X$16:$X$16)</f>
        <v>0</v>
      </c>
      <c r="Z16" s="26">
        <f>'TR TE'!$Z$16*'TR TE'!$Z$49</f>
        <v>5.8102178509330518</v>
      </c>
      <c r="AA16" s="26">
        <f>SUM($Z$16:$Z$16)</f>
        <v>5.8102178509330518</v>
      </c>
      <c r="AB16" s="26">
        <f>SUMIF($L$4:$AA$4,"SUBTOTAL",$L$16:$AA$16)</f>
        <v>181.23261151085254</v>
      </c>
    </row>
    <row r="17" spans="1:28" ht="11.25" customHeight="1" x14ac:dyDescent="0.25">
      <c r="A17" s="120"/>
      <c r="B17" s="120"/>
      <c r="C17" s="120"/>
      <c r="D17" s="28" t="s">
        <v>29</v>
      </c>
      <c r="E17" s="28" t="s">
        <v>25</v>
      </c>
      <c r="F17" s="28" t="s">
        <v>25</v>
      </c>
      <c r="G17" s="29" t="s">
        <v>77</v>
      </c>
      <c r="H17" s="29" t="s">
        <v>73</v>
      </c>
      <c r="I17" s="29">
        <f>'MERCADO TE'!$U$14</f>
        <v>0</v>
      </c>
      <c r="J17" s="15"/>
      <c r="L17" s="26">
        <f>'TR TE'!$L$17*'TR TE'!$L$49</f>
        <v>0</v>
      </c>
      <c r="M17" s="26">
        <f>'TR TE'!$M$17*'TR TE'!$M$49</f>
        <v>24.598065212554449</v>
      </c>
      <c r="N17" s="26">
        <f>'TR TE'!$N$17*'TR TE'!$N$49</f>
        <v>0</v>
      </c>
      <c r="O17" s="26">
        <f>'TR TE'!$O$17*'TR TE'!$O$49</f>
        <v>0</v>
      </c>
      <c r="P17" s="26">
        <f>'TR TE'!$P$17*'TR TE'!$P$49</f>
        <v>-14.800253568276387</v>
      </c>
      <c r="Q17" s="26">
        <f>SUM($L$17:$P$17)</f>
        <v>9.7978116442780614</v>
      </c>
      <c r="R17" s="26">
        <f>'TR TE'!$R$17*'TR TE'!$R$49</f>
        <v>165.62458201564144</v>
      </c>
      <c r="S17" s="26">
        <f>SUM($R$17:$R$17)</f>
        <v>165.62458201564144</v>
      </c>
      <c r="T17" s="26">
        <f>'TR TE'!$T$17*'TR TE'!$T$49</f>
        <v>0</v>
      </c>
      <c r="U17" s="26">
        <f>'TR TE'!$U$17*'TR TE'!$U$49</f>
        <v>0</v>
      </c>
      <c r="V17" s="26">
        <f>'TR TE'!$V$17*'TR TE'!$V$49</f>
        <v>0</v>
      </c>
      <c r="W17" s="26">
        <f>SUM($T$17:$V$17)</f>
        <v>0</v>
      </c>
      <c r="X17" s="26"/>
      <c r="Y17" s="26">
        <f>SUM($X$17:$X$17)</f>
        <v>0</v>
      </c>
      <c r="Z17" s="26">
        <f>'TR TE'!$Z$17*'TR TE'!$Z$49</f>
        <v>5.8102178509330518</v>
      </c>
      <c r="AA17" s="26">
        <f>SUM($Z$17:$Z$17)</f>
        <v>5.8102178509330518</v>
      </c>
      <c r="AB17" s="26">
        <f>SUMIF($L$4:$AA$4,"SUBTOTAL",$L$17:$AA$17)</f>
        <v>181.23261151085254</v>
      </c>
    </row>
    <row r="18" spans="1:28" ht="11.25" customHeight="1" x14ac:dyDescent="0.25">
      <c r="A18" s="120"/>
      <c r="B18" s="120"/>
      <c r="C18" s="120"/>
      <c r="D18" s="28" t="s">
        <v>30</v>
      </c>
      <c r="E18" s="28" t="s">
        <v>25</v>
      </c>
      <c r="F18" s="28" t="s">
        <v>25</v>
      </c>
      <c r="G18" s="29" t="s">
        <v>77</v>
      </c>
      <c r="H18" s="29" t="s">
        <v>73</v>
      </c>
      <c r="I18" s="29">
        <f>'MERCADO TE'!$U$15</f>
        <v>0</v>
      </c>
      <c r="J18" s="15"/>
      <c r="L18" s="26">
        <f>'TR TE'!$L$18*'TR TE'!$L$49</f>
        <v>0</v>
      </c>
      <c r="M18" s="26">
        <f>'TR TE'!$M$18*'TR TE'!$M$49</f>
        <v>24.598065212554449</v>
      </c>
      <c r="N18" s="26">
        <f>'TR TE'!$N$18*'TR TE'!$N$49</f>
        <v>0</v>
      </c>
      <c r="O18" s="26">
        <f>'TR TE'!$O$18*'TR TE'!$O$49</f>
        <v>0</v>
      </c>
      <c r="P18" s="26">
        <f>'TR TE'!$P$18*'TR TE'!$P$49</f>
        <v>-14.800253568276387</v>
      </c>
      <c r="Q18" s="26">
        <f>SUM($L$18:$P$18)</f>
        <v>9.7978116442780614</v>
      </c>
      <c r="R18" s="26">
        <f>'TR TE'!$R$18*'TR TE'!$R$49</f>
        <v>165.62458201564144</v>
      </c>
      <c r="S18" s="26">
        <f>SUM($R$18:$R$18)</f>
        <v>165.62458201564144</v>
      </c>
      <c r="T18" s="26">
        <f>'TR TE'!$T$18*'TR TE'!$T$49</f>
        <v>0</v>
      </c>
      <c r="U18" s="26">
        <f>'TR TE'!$U$18*'TR TE'!$U$49</f>
        <v>0</v>
      </c>
      <c r="V18" s="26">
        <f>'TR TE'!$V$18*'TR TE'!$V$49</f>
        <v>0</v>
      </c>
      <c r="W18" s="26">
        <f>SUM($T$18:$V$18)</f>
        <v>0</v>
      </c>
      <c r="X18" s="26"/>
      <c r="Y18" s="26">
        <f>SUM($X$18:$X$18)</f>
        <v>0</v>
      </c>
      <c r="Z18" s="26">
        <f>'TR TE'!$Z$18*'TR TE'!$Z$49</f>
        <v>5.8102178509330518</v>
      </c>
      <c r="AA18" s="26">
        <f>SUM($Z$18:$Z$18)</f>
        <v>5.8102178509330518</v>
      </c>
      <c r="AB18" s="26">
        <f>SUMIF($L$4:$AA$4,"SUBTOTAL",$L$18:$AA$18)</f>
        <v>181.23261151085254</v>
      </c>
    </row>
    <row r="19" spans="1:28" ht="11.25" customHeight="1" x14ac:dyDescent="0.25">
      <c r="A19" s="120"/>
      <c r="B19" s="120"/>
      <c r="C19" s="120"/>
      <c r="D19" s="28" t="s">
        <v>31</v>
      </c>
      <c r="E19" s="28" t="s">
        <v>25</v>
      </c>
      <c r="F19" s="28" t="s">
        <v>25</v>
      </c>
      <c r="G19" s="29" t="s">
        <v>77</v>
      </c>
      <c r="H19" s="29" t="s">
        <v>73</v>
      </c>
      <c r="I19" s="29">
        <f>'MERCADO TE'!$U$16</f>
        <v>0</v>
      </c>
      <c r="J19" s="15"/>
      <c r="L19" s="26">
        <f>'TR TE'!$L$19*'TR TE'!$L$49</f>
        <v>0</v>
      </c>
      <c r="M19" s="26">
        <f>'TR TE'!$M$19*'TR TE'!$M$49</f>
        <v>24.598065212554449</v>
      </c>
      <c r="N19" s="26">
        <f>'TR TE'!$N$19*'TR TE'!$N$49</f>
        <v>0</v>
      </c>
      <c r="O19" s="26">
        <f>'TR TE'!$O$19*'TR TE'!$O$49</f>
        <v>0</v>
      </c>
      <c r="P19" s="26">
        <f>'TR TE'!$P$19*'TR TE'!$P$49</f>
        <v>-14.800253568276387</v>
      </c>
      <c r="Q19" s="26">
        <f>SUM($L$19:$P$19)</f>
        <v>9.7978116442780614</v>
      </c>
      <c r="R19" s="26">
        <f>'TR TE'!$R$19*'TR TE'!$R$49</f>
        <v>165.62458201564144</v>
      </c>
      <c r="S19" s="26">
        <f>SUM($R$19:$R$19)</f>
        <v>165.62458201564144</v>
      </c>
      <c r="T19" s="26">
        <f>'TR TE'!$T$19*'TR TE'!$T$49</f>
        <v>0</v>
      </c>
      <c r="U19" s="26">
        <f>'TR TE'!$U$19*'TR TE'!$U$49</f>
        <v>0</v>
      </c>
      <c r="V19" s="26">
        <f>'TR TE'!$V$19*'TR TE'!$V$49</f>
        <v>0</v>
      </c>
      <c r="W19" s="26">
        <f>SUM($T$19:$V$19)</f>
        <v>0</v>
      </c>
      <c r="X19" s="26"/>
      <c r="Y19" s="26">
        <f>SUM($X$19:$X$19)</f>
        <v>0</v>
      </c>
      <c r="Z19" s="26">
        <f>'TR TE'!$Z$19*'TR TE'!$Z$49</f>
        <v>5.8102178509330518</v>
      </c>
      <c r="AA19" s="26">
        <f>SUM($Z$19:$Z$19)</f>
        <v>5.8102178509330518</v>
      </c>
      <c r="AB19" s="26">
        <f>SUMIF($L$4:$AA$4,"SUBTOTAL",$L$19:$AA$19)</f>
        <v>181.23261151085254</v>
      </c>
    </row>
    <row r="20" spans="1:28" ht="11.25" customHeight="1" x14ac:dyDescent="0.25">
      <c r="A20" s="120"/>
      <c r="B20" s="120"/>
      <c r="C20" s="120"/>
      <c r="D20" s="28" t="s">
        <v>32</v>
      </c>
      <c r="E20" s="28" t="s">
        <v>25</v>
      </c>
      <c r="F20" s="28" t="s">
        <v>25</v>
      </c>
      <c r="G20" s="29" t="s">
        <v>77</v>
      </c>
      <c r="H20" s="29" t="s">
        <v>73</v>
      </c>
      <c r="I20" s="29">
        <f>'MERCADO TE'!$U$17</f>
        <v>0</v>
      </c>
      <c r="J20" s="15"/>
      <c r="L20" s="26">
        <f>'TR TE'!$L$20*'TR TE'!$L$49</f>
        <v>0</v>
      </c>
      <c r="M20" s="26">
        <f>'TR TE'!$M$20*'TR TE'!$M$49</f>
        <v>24.598065212554449</v>
      </c>
      <c r="N20" s="26">
        <f>'TR TE'!$N$20*'TR TE'!$N$49</f>
        <v>0</v>
      </c>
      <c r="O20" s="26">
        <f>'TR TE'!$O$20*'TR TE'!$O$49</f>
        <v>0</v>
      </c>
      <c r="P20" s="26">
        <f>'TR TE'!$P$20*'TR TE'!$P$49</f>
        <v>-14.800253568276387</v>
      </c>
      <c r="Q20" s="26">
        <f>SUM($L$20:$P$20)</f>
        <v>9.7978116442780614</v>
      </c>
      <c r="R20" s="26">
        <f>'TR TE'!$R$20*'TR TE'!$R$49</f>
        <v>165.62458201564144</v>
      </c>
      <c r="S20" s="26">
        <f>SUM($R$20:$R$20)</f>
        <v>165.62458201564144</v>
      </c>
      <c r="T20" s="26">
        <f>'TR TE'!$T$20*'TR TE'!$T$49</f>
        <v>0</v>
      </c>
      <c r="U20" s="26">
        <f>'TR TE'!$U$20*'TR TE'!$U$49</f>
        <v>0</v>
      </c>
      <c r="V20" s="26">
        <f>'TR TE'!$V$20*'TR TE'!$V$49</f>
        <v>0</v>
      </c>
      <c r="W20" s="26">
        <f>SUM($T$20:$V$20)</f>
        <v>0</v>
      </c>
      <c r="X20" s="26"/>
      <c r="Y20" s="26">
        <f>SUM($X$20:$X$20)</f>
        <v>0</v>
      </c>
      <c r="Z20" s="26">
        <f>'TR TE'!$Z$20*'TR TE'!$Z$49</f>
        <v>5.8102178509330518</v>
      </c>
      <c r="AA20" s="26">
        <f>SUM($Z$20:$Z$20)</f>
        <v>5.8102178509330518</v>
      </c>
      <c r="AB20" s="26">
        <f>SUMIF($L$4:$AA$4,"SUBTOTAL",$L$20:$AA$20)</f>
        <v>181.23261151085254</v>
      </c>
    </row>
    <row r="21" spans="1:28" ht="11.25" customHeight="1" x14ac:dyDescent="0.25">
      <c r="A21" s="120" t="s">
        <v>41</v>
      </c>
      <c r="B21" s="120" t="s">
        <v>72</v>
      </c>
      <c r="C21" s="120" t="s">
        <v>42</v>
      </c>
      <c r="D21" s="120" t="s">
        <v>25</v>
      </c>
      <c r="E21" s="120" t="s">
        <v>25</v>
      </c>
      <c r="F21" s="120" t="s">
        <v>25</v>
      </c>
      <c r="G21" s="29" t="s">
        <v>74</v>
      </c>
      <c r="H21" s="29" t="s">
        <v>73</v>
      </c>
      <c r="I21" s="29">
        <f>'MERCADO TE'!$U$18</f>
        <v>0</v>
      </c>
      <c r="J21" s="15"/>
      <c r="L21" s="26">
        <f>'TR TE'!$L$21*'TR TE'!$L$49</f>
        <v>0</v>
      </c>
      <c r="M21" s="26">
        <f>'TR TE'!$M$21*'TR TE'!$M$49</f>
        <v>24.598065212554449</v>
      </c>
      <c r="N21" s="26">
        <f>'TR TE'!$N$21*'TR TE'!$N$49</f>
        <v>0</v>
      </c>
      <c r="O21" s="26">
        <f>'TR TE'!$O$21*'TR TE'!$O$49</f>
        <v>0</v>
      </c>
      <c r="P21" s="26">
        <f>'TR TE'!$P$21*'TR TE'!$P$49</f>
        <v>-14.800253568276387</v>
      </c>
      <c r="Q21" s="26">
        <f>SUM($L$21:$P$21)</f>
        <v>9.7978116442780614</v>
      </c>
      <c r="R21" s="26">
        <f>'TR TE'!$R$21*'TR TE'!$R$49</f>
        <v>165.62458201564144</v>
      </c>
      <c r="S21" s="26">
        <f>SUM($R$21:$R$21)</f>
        <v>165.62458201564144</v>
      </c>
      <c r="T21" s="26">
        <f>'TR TE'!$T$21*'TR TE'!$T$49</f>
        <v>0</v>
      </c>
      <c r="U21" s="26">
        <f>'TR TE'!$U$21*'TR TE'!$U$49</f>
        <v>0</v>
      </c>
      <c r="V21" s="26">
        <f>'TR TE'!$V$21*'TR TE'!$V$49</f>
        <v>0</v>
      </c>
      <c r="W21" s="26">
        <f>SUM($T$21:$V$21)</f>
        <v>0</v>
      </c>
      <c r="X21" s="26"/>
      <c r="Y21" s="26">
        <f>SUM($X$21:$X$21)</f>
        <v>0</v>
      </c>
      <c r="Z21" s="26">
        <f>'TR TE'!$Z$21*'TR TE'!$Z$49</f>
        <v>5.8102178509330518</v>
      </c>
      <c r="AA21" s="26">
        <f>SUM($Z$21:$Z$21)</f>
        <v>5.8102178509330518</v>
      </c>
      <c r="AB21" s="26">
        <f>SUMIF($L$4:$AA$4,"SUBTOTAL",$L$21:$AA$21)</f>
        <v>181.23261151085254</v>
      </c>
    </row>
    <row r="22" spans="1:28" ht="11.25" customHeight="1" x14ac:dyDescent="0.25">
      <c r="A22" s="120"/>
      <c r="B22" s="120"/>
      <c r="C22" s="120"/>
      <c r="D22" s="120"/>
      <c r="E22" s="120"/>
      <c r="F22" s="120"/>
      <c r="G22" s="29" t="s">
        <v>85</v>
      </c>
      <c r="H22" s="29" t="s">
        <v>73</v>
      </c>
      <c r="I22" s="29">
        <f>'MERCADO TE'!$U$19</f>
        <v>0</v>
      </c>
      <c r="J22" s="15"/>
      <c r="L22" s="26">
        <f>'TR TE'!$L$22*'TR TE'!$L$49</f>
        <v>0</v>
      </c>
      <c r="M22" s="26">
        <f>'TR TE'!$M$22*'TR TE'!$M$49</f>
        <v>24.598065212554449</v>
      </c>
      <c r="N22" s="26">
        <f>'TR TE'!$N$22*'TR TE'!$N$49</f>
        <v>0</v>
      </c>
      <c r="O22" s="26">
        <f>'TR TE'!$O$22*'TR TE'!$O$49</f>
        <v>0</v>
      </c>
      <c r="P22" s="26">
        <f>'TR TE'!$P$22*'TR TE'!$P$49</f>
        <v>-14.800253568276387</v>
      </c>
      <c r="Q22" s="26">
        <f>SUM($L$22:$P$22)</f>
        <v>9.7978116442780614</v>
      </c>
      <c r="R22" s="26">
        <f>'TR TE'!$R$22*'TR TE'!$R$49</f>
        <v>165.62458201564144</v>
      </c>
      <c r="S22" s="26">
        <f>SUM($R$22:$R$22)</f>
        <v>165.62458201564144</v>
      </c>
      <c r="T22" s="26">
        <f>'TR TE'!$T$22*'TR TE'!$T$49</f>
        <v>0</v>
      </c>
      <c r="U22" s="26">
        <f>'TR TE'!$U$22*'TR TE'!$U$49</f>
        <v>0</v>
      </c>
      <c r="V22" s="26">
        <f>'TR TE'!$V$22*'TR TE'!$V$49</f>
        <v>0</v>
      </c>
      <c r="W22" s="26">
        <f>SUM($T$22:$V$22)</f>
        <v>0</v>
      </c>
      <c r="X22" s="26"/>
      <c r="Y22" s="26">
        <f>SUM($X$22:$X$22)</f>
        <v>0</v>
      </c>
      <c r="Z22" s="26">
        <f>'TR TE'!$Z$22*'TR TE'!$Z$49</f>
        <v>5.8102178509330518</v>
      </c>
      <c r="AA22" s="26">
        <f>SUM($Z$22:$Z$22)</f>
        <v>5.8102178509330518</v>
      </c>
      <c r="AB22" s="26">
        <f>SUMIF($L$4:$AA$4,"SUBTOTAL",$L$22:$AA$22)</f>
        <v>181.23261151085254</v>
      </c>
    </row>
    <row r="23" spans="1:28" ht="11.25" customHeight="1" x14ac:dyDescent="0.25">
      <c r="A23" s="120"/>
      <c r="B23" s="120"/>
      <c r="C23" s="120"/>
      <c r="D23" s="120"/>
      <c r="E23" s="120"/>
      <c r="F23" s="120"/>
      <c r="G23" s="29" t="s">
        <v>75</v>
      </c>
      <c r="H23" s="29" t="s">
        <v>73</v>
      </c>
      <c r="I23" s="29">
        <f>'MERCADO TE'!$U$20</f>
        <v>0</v>
      </c>
      <c r="J23" s="15"/>
      <c r="L23" s="26">
        <f>'TR TE'!$L$23*'TR TE'!$L$49</f>
        <v>0</v>
      </c>
      <c r="M23" s="26">
        <f>'TR TE'!$M$23*'TR TE'!$M$49</f>
        <v>24.598065212554449</v>
      </c>
      <c r="N23" s="26">
        <f>'TR TE'!$N$23*'TR TE'!$N$49</f>
        <v>0</v>
      </c>
      <c r="O23" s="26">
        <f>'TR TE'!$O$23*'TR TE'!$O$49</f>
        <v>0</v>
      </c>
      <c r="P23" s="26">
        <f>'TR TE'!$P$23*'TR TE'!$P$49</f>
        <v>-14.800253568276387</v>
      </c>
      <c r="Q23" s="26">
        <f>SUM($L$23:$P$23)</f>
        <v>9.7978116442780614</v>
      </c>
      <c r="R23" s="26">
        <f>'TR TE'!$R$23*'TR TE'!$R$49</f>
        <v>165.62458201564144</v>
      </c>
      <c r="S23" s="26">
        <f>SUM($R$23:$R$23)</f>
        <v>165.62458201564144</v>
      </c>
      <c r="T23" s="26">
        <f>'TR TE'!$T$23*'TR TE'!$T$49</f>
        <v>0</v>
      </c>
      <c r="U23" s="26">
        <f>'TR TE'!$U$23*'TR TE'!$U$49</f>
        <v>0</v>
      </c>
      <c r="V23" s="26">
        <f>'TR TE'!$V$23*'TR TE'!$V$49</f>
        <v>0</v>
      </c>
      <c r="W23" s="26">
        <f>SUM($T$23:$V$23)</f>
        <v>0</v>
      </c>
      <c r="X23" s="26"/>
      <c r="Y23" s="26">
        <f>SUM($X$23:$X$23)</f>
        <v>0</v>
      </c>
      <c r="Z23" s="26">
        <f>'TR TE'!$Z$23*'TR TE'!$Z$49</f>
        <v>5.8102178509330518</v>
      </c>
      <c r="AA23" s="26">
        <f>SUM($Z$23:$Z$23)</f>
        <v>5.8102178509330518</v>
      </c>
      <c r="AB23" s="26">
        <f>SUMIF($L$4:$AA$4,"SUBTOTAL",$L$23:$AA$23)</f>
        <v>181.23261151085254</v>
      </c>
    </row>
    <row r="24" spans="1:28" ht="11.25" customHeight="1" x14ac:dyDescent="0.25">
      <c r="A24" s="120"/>
      <c r="B24" s="28" t="s">
        <v>76</v>
      </c>
      <c r="C24" s="28" t="s">
        <v>42</v>
      </c>
      <c r="D24" s="28" t="s">
        <v>25</v>
      </c>
      <c r="E24" s="28" t="s">
        <v>25</v>
      </c>
      <c r="F24" s="28" t="s">
        <v>25</v>
      </c>
      <c r="G24" s="29" t="s">
        <v>77</v>
      </c>
      <c r="H24" s="29" t="s">
        <v>73</v>
      </c>
      <c r="I24" s="29">
        <f>'MERCADO TE'!$U$21</f>
        <v>21333.253999999997</v>
      </c>
      <c r="J24" s="15"/>
      <c r="L24" s="26">
        <f>'TR TE'!$L$24*'TR TE'!$L$49</f>
        <v>0</v>
      </c>
      <c r="M24" s="26">
        <f>'TR TE'!$M$24*'TR TE'!$M$49</f>
        <v>24.598065212554449</v>
      </c>
      <c r="N24" s="26">
        <f>'TR TE'!$N$24*'TR TE'!$N$49</f>
        <v>0</v>
      </c>
      <c r="O24" s="26">
        <f>'TR TE'!$O$24*'TR TE'!$O$49</f>
        <v>0</v>
      </c>
      <c r="P24" s="26">
        <f>'TR TE'!$P$24*'TR TE'!$P$49</f>
        <v>-14.800253568276387</v>
      </c>
      <c r="Q24" s="26">
        <f>SUM($L$24:$P$24)</f>
        <v>9.7978116442780614</v>
      </c>
      <c r="R24" s="26">
        <f>'TR TE'!$R$24*'TR TE'!$R$49</f>
        <v>165.62458201564144</v>
      </c>
      <c r="S24" s="26">
        <f>SUM($R$24:$R$24)</f>
        <v>165.62458201564144</v>
      </c>
      <c r="T24" s="26">
        <f>'TR TE'!$T$24*'TR TE'!$T$49</f>
        <v>0</v>
      </c>
      <c r="U24" s="26">
        <f>'TR TE'!$U$24*'TR TE'!$U$49</f>
        <v>0</v>
      </c>
      <c r="V24" s="26">
        <f>'TR TE'!$V$24*'TR TE'!$V$49</f>
        <v>0</v>
      </c>
      <c r="W24" s="26">
        <f>SUM($T$24:$V$24)</f>
        <v>0</v>
      </c>
      <c r="X24" s="26"/>
      <c r="Y24" s="26">
        <f>SUM($X$24:$X$24)</f>
        <v>0</v>
      </c>
      <c r="Z24" s="26">
        <f>'TR TE'!$Z$24*'TR TE'!$Z$49</f>
        <v>5.8102178509330518</v>
      </c>
      <c r="AA24" s="26">
        <f>SUM($Z$24:$Z$24)</f>
        <v>5.8102178509330518</v>
      </c>
      <c r="AB24" s="26">
        <f>SUMIF($L$4:$AA$4,"SUBTOTAL",$L$24:$AA$24)</f>
        <v>181.23261151085254</v>
      </c>
    </row>
    <row r="25" spans="1:28" ht="11.25" customHeight="1" x14ac:dyDescent="0.25">
      <c r="A25" s="120"/>
      <c r="B25" s="120" t="s">
        <v>72</v>
      </c>
      <c r="C25" s="120" t="s">
        <v>42</v>
      </c>
      <c r="D25" s="120" t="s">
        <v>89</v>
      </c>
      <c r="E25" s="120" t="s">
        <v>25</v>
      </c>
      <c r="F25" s="120" t="s">
        <v>25</v>
      </c>
      <c r="G25" s="29" t="s">
        <v>74</v>
      </c>
      <c r="H25" s="29" t="s">
        <v>73</v>
      </c>
      <c r="I25" s="29">
        <f>'MERCADO TE'!$U$22</f>
        <v>0</v>
      </c>
      <c r="J25" s="15"/>
      <c r="L25" s="26">
        <f>'TR TE'!$L$25*'TR TE'!$L$49</f>
        <v>0</v>
      </c>
      <c r="M25" s="26">
        <f>'TR TE'!$M$25*'TR TE'!$M$49</f>
        <v>24.598065212554449</v>
      </c>
      <c r="N25" s="26">
        <f>'TR TE'!$N$25*'TR TE'!$N$49</f>
        <v>0</v>
      </c>
      <c r="O25" s="26">
        <f>'TR TE'!$O$25*'TR TE'!$O$49</f>
        <v>0</v>
      </c>
      <c r="P25" s="26">
        <f>'TR TE'!$P$25*'TR TE'!$P$49</f>
        <v>-14.800253568276387</v>
      </c>
      <c r="Q25" s="26">
        <f>SUM($L$25:$P$25)</f>
        <v>9.7978116442780614</v>
      </c>
      <c r="R25" s="26">
        <f>'TR TE'!$R$25*'TR TE'!$R$49</f>
        <v>165.62458201564144</v>
      </c>
      <c r="S25" s="26">
        <f>SUM($R$25:$R$25)</f>
        <v>165.62458201564144</v>
      </c>
      <c r="T25" s="26">
        <f>'TR TE'!$T$25*'TR TE'!$T$49</f>
        <v>0</v>
      </c>
      <c r="U25" s="26">
        <f>'TR TE'!$U$25*'TR TE'!$U$49</f>
        <v>0</v>
      </c>
      <c r="V25" s="26">
        <f>'TR TE'!$V$25*'TR TE'!$V$49</f>
        <v>0</v>
      </c>
      <c r="W25" s="26">
        <f>SUM($T$25:$V$25)</f>
        <v>0</v>
      </c>
      <c r="X25" s="26"/>
      <c r="Y25" s="26">
        <f>SUM($X$25:$X$25)</f>
        <v>0</v>
      </c>
      <c r="Z25" s="26">
        <f>'TR TE'!$Z$25*'TR TE'!$Z$49</f>
        <v>5.8102178509330518</v>
      </c>
      <c r="AA25" s="26">
        <f>SUM($Z$25:$Z$25)</f>
        <v>5.8102178509330518</v>
      </c>
      <c r="AB25" s="26">
        <f>SUMIF($L$4:$AA$4,"SUBTOTAL",$L$25:$AA$25)</f>
        <v>181.23261151085254</v>
      </c>
    </row>
    <row r="26" spans="1:28" ht="11.25" customHeight="1" x14ac:dyDescent="0.25">
      <c r="A26" s="120"/>
      <c r="B26" s="120"/>
      <c r="C26" s="120"/>
      <c r="D26" s="120"/>
      <c r="E26" s="120"/>
      <c r="F26" s="120"/>
      <c r="G26" s="29" t="s">
        <v>85</v>
      </c>
      <c r="H26" s="29" t="s">
        <v>73</v>
      </c>
      <c r="I26" s="29">
        <f>'MERCADO TE'!$U$23</f>
        <v>0</v>
      </c>
      <c r="J26" s="15"/>
      <c r="L26" s="26">
        <f>'TR TE'!$L$26*'TR TE'!$L$49</f>
        <v>0</v>
      </c>
      <c r="M26" s="26">
        <f>'TR TE'!$M$26*'TR TE'!$M$49</f>
        <v>24.598065212554449</v>
      </c>
      <c r="N26" s="26">
        <f>'TR TE'!$N$26*'TR TE'!$N$49</f>
        <v>0</v>
      </c>
      <c r="O26" s="26">
        <f>'TR TE'!$O$26*'TR TE'!$O$49</f>
        <v>0</v>
      </c>
      <c r="P26" s="26">
        <f>'TR TE'!$P$26*'TR TE'!$P$49</f>
        <v>-14.800253568276387</v>
      </c>
      <c r="Q26" s="26">
        <f>SUM($L$26:$P$26)</f>
        <v>9.7978116442780614</v>
      </c>
      <c r="R26" s="26">
        <f>'TR TE'!$R$26*'TR TE'!$R$49</f>
        <v>165.62458201564144</v>
      </c>
      <c r="S26" s="26">
        <f>SUM($R$26:$R$26)</f>
        <v>165.62458201564144</v>
      </c>
      <c r="T26" s="26">
        <f>'TR TE'!$T$26*'TR TE'!$T$49</f>
        <v>0</v>
      </c>
      <c r="U26" s="26">
        <f>'TR TE'!$U$26*'TR TE'!$U$49</f>
        <v>0</v>
      </c>
      <c r="V26" s="26">
        <f>'TR TE'!$V$26*'TR TE'!$V$49</f>
        <v>0</v>
      </c>
      <c r="W26" s="26">
        <f>SUM($T$26:$V$26)</f>
        <v>0</v>
      </c>
      <c r="X26" s="26"/>
      <c r="Y26" s="26">
        <f>SUM($X$26:$X$26)</f>
        <v>0</v>
      </c>
      <c r="Z26" s="26">
        <f>'TR TE'!$Z$26*'TR TE'!$Z$49</f>
        <v>5.8102178509330518</v>
      </c>
      <c r="AA26" s="26">
        <f>SUM($Z$26:$Z$26)</f>
        <v>5.8102178509330518</v>
      </c>
      <c r="AB26" s="26">
        <f>SUMIF($L$4:$AA$4,"SUBTOTAL",$L$26:$AA$26)</f>
        <v>181.23261151085254</v>
      </c>
    </row>
    <row r="27" spans="1:28" ht="11.25" customHeight="1" x14ac:dyDescent="0.25">
      <c r="A27" s="120"/>
      <c r="B27" s="120"/>
      <c r="C27" s="120"/>
      <c r="D27" s="120"/>
      <c r="E27" s="120"/>
      <c r="F27" s="120"/>
      <c r="G27" s="29" t="s">
        <v>75</v>
      </c>
      <c r="H27" s="29" t="s">
        <v>73</v>
      </c>
      <c r="I27" s="29">
        <f>'MERCADO TE'!$U$24</f>
        <v>0</v>
      </c>
      <c r="J27" s="15"/>
      <c r="L27" s="26">
        <f>'TR TE'!$L$27*'TR TE'!$L$49</f>
        <v>0</v>
      </c>
      <c r="M27" s="26">
        <f>'TR TE'!$M$27*'TR TE'!$M$49</f>
        <v>24.598065212554449</v>
      </c>
      <c r="N27" s="26">
        <f>'TR TE'!$N$27*'TR TE'!$N$49</f>
        <v>0</v>
      </c>
      <c r="O27" s="26">
        <f>'TR TE'!$O$27*'TR TE'!$O$49</f>
        <v>0</v>
      </c>
      <c r="P27" s="26">
        <f>'TR TE'!$P$27*'TR TE'!$P$49</f>
        <v>-14.800253568276387</v>
      </c>
      <c r="Q27" s="26">
        <f>SUM($L$27:$P$27)</f>
        <v>9.7978116442780614</v>
      </c>
      <c r="R27" s="26">
        <f>'TR TE'!$R$27*'TR TE'!$R$49</f>
        <v>165.62458201564144</v>
      </c>
      <c r="S27" s="26">
        <f>SUM($R$27:$R$27)</f>
        <v>165.62458201564144</v>
      </c>
      <c r="T27" s="26">
        <f>'TR TE'!$T$27*'TR TE'!$T$49</f>
        <v>0</v>
      </c>
      <c r="U27" s="26">
        <f>'TR TE'!$U$27*'TR TE'!$U$49</f>
        <v>0</v>
      </c>
      <c r="V27" s="26">
        <f>'TR TE'!$V$27*'TR TE'!$V$49</f>
        <v>0</v>
      </c>
      <c r="W27" s="26">
        <f>SUM($T$27:$V$27)</f>
        <v>0</v>
      </c>
      <c r="X27" s="26"/>
      <c r="Y27" s="26">
        <f>SUM($X$27:$X$27)</f>
        <v>0</v>
      </c>
      <c r="Z27" s="26">
        <f>'TR TE'!$Z$27*'TR TE'!$Z$49</f>
        <v>5.8102178509330518</v>
      </c>
      <c r="AA27" s="26">
        <f>SUM($Z$27:$Z$27)</f>
        <v>5.8102178509330518</v>
      </c>
      <c r="AB27" s="26">
        <f>SUMIF($L$4:$AA$4,"SUBTOTAL",$L$27:$AA$27)</f>
        <v>181.23261151085254</v>
      </c>
    </row>
    <row r="28" spans="1:28" ht="11.25" customHeight="1" x14ac:dyDescent="0.25">
      <c r="A28" s="120"/>
      <c r="B28" s="28" t="s">
        <v>76</v>
      </c>
      <c r="C28" s="28" t="s">
        <v>42</v>
      </c>
      <c r="D28" s="28" t="s">
        <v>89</v>
      </c>
      <c r="E28" s="28" t="s">
        <v>25</v>
      </c>
      <c r="F28" s="28" t="s">
        <v>25</v>
      </c>
      <c r="G28" s="29" t="s">
        <v>77</v>
      </c>
      <c r="H28" s="29" t="s">
        <v>73</v>
      </c>
      <c r="I28" s="29">
        <f>'MERCADO TE'!$U$25</f>
        <v>0</v>
      </c>
      <c r="J28" s="15"/>
      <c r="L28" s="26">
        <f>'TR TE'!$L$28*'TR TE'!$L$49</f>
        <v>0</v>
      </c>
      <c r="M28" s="26">
        <f>'TR TE'!$M$28*'TR TE'!$M$49</f>
        <v>24.598065212554449</v>
      </c>
      <c r="N28" s="26">
        <f>'TR TE'!$N$28*'TR TE'!$N$49</f>
        <v>0</v>
      </c>
      <c r="O28" s="26">
        <f>'TR TE'!$O$28*'TR TE'!$O$49</f>
        <v>0</v>
      </c>
      <c r="P28" s="26">
        <f>'TR TE'!$P$28*'TR TE'!$P$49</f>
        <v>-14.800253568276387</v>
      </c>
      <c r="Q28" s="26">
        <f>SUM($L$28:$P$28)</f>
        <v>9.7978116442780614</v>
      </c>
      <c r="R28" s="26">
        <f>'TR TE'!$R$28*'TR TE'!$R$49</f>
        <v>165.62458201564144</v>
      </c>
      <c r="S28" s="26">
        <f>SUM($R$28:$R$28)</f>
        <v>165.62458201564144</v>
      </c>
      <c r="T28" s="26">
        <f>'TR TE'!$T$28*'TR TE'!$T$49</f>
        <v>0</v>
      </c>
      <c r="U28" s="26">
        <f>'TR TE'!$U$28*'TR TE'!$U$49</f>
        <v>0</v>
      </c>
      <c r="V28" s="26">
        <f>'TR TE'!$V$28*'TR TE'!$V$49</f>
        <v>0</v>
      </c>
      <c r="W28" s="26">
        <f>SUM($T$28:$V$28)</f>
        <v>0</v>
      </c>
      <c r="X28" s="26"/>
      <c r="Y28" s="26">
        <f>SUM($X$28:$X$28)</f>
        <v>0</v>
      </c>
      <c r="Z28" s="26">
        <f>'TR TE'!$Z$28*'TR TE'!$Z$49</f>
        <v>5.8102178509330518</v>
      </c>
      <c r="AA28" s="26">
        <f>SUM($Z$28:$Z$28)</f>
        <v>5.8102178509330518</v>
      </c>
      <c r="AB28" s="26">
        <f>SUMIF($L$4:$AA$4,"SUBTOTAL",$L$28:$AA$28)</f>
        <v>181.23261151085254</v>
      </c>
    </row>
    <row r="29" spans="1:28" ht="11.25" customHeight="1" x14ac:dyDescent="0.25">
      <c r="A29" s="120"/>
      <c r="B29" s="120" t="s">
        <v>72</v>
      </c>
      <c r="C29" s="120" t="s">
        <v>42</v>
      </c>
      <c r="D29" s="120" t="s">
        <v>90</v>
      </c>
      <c r="E29" s="120" t="s">
        <v>25</v>
      </c>
      <c r="F29" s="120" t="s">
        <v>25</v>
      </c>
      <c r="G29" s="29" t="s">
        <v>74</v>
      </c>
      <c r="H29" s="29" t="s">
        <v>73</v>
      </c>
      <c r="I29" s="29">
        <f>'MERCADO TE'!$U$26</f>
        <v>0</v>
      </c>
      <c r="J29" s="15"/>
      <c r="L29" s="26">
        <f>'TR TE'!$L$29*'TR TE'!$L$49</f>
        <v>0</v>
      </c>
      <c r="M29" s="26">
        <f>'TR TE'!$M$29*'TR TE'!$M$49</f>
        <v>24.598065212554449</v>
      </c>
      <c r="N29" s="26">
        <f>'TR TE'!$N$29*'TR TE'!$N$49</f>
        <v>0</v>
      </c>
      <c r="O29" s="26">
        <f>'TR TE'!$O$29*'TR TE'!$O$49</f>
        <v>0</v>
      </c>
      <c r="P29" s="26">
        <f>'TR TE'!$P$29*'TR TE'!$P$49</f>
        <v>-14.800253568276387</v>
      </c>
      <c r="Q29" s="26">
        <f>SUM($L$29:$P$29)</f>
        <v>9.7978116442780614</v>
      </c>
      <c r="R29" s="26">
        <f>'TR TE'!$R$29*'TR TE'!$R$49</f>
        <v>165.62458201564144</v>
      </c>
      <c r="S29" s="26">
        <f>SUM($R$29:$R$29)</f>
        <v>165.62458201564144</v>
      </c>
      <c r="T29" s="26">
        <f>'TR TE'!$T$29*'TR TE'!$T$49</f>
        <v>0</v>
      </c>
      <c r="U29" s="26">
        <f>'TR TE'!$U$29*'TR TE'!$U$49</f>
        <v>0</v>
      </c>
      <c r="V29" s="26">
        <f>'TR TE'!$V$29*'TR TE'!$V$49</f>
        <v>0</v>
      </c>
      <c r="W29" s="26">
        <f>SUM($T$29:$V$29)</f>
        <v>0</v>
      </c>
      <c r="X29" s="26"/>
      <c r="Y29" s="26">
        <f>SUM($X$29:$X$29)</f>
        <v>0</v>
      </c>
      <c r="Z29" s="26">
        <f>'TR TE'!$Z$29*'TR TE'!$Z$49</f>
        <v>5.8102178509330518</v>
      </c>
      <c r="AA29" s="26">
        <f>SUM($Z$29:$Z$29)</f>
        <v>5.8102178509330518</v>
      </c>
      <c r="AB29" s="26">
        <f>SUMIF($L$4:$AA$4,"SUBTOTAL",$L$29:$AA$29)</f>
        <v>181.23261151085254</v>
      </c>
    </row>
    <row r="30" spans="1:28" ht="11.25" customHeight="1" x14ac:dyDescent="0.25">
      <c r="A30" s="120"/>
      <c r="B30" s="120"/>
      <c r="C30" s="120"/>
      <c r="D30" s="120"/>
      <c r="E30" s="120"/>
      <c r="F30" s="120"/>
      <c r="G30" s="29" t="s">
        <v>85</v>
      </c>
      <c r="H30" s="29" t="s">
        <v>73</v>
      </c>
      <c r="I30" s="29">
        <f>'MERCADO TE'!$U$27</f>
        <v>0</v>
      </c>
      <c r="J30" s="15"/>
      <c r="L30" s="26">
        <f>'TR TE'!$L$30*'TR TE'!$L$49</f>
        <v>0</v>
      </c>
      <c r="M30" s="26">
        <f>'TR TE'!$M$30*'TR TE'!$M$49</f>
        <v>24.598065212554449</v>
      </c>
      <c r="N30" s="26">
        <f>'TR TE'!$N$30*'TR TE'!$N$49</f>
        <v>0</v>
      </c>
      <c r="O30" s="26">
        <f>'TR TE'!$O$30*'TR TE'!$O$49</f>
        <v>0</v>
      </c>
      <c r="P30" s="26">
        <f>'TR TE'!$P$30*'TR TE'!$P$49</f>
        <v>-14.800253568276387</v>
      </c>
      <c r="Q30" s="26">
        <f>SUM($L$30:$P$30)</f>
        <v>9.7978116442780614</v>
      </c>
      <c r="R30" s="26">
        <f>'TR TE'!$R$30*'TR TE'!$R$49</f>
        <v>165.62458201564144</v>
      </c>
      <c r="S30" s="26">
        <f>SUM($R$30:$R$30)</f>
        <v>165.62458201564144</v>
      </c>
      <c r="T30" s="26">
        <f>'TR TE'!$T$30*'TR TE'!$T$49</f>
        <v>0</v>
      </c>
      <c r="U30" s="26">
        <f>'TR TE'!$U$30*'TR TE'!$U$49</f>
        <v>0</v>
      </c>
      <c r="V30" s="26">
        <f>'TR TE'!$V$30*'TR TE'!$V$49</f>
        <v>0</v>
      </c>
      <c r="W30" s="26">
        <f>SUM($T$30:$V$30)</f>
        <v>0</v>
      </c>
      <c r="X30" s="26"/>
      <c r="Y30" s="26">
        <f>SUM($X$30:$X$30)</f>
        <v>0</v>
      </c>
      <c r="Z30" s="26">
        <f>'TR TE'!$Z$30*'TR TE'!$Z$49</f>
        <v>5.8102178509330518</v>
      </c>
      <c r="AA30" s="26">
        <f>SUM($Z$30:$Z$30)</f>
        <v>5.8102178509330518</v>
      </c>
      <c r="AB30" s="26">
        <f>SUMIF($L$4:$AA$4,"SUBTOTAL",$L$30:$AA$30)</f>
        <v>181.23261151085254</v>
      </c>
    </row>
    <row r="31" spans="1:28" ht="11.25" customHeight="1" x14ac:dyDescent="0.25">
      <c r="A31" s="120"/>
      <c r="B31" s="120"/>
      <c r="C31" s="120"/>
      <c r="D31" s="120"/>
      <c r="E31" s="120"/>
      <c r="F31" s="120"/>
      <c r="G31" s="29" t="s">
        <v>75</v>
      </c>
      <c r="H31" s="29" t="s">
        <v>73</v>
      </c>
      <c r="I31" s="29">
        <f>'MERCADO TE'!$U$28</f>
        <v>0</v>
      </c>
      <c r="J31" s="15"/>
      <c r="L31" s="26">
        <f>'TR TE'!$L$31*'TR TE'!$L$49</f>
        <v>0</v>
      </c>
      <c r="M31" s="26">
        <f>'TR TE'!$M$31*'TR TE'!$M$49</f>
        <v>24.598065212554449</v>
      </c>
      <c r="N31" s="26">
        <f>'TR TE'!$N$31*'TR TE'!$N$49</f>
        <v>0</v>
      </c>
      <c r="O31" s="26">
        <f>'TR TE'!$O$31*'TR TE'!$O$49</f>
        <v>0</v>
      </c>
      <c r="P31" s="26">
        <f>'TR TE'!$P$31*'TR TE'!$P$49</f>
        <v>-14.800253568276387</v>
      </c>
      <c r="Q31" s="26">
        <f>SUM($L$31:$P$31)</f>
        <v>9.7978116442780614</v>
      </c>
      <c r="R31" s="26">
        <f>'TR TE'!$R$31*'TR TE'!$R$49</f>
        <v>165.62458201564144</v>
      </c>
      <c r="S31" s="26">
        <f>SUM($R$31:$R$31)</f>
        <v>165.62458201564144</v>
      </c>
      <c r="T31" s="26">
        <f>'TR TE'!$T$31*'TR TE'!$T$49</f>
        <v>0</v>
      </c>
      <c r="U31" s="26">
        <f>'TR TE'!$U$31*'TR TE'!$U$49</f>
        <v>0</v>
      </c>
      <c r="V31" s="26">
        <f>'TR TE'!$V$31*'TR TE'!$V$49</f>
        <v>0</v>
      </c>
      <c r="W31" s="26">
        <f>SUM($T$31:$V$31)</f>
        <v>0</v>
      </c>
      <c r="X31" s="26"/>
      <c r="Y31" s="26">
        <f>SUM($X$31:$X$31)</f>
        <v>0</v>
      </c>
      <c r="Z31" s="26">
        <f>'TR TE'!$Z$31*'TR TE'!$Z$49</f>
        <v>5.8102178509330518</v>
      </c>
      <c r="AA31" s="26">
        <f>SUM($Z$31:$Z$31)</f>
        <v>5.8102178509330518</v>
      </c>
      <c r="AB31" s="26">
        <f>SUMIF($L$4:$AA$4,"SUBTOTAL",$L$31:$AA$31)</f>
        <v>181.23261151085254</v>
      </c>
    </row>
    <row r="32" spans="1:28" ht="11.25" customHeight="1" x14ac:dyDescent="0.25">
      <c r="A32" s="120"/>
      <c r="B32" s="28" t="s">
        <v>76</v>
      </c>
      <c r="C32" s="28" t="s">
        <v>42</v>
      </c>
      <c r="D32" s="28" t="s">
        <v>90</v>
      </c>
      <c r="E32" s="28" t="s">
        <v>25</v>
      </c>
      <c r="F32" s="28" t="s">
        <v>25</v>
      </c>
      <c r="G32" s="29" t="s">
        <v>77</v>
      </c>
      <c r="H32" s="29" t="s">
        <v>73</v>
      </c>
      <c r="I32" s="29">
        <f>'MERCADO TE'!$U$29</f>
        <v>0</v>
      </c>
      <c r="J32" s="15"/>
      <c r="L32" s="26">
        <f>'TR TE'!$L$32*'TR TE'!$L$49</f>
        <v>0</v>
      </c>
      <c r="M32" s="26">
        <f>'TR TE'!$M$32*'TR TE'!$M$49</f>
        <v>24.598065212554449</v>
      </c>
      <c r="N32" s="26">
        <f>'TR TE'!$N$32*'TR TE'!$N$49</f>
        <v>0</v>
      </c>
      <c r="O32" s="26">
        <f>'TR TE'!$O$32*'TR TE'!$O$49</f>
        <v>0</v>
      </c>
      <c r="P32" s="26">
        <f>'TR TE'!$P$32*'TR TE'!$P$49</f>
        <v>-14.800253568276387</v>
      </c>
      <c r="Q32" s="26">
        <f>SUM($L$32:$P$32)</f>
        <v>9.7978116442780614</v>
      </c>
      <c r="R32" s="26">
        <f>'TR TE'!$R$32*'TR TE'!$R$49</f>
        <v>165.62458201564144</v>
      </c>
      <c r="S32" s="26">
        <f>SUM($R$32:$R$32)</f>
        <v>165.62458201564144</v>
      </c>
      <c r="T32" s="26">
        <f>'TR TE'!$T$32*'TR TE'!$T$49</f>
        <v>0</v>
      </c>
      <c r="U32" s="26">
        <f>'TR TE'!$U$32*'TR TE'!$U$49</f>
        <v>0</v>
      </c>
      <c r="V32" s="26">
        <f>'TR TE'!$V$32*'TR TE'!$V$49</f>
        <v>0</v>
      </c>
      <c r="W32" s="26">
        <f>SUM($T$32:$V$32)</f>
        <v>0</v>
      </c>
      <c r="X32" s="26"/>
      <c r="Y32" s="26">
        <f>SUM($X$32:$X$32)</f>
        <v>0</v>
      </c>
      <c r="Z32" s="26">
        <f>'TR TE'!$Z$32*'TR TE'!$Z$49</f>
        <v>5.8102178509330518</v>
      </c>
      <c r="AA32" s="26">
        <f>SUM($Z$32:$Z$32)</f>
        <v>5.8102178509330518</v>
      </c>
      <c r="AB32" s="26">
        <f>SUMIF($L$4:$AA$4,"SUBTOTAL",$L$32:$AA$32)</f>
        <v>181.23261151085254</v>
      </c>
    </row>
    <row r="33" spans="1:28" ht="11.25" customHeight="1" x14ac:dyDescent="0.25">
      <c r="A33" s="120"/>
      <c r="B33" s="120" t="s">
        <v>87</v>
      </c>
      <c r="C33" s="120" t="s">
        <v>42</v>
      </c>
      <c r="D33" s="28" t="s">
        <v>25</v>
      </c>
      <c r="E33" s="28" t="s">
        <v>25</v>
      </c>
      <c r="F33" s="28" t="s">
        <v>25</v>
      </c>
      <c r="G33" s="29" t="s">
        <v>77</v>
      </c>
      <c r="H33" s="29" t="s">
        <v>73</v>
      </c>
      <c r="I33" s="29">
        <f>'MERCADO TE'!$U$30</f>
        <v>0</v>
      </c>
      <c r="J33" s="15"/>
      <c r="L33" s="26">
        <f>'TR TE'!$L$33*'TR TE'!$L$49</f>
        <v>0</v>
      </c>
      <c r="M33" s="26">
        <f>'TR TE'!$M$33*'TR TE'!$M$49</f>
        <v>24.598065212554449</v>
      </c>
      <c r="N33" s="26">
        <f>'TR TE'!$N$33*'TR TE'!$N$49</f>
        <v>0</v>
      </c>
      <c r="O33" s="26">
        <f>'TR TE'!$O$33*'TR TE'!$O$49</f>
        <v>0</v>
      </c>
      <c r="P33" s="26">
        <f>'TR TE'!$P$33*'TR TE'!$P$49</f>
        <v>-14.800253568276387</v>
      </c>
      <c r="Q33" s="26">
        <f>SUM($L$33:$P$33)</f>
        <v>9.7978116442780614</v>
      </c>
      <c r="R33" s="26">
        <f>'TR TE'!$R$33*'TR TE'!$R$49</f>
        <v>165.62458201564144</v>
      </c>
      <c r="S33" s="26">
        <f>SUM($R$33:$R$33)</f>
        <v>165.62458201564144</v>
      </c>
      <c r="T33" s="26">
        <f>'TR TE'!$T$33*'TR TE'!$T$49</f>
        <v>0</v>
      </c>
      <c r="U33" s="26">
        <f>'TR TE'!$U$33*'TR TE'!$U$49</f>
        <v>0</v>
      </c>
      <c r="V33" s="26">
        <f>'TR TE'!$V$33*'TR TE'!$V$49</f>
        <v>0</v>
      </c>
      <c r="W33" s="26">
        <f>SUM($T$33:$V$33)</f>
        <v>0</v>
      </c>
      <c r="X33" s="26"/>
      <c r="Y33" s="26">
        <f>SUM($X$33:$X$33)</f>
        <v>0</v>
      </c>
      <c r="Z33" s="26">
        <f>'TR TE'!$Z$33*'TR TE'!$Z$49</f>
        <v>5.8102178509330518</v>
      </c>
      <c r="AA33" s="26">
        <f>SUM($Z$33:$Z$33)</f>
        <v>5.8102178509330518</v>
      </c>
      <c r="AB33" s="26">
        <f>SUMIF($L$4:$AA$4,"SUBTOTAL",$L$33:$AA$33)</f>
        <v>181.23261151085254</v>
      </c>
    </row>
    <row r="34" spans="1:28" ht="11.25" customHeight="1" x14ac:dyDescent="0.25">
      <c r="A34" s="120"/>
      <c r="B34" s="120"/>
      <c r="C34" s="120"/>
      <c r="D34" s="28" t="s">
        <v>89</v>
      </c>
      <c r="E34" s="28" t="s">
        <v>25</v>
      </c>
      <c r="F34" s="28" t="s">
        <v>25</v>
      </c>
      <c r="G34" s="29" t="s">
        <v>77</v>
      </c>
      <c r="H34" s="29" t="s">
        <v>73</v>
      </c>
      <c r="I34" s="29">
        <f>'MERCADO TE'!$U$31</f>
        <v>0</v>
      </c>
      <c r="J34" s="15"/>
      <c r="L34" s="26">
        <f>'TR TE'!$L$34*'TR TE'!$L$49</f>
        <v>0</v>
      </c>
      <c r="M34" s="26">
        <f>'TR TE'!$M$34*'TR TE'!$M$49</f>
        <v>24.598065212554449</v>
      </c>
      <c r="N34" s="26">
        <f>'TR TE'!$N$34*'TR TE'!$N$49</f>
        <v>0</v>
      </c>
      <c r="O34" s="26">
        <f>'TR TE'!$O$34*'TR TE'!$O$49</f>
        <v>0</v>
      </c>
      <c r="P34" s="26">
        <f>'TR TE'!$P$34*'TR TE'!$P$49</f>
        <v>-14.800253568276387</v>
      </c>
      <c r="Q34" s="26">
        <f>SUM($L$34:$P$34)</f>
        <v>9.7978116442780614</v>
      </c>
      <c r="R34" s="26">
        <f>'TR TE'!$R$34*'TR TE'!$R$49</f>
        <v>165.62458201564144</v>
      </c>
      <c r="S34" s="26">
        <f>SUM($R$34:$R$34)</f>
        <v>165.62458201564144</v>
      </c>
      <c r="T34" s="26">
        <f>'TR TE'!$T$34*'TR TE'!$T$49</f>
        <v>0</v>
      </c>
      <c r="U34" s="26">
        <f>'TR TE'!$U$34*'TR TE'!$U$49</f>
        <v>0</v>
      </c>
      <c r="V34" s="26">
        <f>'TR TE'!$V$34*'TR TE'!$V$49</f>
        <v>0</v>
      </c>
      <c r="W34" s="26">
        <f>SUM($T$34:$V$34)</f>
        <v>0</v>
      </c>
      <c r="X34" s="26"/>
      <c r="Y34" s="26">
        <f>SUM($X$34:$X$34)</f>
        <v>0</v>
      </c>
      <c r="Z34" s="26">
        <f>'TR TE'!$Z$34*'TR TE'!$Z$49</f>
        <v>5.8102178509330518</v>
      </c>
      <c r="AA34" s="26">
        <f>SUM($Z$34:$Z$34)</f>
        <v>5.8102178509330518</v>
      </c>
      <c r="AB34" s="26">
        <f>SUMIF($L$4:$AA$4,"SUBTOTAL",$L$34:$AA$34)</f>
        <v>181.23261151085254</v>
      </c>
    </row>
    <row r="35" spans="1:28" ht="11.25" customHeight="1" x14ac:dyDescent="0.25">
      <c r="A35" s="120"/>
      <c r="B35" s="120"/>
      <c r="C35" s="120"/>
      <c r="D35" s="28" t="s">
        <v>90</v>
      </c>
      <c r="E35" s="28" t="s">
        <v>25</v>
      </c>
      <c r="F35" s="28" t="s">
        <v>25</v>
      </c>
      <c r="G35" s="29" t="s">
        <v>77</v>
      </c>
      <c r="H35" s="29" t="s">
        <v>73</v>
      </c>
      <c r="I35" s="29">
        <f>'MERCADO TE'!$U$32</f>
        <v>0</v>
      </c>
      <c r="J35" s="15"/>
      <c r="L35" s="26">
        <f>'TR TE'!$L$35*'TR TE'!$L$49</f>
        <v>0</v>
      </c>
      <c r="M35" s="26">
        <f>'TR TE'!$M$35*'TR TE'!$M$49</f>
        <v>24.598065212554449</v>
      </c>
      <c r="N35" s="26">
        <f>'TR TE'!$N$35*'TR TE'!$N$49</f>
        <v>0</v>
      </c>
      <c r="O35" s="26">
        <f>'TR TE'!$O$35*'TR TE'!$O$49</f>
        <v>0</v>
      </c>
      <c r="P35" s="26">
        <f>'TR TE'!$P$35*'TR TE'!$P$49</f>
        <v>-14.800253568276387</v>
      </c>
      <c r="Q35" s="26">
        <f>SUM($L$35:$P$35)</f>
        <v>9.7978116442780614</v>
      </c>
      <c r="R35" s="26">
        <f>'TR TE'!$R$35*'TR TE'!$R$49</f>
        <v>165.62458201564144</v>
      </c>
      <c r="S35" s="26">
        <f>SUM($R$35:$R$35)</f>
        <v>165.62458201564144</v>
      </c>
      <c r="T35" s="26">
        <f>'TR TE'!$T$35*'TR TE'!$T$49</f>
        <v>0</v>
      </c>
      <c r="U35" s="26">
        <f>'TR TE'!$U$35*'TR TE'!$U$49</f>
        <v>0</v>
      </c>
      <c r="V35" s="26">
        <f>'TR TE'!$V$35*'TR TE'!$V$49</f>
        <v>0</v>
      </c>
      <c r="W35" s="26">
        <f>SUM($T$35:$V$35)</f>
        <v>0</v>
      </c>
      <c r="X35" s="26"/>
      <c r="Y35" s="26">
        <f>SUM($X$35:$X$35)</f>
        <v>0</v>
      </c>
      <c r="Z35" s="26">
        <f>'TR TE'!$Z$35*'TR TE'!$Z$49</f>
        <v>5.8102178509330518</v>
      </c>
      <c r="AA35" s="26">
        <f>SUM($Z$35:$Z$35)</f>
        <v>5.8102178509330518</v>
      </c>
      <c r="AB35" s="26">
        <f>SUMIF($L$4:$AA$4,"SUBTOTAL",$L$35:$AA$35)</f>
        <v>181.23261151085254</v>
      </c>
    </row>
    <row r="36" spans="1:28" ht="11.25" customHeight="1" x14ac:dyDescent="0.25">
      <c r="A36" s="120" t="s">
        <v>33</v>
      </c>
      <c r="B36" s="120" t="s">
        <v>72</v>
      </c>
      <c r="C36" s="120" t="s">
        <v>25</v>
      </c>
      <c r="D36" s="120" t="s">
        <v>25</v>
      </c>
      <c r="E36" s="120" t="s">
        <v>25</v>
      </c>
      <c r="F36" s="120" t="s">
        <v>25</v>
      </c>
      <c r="G36" s="29" t="s">
        <v>74</v>
      </c>
      <c r="H36" s="29" t="s">
        <v>73</v>
      </c>
      <c r="I36" s="29">
        <f>'MERCADO TE'!$U$33</f>
        <v>0</v>
      </c>
      <c r="J36" s="15"/>
      <c r="L36" s="26">
        <f>'TR TE'!$L$36*'TR TE'!$L$49</f>
        <v>0</v>
      </c>
      <c r="M36" s="26">
        <f>'TR TE'!$M$36*'TR TE'!$M$49</f>
        <v>24.598065212554449</v>
      </c>
      <c r="N36" s="26">
        <f>'TR TE'!$N$36*'TR TE'!$N$49</f>
        <v>0</v>
      </c>
      <c r="O36" s="26">
        <f>'TR TE'!$O$36*'TR TE'!$O$49</f>
        <v>0</v>
      </c>
      <c r="P36" s="26">
        <f>'TR TE'!$P$36*'TR TE'!$P$49</f>
        <v>-14.800253568276387</v>
      </c>
      <c r="Q36" s="26">
        <f>SUM($L$36:$P$36)</f>
        <v>9.7978116442780614</v>
      </c>
      <c r="R36" s="26">
        <f>'TR TE'!$R$36*'TR TE'!$R$49</f>
        <v>165.62458201564144</v>
      </c>
      <c r="S36" s="26">
        <f>SUM($R$36:$R$36)</f>
        <v>165.62458201564144</v>
      </c>
      <c r="T36" s="26">
        <f>'TR TE'!$T$36*'TR TE'!$T$49</f>
        <v>0</v>
      </c>
      <c r="U36" s="26">
        <f>'TR TE'!$U$36*'TR TE'!$U$49</f>
        <v>0</v>
      </c>
      <c r="V36" s="26">
        <f>'TR TE'!$V$36*'TR TE'!$V$49</f>
        <v>0</v>
      </c>
      <c r="W36" s="26">
        <f>SUM($T$36:$V$36)</f>
        <v>0</v>
      </c>
      <c r="X36" s="26"/>
      <c r="Y36" s="26">
        <f>SUM($X$36:$X$36)</f>
        <v>0</v>
      </c>
      <c r="Z36" s="26">
        <f>'TR TE'!$Z$36*'TR TE'!$Z$49</f>
        <v>5.8102178509330518</v>
      </c>
      <c r="AA36" s="26">
        <f>SUM($Z$36:$Z$36)</f>
        <v>5.8102178509330518</v>
      </c>
      <c r="AB36" s="26">
        <f>SUMIF($L$4:$AA$4,"SUBTOTAL",$L$36:$AA$36)</f>
        <v>181.23261151085254</v>
      </c>
    </row>
    <row r="37" spans="1:28" ht="11.25" customHeight="1" x14ac:dyDescent="0.25">
      <c r="A37" s="120"/>
      <c r="B37" s="120"/>
      <c r="C37" s="120"/>
      <c r="D37" s="120"/>
      <c r="E37" s="120"/>
      <c r="F37" s="120"/>
      <c r="G37" s="29" t="s">
        <v>85</v>
      </c>
      <c r="H37" s="29" t="s">
        <v>73</v>
      </c>
      <c r="I37" s="29">
        <f>'MERCADO TE'!$U$34</f>
        <v>0</v>
      </c>
      <c r="J37" s="15"/>
      <c r="L37" s="26">
        <f>'TR TE'!$L$37*'TR TE'!$L$49</f>
        <v>0</v>
      </c>
      <c r="M37" s="26">
        <f>'TR TE'!$M$37*'TR TE'!$M$49</f>
        <v>24.598065212554449</v>
      </c>
      <c r="N37" s="26">
        <f>'TR TE'!$N$37*'TR TE'!$N$49</f>
        <v>0</v>
      </c>
      <c r="O37" s="26">
        <f>'TR TE'!$O$37*'TR TE'!$O$49</f>
        <v>0</v>
      </c>
      <c r="P37" s="26">
        <f>'TR TE'!$P$37*'TR TE'!$P$49</f>
        <v>-14.800253568276387</v>
      </c>
      <c r="Q37" s="26">
        <f>SUM($L$37:$P$37)</f>
        <v>9.7978116442780614</v>
      </c>
      <c r="R37" s="26">
        <f>'TR TE'!$R$37*'TR TE'!$R$49</f>
        <v>165.62458201564144</v>
      </c>
      <c r="S37" s="26">
        <f>SUM($R$37:$R$37)</f>
        <v>165.62458201564144</v>
      </c>
      <c r="T37" s="26">
        <f>'TR TE'!$T$37*'TR TE'!$T$49</f>
        <v>0</v>
      </c>
      <c r="U37" s="26">
        <f>'TR TE'!$U$37*'TR TE'!$U$49</f>
        <v>0</v>
      </c>
      <c r="V37" s="26">
        <f>'TR TE'!$V$37*'TR TE'!$V$49</f>
        <v>0</v>
      </c>
      <c r="W37" s="26">
        <f>SUM($T$37:$V$37)</f>
        <v>0</v>
      </c>
      <c r="X37" s="26"/>
      <c r="Y37" s="26">
        <f>SUM($X$37:$X$37)</f>
        <v>0</v>
      </c>
      <c r="Z37" s="26">
        <f>'TR TE'!$Z$37*'TR TE'!$Z$49</f>
        <v>5.8102178509330518</v>
      </c>
      <c r="AA37" s="26">
        <f>SUM($Z$37:$Z$37)</f>
        <v>5.8102178509330518</v>
      </c>
      <c r="AB37" s="26">
        <f>SUMIF($L$4:$AA$4,"SUBTOTAL",$L$37:$AA$37)</f>
        <v>181.23261151085254</v>
      </c>
    </row>
    <row r="38" spans="1:28" ht="11.25" customHeight="1" x14ac:dyDescent="0.25">
      <c r="A38" s="120"/>
      <c r="B38" s="120"/>
      <c r="C38" s="120"/>
      <c r="D38" s="120"/>
      <c r="E38" s="120"/>
      <c r="F38" s="120"/>
      <c r="G38" s="29" t="s">
        <v>75</v>
      </c>
      <c r="H38" s="29" t="s">
        <v>73</v>
      </c>
      <c r="I38" s="29">
        <f>'MERCADO TE'!$U$35</f>
        <v>0</v>
      </c>
      <c r="J38" s="15"/>
      <c r="L38" s="26">
        <f>'TR TE'!$L$38*'TR TE'!$L$49</f>
        <v>0</v>
      </c>
      <c r="M38" s="26">
        <f>'TR TE'!$M$38*'TR TE'!$M$49</f>
        <v>24.598065212554449</v>
      </c>
      <c r="N38" s="26">
        <f>'TR TE'!$N$38*'TR TE'!$N$49</f>
        <v>0</v>
      </c>
      <c r="O38" s="26">
        <f>'TR TE'!$O$38*'TR TE'!$O$49</f>
        <v>0</v>
      </c>
      <c r="P38" s="26">
        <f>'TR TE'!$P$38*'TR TE'!$P$49</f>
        <v>-14.800253568276387</v>
      </c>
      <c r="Q38" s="26">
        <f>SUM($L$38:$P$38)</f>
        <v>9.7978116442780614</v>
      </c>
      <c r="R38" s="26">
        <f>'TR TE'!$R$38*'TR TE'!$R$49</f>
        <v>165.62458201564144</v>
      </c>
      <c r="S38" s="26">
        <f>SUM($R$38:$R$38)</f>
        <v>165.62458201564144</v>
      </c>
      <c r="T38" s="26">
        <f>'TR TE'!$T$38*'TR TE'!$T$49</f>
        <v>0</v>
      </c>
      <c r="U38" s="26">
        <f>'TR TE'!$U$38*'TR TE'!$U$49</f>
        <v>0</v>
      </c>
      <c r="V38" s="26">
        <f>'TR TE'!$V$38*'TR TE'!$V$49</f>
        <v>0</v>
      </c>
      <c r="W38" s="26">
        <f>SUM($T$38:$V$38)</f>
        <v>0</v>
      </c>
      <c r="X38" s="26"/>
      <c r="Y38" s="26">
        <f>SUM($X$38:$X$38)</f>
        <v>0</v>
      </c>
      <c r="Z38" s="26">
        <f>'TR TE'!$Z$38*'TR TE'!$Z$49</f>
        <v>5.8102178509330518</v>
      </c>
      <c r="AA38" s="26">
        <f>SUM($Z$38:$Z$38)</f>
        <v>5.8102178509330518</v>
      </c>
      <c r="AB38" s="26">
        <f>SUMIF($L$4:$AA$4,"SUBTOTAL",$L$38:$AA$38)</f>
        <v>181.23261151085254</v>
      </c>
    </row>
    <row r="39" spans="1:28" ht="11.25" customHeight="1" x14ac:dyDescent="0.25">
      <c r="A39" s="120"/>
      <c r="B39" s="28" t="s">
        <v>76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77</v>
      </c>
      <c r="H39" s="29" t="s">
        <v>73</v>
      </c>
      <c r="I39" s="29">
        <f>'MERCADO TE'!$U$36</f>
        <v>3162.4160000000002</v>
      </c>
      <c r="J39" s="15"/>
      <c r="L39" s="26">
        <f>'TR TE'!$L$39*'TR TE'!$L$49</f>
        <v>0</v>
      </c>
      <c r="M39" s="26">
        <f>'TR TE'!$M$39*'TR TE'!$M$49</f>
        <v>24.598065212554449</v>
      </c>
      <c r="N39" s="26">
        <f>'TR TE'!$N$39*'TR TE'!$N$49</f>
        <v>0</v>
      </c>
      <c r="O39" s="26">
        <f>'TR TE'!$O$39*'TR TE'!$O$49</f>
        <v>0</v>
      </c>
      <c r="P39" s="26">
        <f>'TR TE'!$P$39*'TR TE'!$P$49</f>
        <v>-14.800253568276387</v>
      </c>
      <c r="Q39" s="26">
        <f>SUM($L$39:$P$39)</f>
        <v>9.7978116442780614</v>
      </c>
      <c r="R39" s="26">
        <f>'TR TE'!$R$39*'TR TE'!$R$49</f>
        <v>165.62458201564144</v>
      </c>
      <c r="S39" s="26">
        <f>SUM($R$39:$R$39)</f>
        <v>165.62458201564144</v>
      </c>
      <c r="T39" s="26">
        <f>'TR TE'!$T$39*'TR TE'!$T$49</f>
        <v>0</v>
      </c>
      <c r="U39" s="26">
        <f>'TR TE'!$U$39*'TR TE'!$U$49</f>
        <v>0</v>
      </c>
      <c r="V39" s="26">
        <f>'TR TE'!$V$39*'TR TE'!$V$49</f>
        <v>0</v>
      </c>
      <c r="W39" s="26">
        <f>SUM($T$39:$V$39)</f>
        <v>0</v>
      </c>
      <c r="X39" s="26"/>
      <c r="Y39" s="26">
        <f>SUM($X$39:$X$39)</f>
        <v>0</v>
      </c>
      <c r="Z39" s="26">
        <f>'TR TE'!$Z$39*'TR TE'!$Z$49</f>
        <v>5.8102178509330518</v>
      </c>
      <c r="AA39" s="26">
        <f>SUM($Z$39:$Z$39)</f>
        <v>5.8102178509330518</v>
      </c>
      <c r="AB39" s="26">
        <f>SUMIF($L$4:$AA$4,"SUBTOTAL",$L$39:$AA$39)</f>
        <v>181.23261151085254</v>
      </c>
    </row>
    <row r="40" spans="1:28" ht="11.25" customHeight="1" x14ac:dyDescent="0.25">
      <c r="A40" s="120"/>
      <c r="B40" s="28" t="s">
        <v>87</v>
      </c>
      <c r="C40" s="28" t="s">
        <v>25</v>
      </c>
      <c r="D40" s="28" t="s">
        <v>25</v>
      </c>
      <c r="E40" s="28" t="s">
        <v>25</v>
      </c>
      <c r="F40" s="28" t="s">
        <v>25</v>
      </c>
      <c r="G40" s="29" t="s">
        <v>77</v>
      </c>
      <c r="H40" s="29" t="s">
        <v>73</v>
      </c>
      <c r="I40" s="29">
        <f>'MERCADO TE'!$U$37</f>
        <v>0</v>
      </c>
      <c r="J40" s="15"/>
      <c r="L40" s="26">
        <f>'TR TE'!$L$40*'TR TE'!$L$49</f>
        <v>0</v>
      </c>
      <c r="M40" s="26">
        <f>'TR TE'!$M$40*'TR TE'!$M$49</f>
        <v>24.598065212554449</v>
      </c>
      <c r="N40" s="26">
        <f>'TR TE'!$N$40*'TR TE'!$N$49</f>
        <v>0</v>
      </c>
      <c r="O40" s="26">
        <f>'TR TE'!$O$40*'TR TE'!$O$49</f>
        <v>0</v>
      </c>
      <c r="P40" s="26">
        <f>'TR TE'!$P$40*'TR TE'!$P$49</f>
        <v>-14.800253568276387</v>
      </c>
      <c r="Q40" s="26">
        <f>SUM($L$40:$P$40)</f>
        <v>9.7978116442780614</v>
      </c>
      <c r="R40" s="26">
        <f>'TR TE'!$R$40*'TR TE'!$R$49</f>
        <v>165.62458201564144</v>
      </c>
      <c r="S40" s="26">
        <f>SUM($R$40:$R$40)</f>
        <v>165.62458201564144</v>
      </c>
      <c r="T40" s="26">
        <f>'TR TE'!$T$40*'TR TE'!$T$49</f>
        <v>0</v>
      </c>
      <c r="U40" s="26">
        <f>'TR TE'!$U$40*'TR TE'!$U$49</f>
        <v>0</v>
      </c>
      <c r="V40" s="26">
        <f>'TR TE'!$V$40*'TR TE'!$V$49</f>
        <v>0</v>
      </c>
      <c r="W40" s="26">
        <f>SUM($T$40:$V$40)</f>
        <v>0</v>
      </c>
      <c r="X40" s="26"/>
      <c r="Y40" s="26">
        <f>SUM($X$40:$X$40)</f>
        <v>0</v>
      </c>
      <c r="Z40" s="26">
        <f>'TR TE'!$Z$40*'TR TE'!$Z$49</f>
        <v>5.8102178509330518</v>
      </c>
      <c r="AA40" s="26">
        <f>SUM($Z$40:$Z$40)</f>
        <v>5.8102178509330518</v>
      </c>
      <c r="AB40" s="26">
        <f>SUMIF($L$4:$AA$4,"SUBTOTAL",$L$40:$AA$40)</f>
        <v>181.23261151085254</v>
      </c>
    </row>
    <row r="41" spans="1:28" ht="11.25" customHeight="1" x14ac:dyDescent="0.25">
      <c r="A41" s="120" t="s">
        <v>44</v>
      </c>
      <c r="B41" s="120" t="s">
        <v>76</v>
      </c>
      <c r="C41" s="120" t="s">
        <v>45</v>
      </c>
      <c r="D41" s="28" t="s">
        <v>46</v>
      </c>
      <c r="E41" s="28" t="s">
        <v>25</v>
      </c>
      <c r="F41" s="28" t="s">
        <v>25</v>
      </c>
      <c r="G41" s="29" t="s">
        <v>77</v>
      </c>
      <c r="H41" s="29" t="s">
        <v>73</v>
      </c>
      <c r="I41" s="29">
        <f>'MERCADO TE'!$U$38</f>
        <v>905.86099999999999</v>
      </c>
      <c r="J41" s="15"/>
      <c r="L41" s="26">
        <f>'TR TE'!$L$41*'TR TE'!$L$49</f>
        <v>0</v>
      </c>
      <c r="M41" s="26">
        <f>'TR TE'!$M$41*'TR TE'!$M$49</f>
        <v>13.528935866904948</v>
      </c>
      <c r="N41" s="26">
        <f>'TR TE'!$N$41*'TR TE'!$N$49</f>
        <v>0</v>
      </c>
      <c r="O41" s="26">
        <f>'TR TE'!$O$41*'TR TE'!$O$49</f>
        <v>0</v>
      </c>
      <c r="P41" s="26">
        <f>'TR TE'!$P$41*'TR TE'!$P$49</f>
        <v>-8.140139462552014</v>
      </c>
      <c r="Q41" s="26">
        <f>SUM($L$41:$P$41)</f>
        <v>5.3887964043529344</v>
      </c>
      <c r="R41" s="26">
        <f>'TR TE'!$R$41*'TR TE'!$R$49</f>
        <v>91.093520108602803</v>
      </c>
      <c r="S41" s="26">
        <f>SUM($R$41:$R$41)</f>
        <v>91.093520108602803</v>
      </c>
      <c r="T41" s="26">
        <f>'TR TE'!$T$41*'TR TE'!$T$49</f>
        <v>0</v>
      </c>
      <c r="U41" s="26">
        <f>'TR TE'!$U$41*'TR TE'!$U$49</f>
        <v>0</v>
      </c>
      <c r="V41" s="26">
        <f>'TR TE'!$V$41*'TR TE'!$V$49</f>
        <v>0</v>
      </c>
      <c r="W41" s="26">
        <f>SUM($T$41:$V$41)</f>
        <v>0</v>
      </c>
      <c r="X41" s="26"/>
      <c r="Y41" s="26">
        <f>SUM($X$41:$X$41)</f>
        <v>0</v>
      </c>
      <c r="Z41" s="26">
        <f>'TR TE'!$Z$41*'TR TE'!$Z$49</f>
        <v>3.1956198180131787</v>
      </c>
      <c r="AA41" s="26">
        <f>SUM($Z$41:$Z$41)</f>
        <v>3.1956198180131787</v>
      </c>
      <c r="AB41" s="26">
        <f>SUMIF($L$4:$AA$4,"SUBTOTAL",$L$41:$AA$41)</f>
        <v>99.677936330968919</v>
      </c>
    </row>
    <row r="42" spans="1:28" ht="11.25" customHeight="1" x14ac:dyDescent="0.25">
      <c r="A42" s="120"/>
      <c r="B42" s="120"/>
      <c r="C42" s="120"/>
      <c r="D42" s="29" t="s">
        <v>91</v>
      </c>
      <c r="E42" s="29" t="s">
        <v>25</v>
      </c>
      <c r="F42" s="29" t="s">
        <v>25</v>
      </c>
      <c r="G42" s="29" t="s">
        <v>77</v>
      </c>
      <c r="H42" s="29" t="s">
        <v>73</v>
      </c>
      <c r="I42" s="29">
        <f>'MERCADO TE'!$U$39</f>
        <v>0</v>
      </c>
      <c r="J42" s="15"/>
      <c r="L42" s="26">
        <f>'TR TE'!$L$42*'TR TE'!$L$49</f>
        <v>0</v>
      </c>
      <c r="M42" s="26">
        <f>'TR TE'!$M$42*'TR TE'!$M$49</f>
        <v>14.758839127532669</v>
      </c>
      <c r="N42" s="26">
        <f>'TR TE'!$N$42*'TR TE'!$N$49</f>
        <v>0</v>
      </c>
      <c r="O42" s="26">
        <f>'TR TE'!$O$42*'TR TE'!$O$49</f>
        <v>0</v>
      </c>
      <c r="P42" s="26">
        <f>'TR TE'!$P$42*'TR TE'!$P$49</f>
        <v>-8.8801521409658317</v>
      </c>
      <c r="Q42" s="26">
        <f>SUM($L$42:$P$42)</f>
        <v>5.8786869865668372</v>
      </c>
      <c r="R42" s="26">
        <f>'TR TE'!$R$42*'TR TE'!$R$49</f>
        <v>99.374749209384859</v>
      </c>
      <c r="S42" s="26">
        <f>SUM($R$42:$R$42)</f>
        <v>99.374749209384859</v>
      </c>
      <c r="T42" s="26">
        <f>'TR TE'!$T$42*'TR TE'!$T$49</f>
        <v>0</v>
      </c>
      <c r="U42" s="26">
        <f>'TR TE'!$U$42*'TR TE'!$U$49</f>
        <v>0</v>
      </c>
      <c r="V42" s="26">
        <f>'TR TE'!$V$42*'TR TE'!$V$49</f>
        <v>0</v>
      </c>
      <c r="W42" s="26">
        <f>SUM($T$42:$V$42)</f>
        <v>0</v>
      </c>
      <c r="X42" s="26"/>
      <c r="Y42" s="26">
        <f>SUM($X$42:$X$42)</f>
        <v>0</v>
      </c>
      <c r="Z42" s="26">
        <f>'TR TE'!$Z$42*'TR TE'!$Z$49</f>
        <v>3.4861307105598311</v>
      </c>
      <c r="AA42" s="26">
        <f>SUM($Z$42:$Z$42)</f>
        <v>3.4861307105598311</v>
      </c>
      <c r="AB42" s="26">
        <f>SUMIF($L$4:$AA$4,"SUBTOTAL",$L$42:$AA$42)</f>
        <v>108.73956690651153</v>
      </c>
    </row>
    <row r="44" spans="1:28" ht="11.25" customHeight="1" x14ac:dyDescent="0.25">
      <c r="K44" s="31" t="s">
        <v>510</v>
      </c>
      <c r="L44" s="26">
        <f t="shared" ref="L44:AB44" si="0">SUMPRODUCT($I$5:$I$42,L$5:L$42)</f>
        <v>0</v>
      </c>
      <c r="M44" s="26">
        <f t="shared" si="0"/>
        <v>1761723.1356897787</v>
      </c>
      <c r="N44" s="26">
        <f t="shared" si="0"/>
        <v>0</v>
      </c>
      <c r="O44" s="26">
        <f t="shared" si="0"/>
        <v>0</v>
      </c>
      <c r="P44" s="26">
        <f t="shared" si="0"/>
        <v>-1060000</v>
      </c>
      <c r="Q44" s="26">
        <f t="shared" si="0"/>
        <v>701723.13568977895</v>
      </c>
      <c r="R44" s="26">
        <f t="shared" si="0"/>
        <v>11862097.911139073</v>
      </c>
      <c r="S44" s="26">
        <f t="shared" si="0"/>
        <v>11862097.911139073</v>
      </c>
      <c r="T44" s="26">
        <f t="shared" si="0"/>
        <v>0</v>
      </c>
      <c r="U44" s="26">
        <f t="shared" si="0"/>
        <v>0</v>
      </c>
      <c r="V44" s="26">
        <f t="shared" si="0"/>
        <v>0</v>
      </c>
      <c r="W44" s="26">
        <f t="shared" si="0"/>
        <v>0</v>
      </c>
      <c r="X44" s="26">
        <f t="shared" si="0"/>
        <v>0</v>
      </c>
      <c r="Y44" s="26">
        <f t="shared" si="0"/>
        <v>0</v>
      </c>
      <c r="Z44" s="26">
        <f t="shared" si="0"/>
        <v>416130.09490527824</v>
      </c>
      <c r="AA44" s="26">
        <f t="shared" si="0"/>
        <v>416130.09490527824</v>
      </c>
      <c r="AB44" s="26">
        <f t="shared" si="0"/>
        <v>12979951.141734127</v>
      </c>
    </row>
    <row r="45" spans="1:28" ht="11.25" customHeight="1" x14ac:dyDescent="0.25">
      <c r="K45" s="31" t="s">
        <v>429</v>
      </c>
      <c r="L45" s="26">
        <f>CUSTOS!$D$30</f>
        <v>0</v>
      </c>
      <c r="M45" s="26">
        <f>CUSTOS!$D$31</f>
        <v>1761723.1356897787</v>
      </c>
      <c r="N45" s="26">
        <f>CUSTOS!$D$32</f>
        <v>0</v>
      </c>
      <c r="O45" s="26">
        <f>CUSTOS!$D$33</f>
        <v>0</v>
      </c>
      <c r="P45" s="26">
        <f>CUSTOS!$D$34</f>
        <v>-1060000</v>
      </c>
      <c r="Q45" s="26">
        <f>CUSTOS!$D$35</f>
        <v>701723.13568977872</v>
      </c>
      <c r="R45" s="26">
        <f>CUSTOS!$D$36</f>
        <v>11862097.911139071</v>
      </c>
      <c r="S45" s="26">
        <f>CUSTOS!$D$37</f>
        <v>11862097.911139071</v>
      </c>
      <c r="T45" s="26">
        <f>CUSTOS!$D$38</f>
        <v>0</v>
      </c>
      <c r="U45" s="26">
        <f>CUSTOS!$D$39</f>
        <v>0</v>
      </c>
      <c r="V45" s="26">
        <f>CUSTOS!$D$40</f>
        <v>0</v>
      </c>
      <c r="W45" s="26">
        <f>CUSTOS!$D$41</f>
        <v>0</v>
      </c>
      <c r="X45" s="26">
        <f>CUSTOS!$D$42</f>
        <v>0</v>
      </c>
      <c r="Y45" s="26">
        <f>CUSTOS!$D$43</f>
        <v>0</v>
      </c>
      <c r="Z45" s="26">
        <f>CUSTOS!$D$44</f>
        <v>416130.09490527812</v>
      </c>
      <c r="AA45" s="26">
        <f>CUSTOS!$D$45</f>
        <v>416130.09490527812</v>
      </c>
      <c r="AB45" s="26">
        <f>CUSTOS!$D$46</f>
        <v>12979951.141734127</v>
      </c>
    </row>
    <row r="46" spans="1:28" ht="11.25" customHeight="1" x14ac:dyDescent="0.25">
      <c r="K46" s="31" t="s">
        <v>430</v>
      </c>
      <c r="L46" s="26">
        <f>CUSTOS!$E$30</f>
        <v>0</v>
      </c>
      <c r="M46" s="26">
        <f>CUSTOS!$E$31</f>
        <v>103119.10171779385</v>
      </c>
      <c r="N46" s="26">
        <f>CUSTOS!$E$32</f>
        <v>0</v>
      </c>
      <c r="O46" s="26">
        <f>CUSTOS!$E$33</f>
        <v>0</v>
      </c>
      <c r="P46" s="26">
        <f>CUSTOS!$E$34</f>
        <v>0</v>
      </c>
      <c r="Q46" s="26">
        <f>CUSTOS!$E$35</f>
        <v>103119.10171779385</v>
      </c>
      <c r="R46" s="26">
        <f>CUSTOS!$E$36</f>
        <v>961530.9006738991</v>
      </c>
      <c r="S46" s="26">
        <f>CUSTOS!$E$37</f>
        <v>961530.9006738991</v>
      </c>
      <c r="T46" s="26">
        <f>CUSTOS!$E$38</f>
        <v>0</v>
      </c>
      <c r="U46" s="26">
        <f>CUSTOS!$E$39</f>
        <v>0</v>
      </c>
      <c r="V46" s="26">
        <f>CUSTOS!$E$40</f>
        <v>0</v>
      </c>
      <c r="W46" s="26">
        <f>CUSTOS!$E$41</f>
        <v>0</v>
      </c>
      <c r="X46" s="26">
        <f>CUSTOS!$E$42</f>
        <v>0</v>
      </c>
      <c r="Y46" s="26">
        <f>CUSTOS!$E$43</f>
        <v>0</v>
      </c>
      <c r="Z46" s="26">
        <f>CUSTOS!$E$44</f>
        <v>33731.128165453243</v>
      </c>
      <c r="AA46" s="26">
        <f>CUSTOS!$E$45</f>
        <v>33731.128165453243</v>
      </c>
      <c r="AB46" s="26">
        <f>CUSTOS!$E$46</f>
        <v>1098381.1305571462</v>
      </c>
    </row>
    <row r="47" spans="1:28" ht="11.25" customHeight="1" x14ac:dyDescent="0.25">
      <c r="K47" s="31" t="s">
        <v>431</v>
      </c>
      <c r="L47" s="26">
        <f>CUSTOS!$F$30</f>
        <v>0</v>
      </c>
      <c r="M47" s="26">
        <f>CUSTOS!$F$31</f>
        <v>0</v>
      </c>
      <c r="N47" s="26">
        <f>CUSTOS!$F$32</f>
        <v>0</v>
      </c>
      <c r="O47" s="26">
        <f>CUSTOS!$F$33</f>
        <v>0</v>
      </c>
      <c r="P47" s="26">
        <f>CUSTOS!$F$34</f>
        <v>0</v>
      </c>
      <c r="Q47" s="26">
        <f>CUSTOS!$F$35</f>
        <v>0</v>
      </c>
      <c r="R47" s="26">
        <f>CUSTOS!$F$36</f>
        <v>0</v>
      </c>
      <c r="S47" s="26">
        <f>CUSTOS!$F$37</f>
        <v>0</v>
      </c>
      <c r="T47" s="26">
        <f>CUSTOS!$F$38</f>
        <v>0</v>
      </c>
      <c r="U47" s="26">
        <f>CUSTOS!$F$39</f>
        <v>0</v>
      </c>
      <c r="V47" s="26">
        <f>CUSTOS!$F$40</f>
        <v>0</v>
      </c>
      <c r="W47" s="26">
        <f>CUSTOS!$F$41</f>
        <v>0</v>
      </c>
      <c r="X47" s="26">
        <f>CUSTOS!$F$42</f>
        <v>0</v>
      </c>
      <c r="Y47" s="26">
        <f>CUSTOS!$F$43</f>
        <v>0</v>
      </c>
      <c r="Z47" s="26">
        <f>CUSTOS!$F$44</f>
        <v>0</v>
      </c>
      <c r="AA47" s="26">
        <f>CUSTOS!$F$45</f>
        <v>0</v>
      </c>
      <c r="AB47" s="26">
        <f>CUSTOS!$F$46</f>
        <v>0</v>
      </c>
    </row>
    <row r="48" spans="1:28" ht="11.25" customHeight="1" x14ac:dyDescent="0.25">
      <c r="K48" s="31" t="s">
        <v>511</v>
      </c>
      <c r="L48" s="26">
        <f>'TR TE'!$L$48*L49</f>
        <v>0</v>
      </c>
      <c r="M48" s="26">
        <f>'TR TE'!$M$48*M49</f>
        <v>1.439800804864372</v>
      </c>
      <c r="N48" s="26">
        <f>'TR TE'!$N$48*N49</f>
        <v>0</v>
      </c>
      <c r="O48" s="26">
        <f>'TR TE'!$O$48*O49</f>
        <v>0</v>
      </c>
      <c r="P48" s="26">
        <f>'TR TE'!$P$48*P49</f>
        <v>0</v>
      </c>
      <c r="Q48" s="26"/>
      <c r="R48" s="26">
        <f>'TR TE'!$R$48*R49</f>
        <v>13.569182958574215</v>
      </c>
      <c r="S48" s="26"/>
      <c r="T48" s="26">
        <f>'TR TE'!$T$48*T49</f>
        <v>0</v>
      </c>
      <c r="U48" s="26">
        <f>'TR TE'!$U$48*U49</f>
        <v>0</v>
      </c>
      <c r="V48" s="26">
        <f>'TR TE'!$V$48*V49</f>
        <v>0</v>
      </c>
      <c r="W48" s="26"/>
      <c r="X48" s="26"/>
      <c r="Y48" s="26"/>
      <c r="Z48" s="26">
        <f>'TR TE'!$Z$48*Z49</f>
        <v>0.4709709905591864</v>
      </c>
      <c r="AA48" s="26"/>
      <c r="AB48" s="26"/>
    </row>
    <row r="49" spans="11:28" ht="11.25" customHeight="1" x14ac:dyDescent="0.25">
      <c r="K49" s="31" t="s">
        <v>498</v>
      </c>
      <c r="L49" s="26">
        <f>IF(L45&lt;&gt;0,L46/L45,0)</f>
        <v>0</v>
      </c>
      <c r="M49" s="26">
        <f>IF(M45&lt;&gt;0,M46/M45,0)</f>
        <v>5.8533091624194948E-2</v>
      </c>
      <c r="N49" s="26">
        <f>IF(N45&lt;&gt;0,N46/N45,0)</f>
        <v>0</v>
      </c>
      <c r="O49" s="26">
        <f>IF(O45&lt;&gt;0,O46/O45,0)</f>
        <v>0</v>
      </c>
      <c r="P49" s="26">
        <f>IF(P45&lt;&gt;0,P46/P45,0)</f>
        <v>0</v>
      </c>
      <c r="Q49" s="26"/>
      <c r="R49" s="26">
        <f>IF(R45&lt;&gt;0,R46/R45,0)</f>
        <v>8.1059093246142924E-2</v>
      </c>
      <c r="S49" s="26"/>
      <c r="T49" s="26">
        <f>IF(T45&lt;&gt;0,T46/T45,0)</f>
        <v>0</v>
      </c>
      <c r="U49" s="26">
        <f>IF(U45&lt;&gt;0,U46/U45,0)</f>
        <v>0</v>
      </c>
      <c r="V49" s="26">
        <f>IF(V45&lt;&gt;0,V46/V45,0)</f>
        <v>0</v>
      </c>
      <c r="W49" s="26"/>
      <c r="X49" s="26">
        <f>IF(($AB45-0)&lt;&gt;0,X46/($AB45-0),0)</f>
        <v>0</v>
      </c>
      <c r="Y49" s="26"/>
      <c r="Z49" s="26">
        <f>IF(Z45&lt;&gt;0,Z46/Z45,0)</f>
        <v>8.1059093246142924E-2</v>
      </c>
      <c r="AA49" s="26"/>
      <c r="AB49" s="26"/>
    </row>
    <row r="50" spans="11:28" ht="11.25" customHeight="1" x14ac:dyDescent="0.25">
      <c r="K50" s="31" t="s">
        <v>513</v>
      </c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</sheetData>
  <mergeCells count="61">
    <mergeCell ref="E36:E38"/>
    <mergeCell ref="F36:F38"/>
    <mergeCell ref="A41:A42"/>
    <mergeCell ref="B41:B42"/>
    <mergeCell ref="C41:C42"/>
    <mergeCell ref="D36:D38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A8:A20"/>
    <mergeCell ref="B8:B10"/>
    <mergeCell ref="C8:C10"/>
    <mergeCell ref="D8:D10"/>
    <mergeCell ref="E8:E10"/>
    <mergeCell ref="F8:F10"/>
    <mergeCell ref="B11:B15"/>
    <mergeCell ref="C11:C15"/>
    <mergeCell ref="B16:B20"/>
    <mergeCell ref="C16:C20"/>
    <mergeCell ref="Z3:AA3"/>
    <mergeCell ref="AB3:AB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4">
    <cfRule type="cellIs" dxfId="798" priority="33" operator="notEqual">
      <formula>$L$45</formula>
    </cfRule>
    <cfRule type="cellIs" dxfId="797" priority="34" operator="equal">
      <formula>$L$45</formula>
    </cfRule>
  </conditionalFormatting>
  <conditionalFormatting sqref="M44">
    <cfRule type="cellIs" dxfId="796" priority="31" operator="notEqual">
      <formula>$M$45</formula>
    </cfRule>
    <cfRule type="cellIs" dxfId="795" priority="32" operator="equal">
      <formula>$M$45</formula>
    </cfRule>
  </conditionalFormatting>
  <conditionalFormatting sqref="N44">
    <cfRule type="cellIs" dxfId="794" priority="29" operator="notEqual">
      <formula>$N$45</formula>
    </cfRule>
    <cfRule type="cellIs" dxfId="793" priority="30" operator="equal">
      <formula>$N$45</formula>
    </cfRule>
  </conditionalFormatting>
  <conditionalFormatting sqref="O44">
    <cfRule type="cellIs" dxfId="792" priority="27" operator="notEqual">
      <formula>$O$45</formula>
    </cfRule>
    <cfRule type="cellIs" dxfId="791" priority="28" operator="equal">
      <formula>$O$45</formula>
    </cfRule>
  </conditionalFormatting>
  <conditionalFormatting sqref="P44">
    <cfRule type="cellIs" dxfId="790" priority="25" operator="notEqual">
      <formula>$P$45</formula>
    </cfRule>
    <cfRule type="cellIs" dxfId="789" priority="26" operator="equal">
      <formula>$P$45</formula>
    </cfRule>
  </conditionalFormatting>
  <conditionalFormatting sqref="Q44">
    <cfRule type="cellIs" dxfId="788" priority="23" operator="notEqual">
      <formula>$Q$45</formula>
    </cfRule>
    <cfRule type="cellIs" dxfId="787" priority="24" operator="equal">
      <formula>$Q$45</formula>
    </cfRule>
  </conditionalFormatting>
  <conditionalFormatting sqref="R44">
    <cfRule type="cellIs" dxfId="786" priority="21" operator="notEqual">
      <formula>$R$45</formula>
    </cfRule>
    <cfRule type="cellIs" dxfId="785" priority="22" operator="equal">
      <formula>$R$45</formula>
    </cfRule>
  </conditionalFormatting>
  <conditionalFormatting sqref="S44">
    <cfRule type="cellIs" dxfId="784" priority="19" operator="notEqual">
      <formula>$S$45</formula>
    </cfRule>
    <cfRule type="cellIs" dxfId="783" priority="20" operator="equal">
      <formula>$S$45</formula>
    </cfRule>
  </conditionalFormatting>
  <conditionalFormatting sqref="T44">
    <cfRule type="cellIs" dxfId="782" priority="17" operator="notEqual">
      <formula>$T$45</formula>
    </cfRule>
    <cfRule type="cellIs" dxfId="781" priority="18" operator="equal">
      <formula>$T$45</formula>
    </cfRule>
  </conditionalFormatting>
  <conditionalFormatting sqref="U44">
    <cfRule type="cellIs" dxfId="780" priority="15" operator="notEqual">
      <formula>$U$45</formula>
    </cfRule>
    <cfRule type="cellIs" dxfId="779" priority="16" operator="equal">
      <formula>$U$45</formula>
    </cfRule>
  </conditionalFormatting>
  <conditionalFormatting sqref="V44">
    <cfRule type="cellIs" dxfId="778" priority="13" operator="notEqual">
      <formula>$V$45</formula>
    </cfRule>
    <cfRule type="cellIs" dxfId="777" priority="14" operator="equal">
      <formula>$V$45</formula>
    </cfRule>
  </conditionalFormatting>
  <conditionalFormatting sqref="W44">
    <cfRule type="cellIs" dxfId="776" priority="11" operator="notEqual">
      <formula>$W$45</formula>
    </cfRule>
    <cfRule type="cellIs" dxfId="775" priority="12" operator="equal">
      <formula>$W$45</formula>
    </cfRule>
  </conditionalFormatting>
  <conditionalFormatting sqref="X44">
    <cfRule type="cellIs" dxfId="774" priority="9" operator="notEqual">
      <formula>$X$45</formula>
    </cfRule>
    <cfRule type="cellIs" dxfId="773" priority="10" operator="equal">
      <formula>$X$45</formula>
    </cfRule>
  </conditionalFormatting>
  <conditionalFormatting sqref="Y44">
    <cfRule type="cellIs" dxfId="772" priority="7" operator="notEqual">
      <formula>$Y$45</formula>
    </cfRule>
    <cfRule type="cellIs" dxfId="771" priority="8" operator="equal">
      <formula>$Y$45</formula>
    </cfRule>
  </conditionalFormatting>
  <conditionalFormatting sqref="Z44">
    <cfRule type="cellIs" dxfId="770" priority="5" operator="notEqual">
      <formula>$Z$45</formula>
    </cfRule>
    <cfRule type="cellIs" dxfId="769" priority="6" operator="equal">
      <formula>$Z$45</formula>
    </cfRule>
  </conditionalFormatting>
  <conditionalFormatting sqref="AA44">
    <cfRule type="cellIs" dxfId="768" priority="3" operator="notEqual">
      <formula>$AA$45</formula>
    </cfRule>
    <cfRule type="cellIs" dxfId="767" priority="4" operator="equal">
      <formula>$AA$45</formula>
    </cfRule>
  </conditionalFormatting>
  <conditionalFormatting sqref="AB44">
    <cfRule type="cellIs" dxfId="766" priority="1" operator="notEqual">
      <formula>$AB$45</formula>
    </cfRule>
    <cfRule type="cellIs" dxfId="765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6C9D-2F41-4061-A4ED-7CEC830B7604}">
  <dimension ref="A1:AB50"/>
  <sheetViews>
    <sheetView showGridLines="0" topLeftCell="Q36" workbookViewId="0">
      <selection activeCell="AB44" sqref="AB44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7.85546875" style="9" bestFit="1" customWidth="1"/>
    <col min="13" max="13" width="10" style="9" bestFit="1" customWidth="1"/>
    <col min="14" max="14" width="7.85546875" style="9" bestFit="1" customWidth="1"/>
    <col min="15" max="15" width="11.140625" style="9" bestFit="1" customWidth="1"/>
    <col min="16" max="16" width="10.570312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19" t="s">
        <v>63</v>
      </c>
      <c r="B1" s="119" t="s">
        <v>64</v>
      </c>
      <c r="C1" s="119" t="s">
        <v>65</v>
      </c>
      <c r="D1" s="119" t="s">
        <v>66</v>
      </c>
      <c r="E1" s="119" t="s">
        <v>67</v>
      </c>
      <c r="F1" s="119" t="s">
        <v>15</v>
      </c>
      <c r="G1" s="119" t="s">
        <v>69</v>
      </c>
      <c r="H1" s="119" t="s">
        <v>70</v>
      </c>
      <c r="I1" s="119" t="s">
        <v>488</v>
      </c>
      <c r="J1" s="98"/>
      <c r="L1" s="117" t="s">
        <v>515</v>
      </c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</row>
    <row r="2" spans="1:28" ht="11.25" customHeight="1" x14ac:dyDescent="0.25">
      <c r="A2" s="119"/>
      <c r="B2" s="119"/>
      <c r="C2" s="119"/>
      <c r="D2" s="119"/>
      <c r="E2" s="119"/>
      <c r="F2" s="119"/>
      <c r="G2" s="119"/>
      <c r="H2" s="119"/>
      <c r="I2" s="119"/>
      <c r="J2" s="98"/>
      <c r="L2" s="117" t="s">
        <v>415</v>
      </c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</row>
    <row r="3" spans="1:28" ht="11.25" customHeight="1" x14ac:dyDescent="0.25">
      <c r="A3" s="119"/>
      <c r="B3" s="119"/>
      <c r="C3" s="119"/>
      <c r="D3" s="119"/>
      <c r="E3" s="119"/>
      <c r="F3" s="119"/>
      <c r="G3" s="119"/>
      <c r="H3" s="119"/>
      <c r="I3" s="119"/>
      <c r="J3" s="98"/>
      <c r="L3" s="117" t="s">
        <v>388</v>
      </c>
      <c r="M3" s="117"/>
      <c r="N3" s="117"/>
      <c r="O3" s="117"/>
      <c r="P3" s="117"/>
      <c r="Q3" s="117"/>
      <c r="R3" s="117" t="s">
        <v>419</v>
      </c>
      <c r="S3" s="117"/>
      <c r="T3" s="117" t="s">
        <v>397</v>
      </c>
      <c r="U3" s="117"/>
      <c r="V3" s="117"/>
      <c r="W3" s="117"/>
      <c r="X3" s="117" t="s">
        <v>407</v>
      </c>
      <c r="Y3" s="117"/>
      <c r="Z3" s="117" t="s">
        <v>410</v>
      </c>
      <c r="AA3" s="117"/>
      <c r="AB3" s="117" t="s">
        <v>396</v>
      </c>
    </row>
    <row r="4" spans="1:28" ht="11.25" customHeight="1" x14ac:dyDescent="0.25">
      <c r="A4" s="119"/>
      <c r="B4" s="119"/>
      <c r="C4" s="119"/>
      <c r="D4" s="119"/>
      <c r="E4" s="119"/>
      <c r="F4" s="119"/>
      <c r="G4" s="119"/>
      <c r="H4" s="119"/>
      <c r="I4" s="119"/>
      <c r="J4" s="98"/>
      <c r="L4" s="30" t="s">
        <v>390</v>
      </c>
      <c r="M4" s="30" t="s">
        <v>416</v>
      </c>
      <c r="N4" s="30" t="s">
        <v>417</v>
      </c>
      <c r="O4" s="30" t="s">
        <v>476</v>
      </c>
      <c r="P4" s="30" t="s">
        <v>418</v>
      </c>
      <c r="Q4" s="30" t="s">
        <v>396</v>
      </c>
      <c r="R4" s="30" t="s">
        <v>420</v>
      </c>
      <c r="S4" s="30" t="s">
        <v>396</v>
      </c>
      <c r="T4" s="30" t="s">
        <v>421</v>
      </c>
      <c r="U4" s="30" t="s">
        <v>422</v>
      </c>
      <c r="V4" s="30" t="s">
        <v>423</v>
      </c>
      <c r="W4" s="30" t="s">
        <v>396</v>
      </c>
      <c r="X4" s="30" t="s">
        <v>408</v>
      </c>
      <c r="Y4" s="30" t="s">
        <v>396</v>
      </c>
      <c r="Z4" s="30" t="s">
        <v>424</v>
      </c>
      <c r="AA4" s="30" t="s">
        <v>396</v>
      </c>
      <c r="AB4" s="118"/>
    </row>
    <row r="5" spans="1:28" ht="11.25" customHeight="1" x14ac:dyDescent="0.25">
      <c r="A5" s="120" t="s">
        <v>35</v>
      </c>
      <c r="B5" s="120" t="s">
        <v>72</v>
      </c>
      <c r="C5" s="120" t="s">
        <v>25</v>
      </c>
      <c r="D5" s="120" t="s">
        <v>25</v>
      </c>
      <c r="E5" s="120" t="s">
        <v>25</v>
      </c>
      <c r="F5" s="120" t="s">
        <v>25</v>
      </c>
      <c r="G5" s="29" t="s">
        <v>74</v>
      </c>
      <c r="H5" s="29" t="s">
        <v>73</v>
      </c>
      <c r="I5" s="29">
        <f>'MERCADO TE'!$U$2</f>
        <v>3179.3539999999994</v>
      </c>
      <c r="J5" s="15"/>
      <c r="L5" s="26">
        <f>'TE BE'!$L$5*'TE BE'!$L$49</f>
        <v>0</v>
      </c>
      <c r="M5" s="26">
        <f>'TE BE'!$M$5*'TE BE'!$M$49</f>
        <v>1.439800804864372</v>
      </c>
      <c r="N5" s="26">
        <f>'TE BE'!$N$5*'TE BE'!$N$49</f>
        <v>0</v>
      </c>
      <c r="O5" s="26">
        <f>'TE BE'!$O$5*'TE BE'!$O$49</f>
        <v>0</v>
      </c>
      <c r="P5" s="26">
        <f>'TE BE'!$P$5*'TE BE'!$P$49</f>
        <v>0</v>
      </c>
      <c r="Q5" s="26">
        <f>SUM($L$5:$P$5)</f>
        <v>1.439800804864372</v>
      </c>
      <c r="R5" s="26">
        <f>'TE BE'!$R$5*'TE BE'!$R$49</f>
        <v>13.425378437459326</v>
      </c>
      <c r="S5" s="26">
        <f>SUM($R$5:$R$5)</f>
        <v>13.425378437459326</v>
      </c>
      <c r="T5" s="26">
        <f>'TE BE'!$T$5*'TE BE'!$T$49</f>
        <v>0</v>
      </c>
      <c r="U5" s="26">
        <f>'TE BE'!$U$5*'TE BE'!$U$49</f>
        <v>0</v>
      </c>
      <c r="V5" s="26">
        <f>'TE BE'!$V$5*'TE BE'!$V$49</f>
        <v>0</v>
      </c>
      <c r="W5" s="26">
        <f>SUM($T$5:$V$5)</f>
        <v>0</v>
      </c>
      <c r="X5" s="26">
        <f>'TE BE'!$AB$5*'TE BE'!$X$49</f>
        <v>0</v>
      </c>
      <c r="Y5" s="26">
        <f>SUM($X$5:$X$5)</f>
        <v>0</v>
      </c>
      <c r="Z5" s="26">
        <f>'TE BE'!$Z$5*'TE BE'!$Z$49</f>
        <v>0.4709709905591864</v>
      </c>
      <c r="AA5" s="26">
        <f>SUM($Z$5:$Z$5)</f>
        <v>0.4709709905591864</v>
      </c>
      <c r="AB5" s="26">
        <f>SUMIF($L$4:$AA$4,"SUBTOTAL",$L$5:$AA$5)</f>
        <v>15.336150232882884</v>
      </c>
    </row>
    <row r="6" spans="1:28" ht="11.25" customHeight="1" x14ac:dyDescent="0.25">
      <c r="A6" s="120"/>
      <c r="B6" s="120"/>
      <c r="C6" s="120"/>
      <c r="D6" s="120"/>
      <c r="E6" s="120"/>
      <c r="F6" s="120"/>
      <c r="G6" s="29" t="s">
        <v>75</v>
      </c>
      <c r="H6" s="29" t="s">
        <v>73</v>
      </c>
      <c r="I6" s="29">
        <f>'MERCADO TE'!$U$3</f>
        <v>38515.306999999993</v>
      </c>
      <c r="J6" s="15"/>
      <c r="L6" s="26">
        <f>'TE BE'!$L$6*'TE BE'!$L$49</f>
        <v>0</v>
      </c>
      <c r="M6" s="26">
        <f>'TE BE'!$M$6*'TE BE'!$M$49</f>
        <v>1.439800804864372</v>
      </c>
      <c r="N6" s="26">
        <f>'TE BE'!$N$6*'TE BE'!$N$49</f>
        <v>0</v>
      </c>
      <c r="O6" s="26">
        <f>'TE BE'!$O$6*'TE BE'!$O$49</f>
        <v>0</v>
      </c>
      <c r="P6" s="26">
        <f>'TE BE'!$P$6*'TE BE'!$P$49</f>
        <v>0</v>
      </c>
      <c r="Q6" s="26">
        <f>SUM($L$6:$P$6)</f>
        <v>1.439800804864372</v>
      </c>
      <c r="R6" s="26">
        <f>'TE BE'!$R$6*'TE BE'!$R$49</f>
        <v>13.425378437459326</v>
      </c>
      <c r="S6" s="26">
        <f>SUM($R$6:$R$6)</f>
        <v>13.425378437459326</v>
      </c>
      <c r="T6" s="26">
        <f>'TE BE'!$T$6*'TE BE'!$T$49</f>
        <v>0</v>
      </c>
      <c r="U6" s="26">
        <f>'TE BE'!$U$6*'TE BE'!$U$49</f>
        <v>0</v>
      </c>
      <c r="V6" s="26">
        <f>'TE BE'!$V$6*'TE BE'!$V$49</f>
        <v>0</v>
      </c>
      <c r="W6" s="26">
        <f>SUM($T$6:$V$6)</f>
        <v>0</v>
      </c>
      <c r="X6" s="26">
        <f>'TE BE'!$AB$6*'TE BE'!$X$49</f>
        <v>0</v>
      </c>
      <c r="Y6" s="26">
        <f>SUM($X$6:$X$6)</f>
        <v>0</v>
      </c>
      <c r="Z6" s="26">
        <f>'TE BE'!$Z$6*'TE BE'!$Z$49</f>
        <v>0.4709709905591864</v>
      </c>
      <c r="AA6" s="26">
        <f>SUM($Z$6:$Z$6)</f>
        <v>0.4709709905591864</v>
      </c>
      <c r="AB6" s="26">
        <f>SUMIF($L$4:$AA$4,"SUBTOTAL",$L$6:$AA$6)</f>
        <v>15.336150232882884</v>
      </c>
    </row>
    <row r="7" spans="1:28" ht="11.25" customHeight="1" x14ac:dyDescent="0.25">
      <c r="A7" s="120"/>
      <c r="B7" s="28" t="s">
        <v>76</v>
      </c>
      <c r="C7" s="28" t="s">
        <v>25</v>
      </c>
      <c r="D7" s="28" t="s">
        <v>25</v>
      </c>
      <c r="E7" s="28" t="s">
        <v>25</v>
      </c>
      <c r="F7" s="28" t="s">
        <v>25</v>
      </c>
      <c r="G7" s="29" t="s">
        <v>77</v>
      </c>
      <c r="H7" s="29" t="s">
        <v>73</v>
      </c>
      <c r="I7" s="29">
        <f>'MERCADO TE'!$U$4</f>
        <v>0</v>
      </c>
      <c r="J7" s="15"/>
      <c r="L7" s="26">
        <f>'TE BE'!$L$7*'TE BE'!$L$49</f>
        <v>0</v>
      </c>
      <c r="M7" s="26">
        <f>'TE BE'!$M$7*'TE BE'!$M$49</f>
        <v>1.439800804864372</v>
      </c>
      <c r="N7" s="26">
        <f>'TE BE'!$N$7*'TE BE'!$N$49</f>
        <v>0</v>
      </c>
      <c r="O7" s="26">
        <f>'TE BE'!$O$7*'TE BE'!$O$49</f>
        <v>0</v>
      </c>
      <c r="P7" s="26">
        <f>'TE BE'!$P$7*'TE BE'!$P$49</f>
        <v>0</v>
      </c>
      <c r="Q7" s="26">
        <f>SUM($L$7:$P$7)</f>
        <v>1.439800804864372</v>
      </c>
      <c r="R7" s="26">
        <f>'TE BE'!$R$7*'TE BE'!$R$49</f>
        <v>13.425378437459326</v>
      </c>
      <c r="S7" s="26">
        <f>SUM($R$7:$R$7)</f>
        <v>13.425378437459326</v>
      </c>
      <c r="T7" s="26">
        <f>'TE BE'!$T$7*'TE BE'!$T$49</f>
        <v>0</v>
      </c>
      <c r="U7" s="26">
        <f>'TE BE'!$U$7*'TE BE'!$U$49</f>
        <v>0</v>
      </c>
      <c r="V7" s="26">
        <f>'TE BE'!$V$7*'TE BE'!$V$49</f>
        <v>0</v>
      </c>
      <c r="W7" s="26">
        <f>SUM($T$7:$V$7)</f>
        <v>0</v>
      </c>
      <c r="X7" s="26">
        <f>'TE BE'!$AB$7*'TE BE'!$X$49</f>
        <v>0</v>
      </c>
      <c r="Y7" s="26">
        <f>SUM($X$7:$X$7)</f>
        <v>0</v>
      </c>
      <c r="Z7" s="26">
        <f>'TE BE'!$Z$7*'TE BE'!$Z$49</f>
        <v>0.4709709905591864</v>
      </c>
      <c r="AA7" s="26">
        <f>SUM($Z$7:$Z$7)</f>
        <v>0.4709709905591864</v>
      </c>
      <c r="AB7" s="26">
        <f>SUMIF($L$4:$AA$4,"SUBTOTAL",$L$7:$AA$7)</f>
        <v>15.336150232882884</v>
      </c>
    </row>
    <row r="8" spans="1:28" ht="11.25" customHeight="1" x14ac:dyDescent="0.25">
      <c r="A8" s="120" t="s">
        <v>22</v>
      </c>
      <c r="B8" s="120" t="s">
        <v>72</v>
      </c>
      <c r="C8" s="120" t="s">
        <v>24</v>
      </c>
      <c r="D8" s="120" t="s">
        <v>24</v>
      </c>
      <c r="E8" s="120" t="s">
        <v>25</v>
      </c>
      <c r="F8" s="120" t="s">
        <v>25</v>
      </c>
      <c r="G8" s="29" t="s">
        <v>74</v>
      </c>
      <c r="H8" s="29" t="s">
        <v>73</v>
      </c>
      <c r="I8" s="29">
        <f>'MERCADO TE'!$U$5</f>
        <v>0</v>
      </c>
      <c r="J8" s="15"/>
      <c r="L8" s="26">
        <f>'TE BE'!$L$8*'TE BE'!$L$49</f>
        <v>0</v>
      </c>
      <c r="M8" s="26">
        <f>'TE BE'!$M$8*'TE BE'!$M$49</f>
        <v>1.439800804864372</v>
      </c>
      <c r="N8" s="26">
        <f>'TE BE'!$N$8*'TE BE'!$N$49</f>
        <v>0</v>
      </c>
      <c r="O8" s="26">
        <f>'TE BE'!$O$8*'TE BE'!$O$49</f>
        <v>0</v>
      </c>
      <c r="P8" s="26">
        <f>'TE BE'!$P$8*'TE BE'!$P$49</f>
        <v>0</v>
      </c>
      <c r="Q8" s="26">
        <f>SUM($L$8:$P$8)</f>
        <v>1.439800804864372</v>
      </c>
      <c r="R8" s="26">
        <f>'TE BE'!$R$8*'TE BE'!$R$49</f>
        <v>13.425378437459326</v>
      </c>
      <c r="S8" s="26">
        <f>SUM($R$8:$R$8)</f>
        <v>13.425378437459326</v>
      </c>
      <c r="T8" s="26">
        <f>'TE BE'!$T$8*'TE BE'!$T$49</f>
        <v>0</v>
      </c>
      <c r="U8" s="26">
        <f>'TE BE'!$U$8*'TE BE'!$U$49</f>
        <v>0</v>
      </c>
      <c r="V8" s="26">
        <f>'TE BE'!$V$8*'TE BE'!$V$49</f>
        <v>0</v>
      </c>
      <c r="W8" s="26">
        <f>SUM($T$8:$V$8)</f>
        <v>0</v>
      </c>
      <c r="X8" s="26">
        <f>'TE BE'!$AB$8*'TE BE'!$X$49</f>
        <v>0</v>
      </c>
      <c r="Y8" s="26">
        <f>SUM($X$8:$X$8)</f>
        <v>0</v>
      </c>
      <c r="Z8" s="26">
        <f>'TE BE'!$Z$8*'TE BE'!$Z$49</f>
        <v>0.4709709905591864</v>
      </c>
      <c r="AA8" s="26">
        <f>SUM($Z$8:$Z$8)</f>
        <v>0.4709709905591864</v>
      </c>
      <c r="AB8" s="26">
        <f>SUMIF($L$4:$AA$4,"SUBTOTAL",$L$8:$AA$8)</f>
        <v>15.336150232882884</v>
      </c>
    </row>
    <row r="9" spans="1:28" ht="11.25" customHeight="1" x14ac:dyDescent="0.25">
      <c r="A9" s="120"/>
      <c r="B9" s="120"/>
      <c r="C9" s="120"/>
      <c r="D9" s="120"/>
      <c r="E9" s="120"/>
      <c r="F9" s="120"/>
      <c r="G9" s="29" t="s">
        <v>85</v>
      </c>
      <c r="H9" s="29" t="s">
        <v>73</v>
      </c>
      <c r="I9" s="29">
        <f>'MERCADO TE'!$U$6</f>
        <v>0</v>
      </c>
      <c r="J9" s="15"/>
      <c r="L9" s="26">
        <f>'TE BE'!$L$9*'TE BE'!$L$49</f>
        <v>0</v>
      </c>
      <c r="M9" s="26">
        <f>'TE BE'!$M$9*'TE BE'!$M$49</f>
        <v>1.439800804864372</v>
      </c>
      <c r="N9" s="26">
        <f>'TE BE'!$N$9*'TE BE'!$N$49</f>
        <v>0</v>
      </c>
      <c r="O9" s="26">
        <f>'TE BE'!$O$9*'TE BE'!$O$49</f>
        <v>0</v>
      </c>
      <c r="P9" s="26">
        <f>'TE BE'!$P$9*'TE BE'!$P$49</f>
        <v>0</v>
      </c>
      <c r="Q9" s="26">
        <f>SUM($L$9:$P$9)</f>
        <v>1.439800804864372</v>
      </c>
      <c r="R9" s="26">
        <f>'TE BE'!$R$9*'TE BE'!$R$49</f>
        <v>13.425378437459326</v>
      </c>
      <c r="S9" s="26">
        <f>SUM($R$9:$R$9)</f>
        <v>13.425378437459326</v>
      </c>
      <c r="T9" s="26">
        <f>'TE BE'!$T$9*'TE BE'!$T$49</f>
        <v>0</v>
      </c>
      <c r="U9" s="26">
        <f>'TE BE'!$U$9*'TE BE'!$U$49</f>
        <v>0</v>
      </c>
      <c r="V9" s="26">
        <f>'TE BE'!$V$9*'TE BE'!$V$49</f>
        <v>0</v>
      </c>
      <c r="W9" s="26">
        <f>SUM($T$9:$V$9)</f>
        <v>0</v>
      </c>
      <c r="X9" s="26">
        <f>'TE BE'!$AB$9*'TE BE'!$X$49</f>
        <v>0</v>
      </c>
      <c r="Y9" s="26">
        <f>SUM($X$9:$X$9)</f>
        <v>0</v>
      </c>
      <c r="Z9" s="26">
        <f>'TE BE'!$Z$9*'TE BE'!$Z$49</f>
        <v>0.4709709905591864</v>
      </c>
      <c r="AA9" s="26">
        <f>SUM($Z$9:$Z$9)</f>
        <v>0.4709709905591864</v>
      </c>
      <c r="AB9" s="26">
        <f>SUMIF($L$4:$AA$4,"SUBTOTAL",$L$9:$AA$9)</f>
        <v>15.336150232882884</v>
      </c>
    </row>
    <row r="10" spans="1:28" ht="11.25" customHeight="1" x14ac:dyDescent="0.25">
      <c r="A10" s="120"/>
      <c r="B10" s="120"/>
      <c r="C10" s="120"/>
      <c r="D10" s="120"/>
      <c r="E10" s="120"/>
      <c r="F10" s="120"/>
      <c r="G10" s="29" t="s">
        <v>75</v>
      </c>
      <c r="H10" s="29" t="s">
        <v>73</v>
      </c>
      <c r="I10" s="29">
        <f>'MERCADO TE'!$U$7</f>
        <v>0</v>
      </c>
      <c r="J10" s="15"/>
      <c r="L10" s="26">
        <f>'TE BE'!$L$10*'TE BE'!$L$49</f>
        <v>0</v>
      </c>
      <c r="M10" s="26">
        <f>'TE BE'!$M$10*'TE BE'!$M$49</f>
        <v>1.439800804864372</v>
      </c>
      <c r="N10" s="26">
        <f>'TE BE'!$N$10*'TE BE'!$N$49</f>
        <v>0</v>
      </c>
      <c r="O10" s="26">
        <f>'TE BE'!$O$10*'TE BE'!$O$49</f>
        <v>0</v>
      </c>
      <c r="P10" s="26">
        <f>'TE BE'!$P$10*'TE BE'!$P$49</f>
        <v>0</v>
      </c>
      <c r="Q10" s="26">
        <f>SUM($L$10:$P$10)</f>
        <v>1.439800804864372</v>
      </c>
      <c r="R10" s="26">
        <f>'TE BE'!$R$10*'TE BE'!$R$49</f>
        <v>13.425378437459326</v>
      </c>
      <c r="S10" s="26">
        <f>SUM($R$10:$R$10)</f>
        <v>13.425378437459326</v>
      </c>
      <c r="T10" s="26">
        <f>'TE BE'!$T$10*'TE BE'!$T$49</f>
        <v>0</v>
      </c>
      <c r="U10" s="26">
        <f>'TE BE'!$U$10*'TE BE'!$U$49</f>
        <v>0</v>
      </c>
      <c r="V10" s="26">
        <f>'TE BE'!$V$10*'TE BE'!$V$49</f>
        <v>0</v>
      </c>
      <c r="W10" s="26">
        <f>SUM($T$10:$V$10)</f>
        <v>0</v>
      </c>
      <c r="X10" s="26">
        <f>'TE BE'!$AB$10*'TE BE'!$X$49</f>
        <v>0</v>
      </c>
      <c r="Y10" s="26">
        <f>SUM($X$10:$X$10)</f>
        <v>0</v>
      </c>
      <c r="Z10" s="26">
        <f>'TE BE'!$Z$10*'TE BE'!$Z$49</f>
        <v>0.4709709905591864</v>
      </c>
      <c r="AA10" s="26">
        <f>SUM($Z$10:$Z$10)</f>
        <v>0.4709709905591864</v>
      </c>
      <c r="AB10" s="26">
        <f>SUMIF($L$4:$AA$4,"SUBTOTAL",$L$10:$AA$10)</f>
        <v>15.336150232882884</v>
      </c>
    </row>
    <row r="11" spans="1:28" ht="11.25" customHeight="1" x14ac:dyDescent="0.25">
      <c r="A11" s="120"/>
      <c r="B11" s="120" t="s">
        <v>76</v>
      </c>
      <c r="C11" s="120" t="s">
        <v>24</v>
      </c>
      <c r="D11" s="28" t="s">
        <v>24</v>
      </c>
      <c r="E11" s="28" t="s">
        <v>25</v>
      </c>
      <c r="F11" s="28" t="s">
        <v>25</v>
      </c>
      <c r="G11" s="29" t="s">
        <v>77</v>
      </c>
      <c r="H11" s="29" t="s">
        <v>73</v>
      </c>
      <c r="I11" s="29">
        <f>'MERCADO TE'!$U$8</f>
        <v>4803.848</v>
      </c>
      <c r="J11" s="15"/>
      <c r="L11" s="26">
        <f>'TE BE'!$L$11*'TE BE'!$L$49</f>
        <v>0</v>
      </c>
      <c r="M11" s="26">
        <f>'TE BE'!$M$11*'TE BE'!$M$49</f>
        <v>1.439800804864372</v>
      </c>
      <c r="N11" s="26">
        <f>'TE BE'!$N$11*'TE BE'!$N$49</f>
        <v>0</v>
      </c>
      <c r="O11" s="26">
        <f>'TE BE'!$O$11*'TE BE'!$O$49</f>
        <v>0</v>
      </c>
      <c r="P11" s="26">
        <f>'TE BE'!$P$11*'TE BE'!$P$49</f>
        <v>0</v>
      </c>
      <c r="Q11" s="26">
        <f>SUM($L$11:$P$11)</f>
        <v>1.439800804864372</v>
      </c>
      <c r="R11" s="26">
        <f>'TE BE'!$R$11*'TE BE'!$R$49</f>
        <v>13.425378437459326</v>
      </c>
      <c r="S11" s="26">
        <f>SUM($R$11:$R$11)</f>
        <v>13.425378437459326</v>
      </c>
      <c r="T11" s="26">
        <f>'TE BE'!$T$11*'TE BE'!$T$49</f>
        <v>0</v>
      </c>
      <c r="U11" s="26">
        <f>'TE BE'!$U$11*'TE BE'!$U$49</f>
        <v>0</v>
      </c>
      <c r="V11" s="26">
        <f>'TE BE'!$V$11*'TE BE'!$V$49</f>
        <v>0</v>
      </c>
      <c r="W11" s="26">
        <f>SUM($T$11:$V$11)</f>
        <v>0</v>
      </c>
      <c r="X11" s="26">
        <f>'TE BE'!$AB$11*'TE BE'!$X$49</f>
        <v>0</v>
      </c>
      <c r="Y11" s="26">
        <f>SUM($X$11:$X$11)</f>
        <v>0</v>
      </c>
      <c r="Z11" s="26">
        <f>'TE BE'!$Z$11*'TE BE'!$Z$49</f>
        <v>0.4709709905591864</v>
      </c>
      <c r="AA11" s="26">
        <f>SUM($Z$11:$Z$11)</f>
        <v>0.4709709905591864</v>
      </c>
      <c r="AB11" s="26">
        <f>SUMIF($L$4:$AA$4,"SUBTOTAL",$L$11:$AA$11)</f>
        <v>15.336150232882884</v>
      </c>
    </row>
    <row r="12" spans="1:28" ht="11.25" customHeight="1" x14ac:dyDescent="0.25">
      <c r="A12" s="120"/>
      <c r="B12" s="120"/>
      <c r="C12" s="120"/>
      <c r="D12" s="28" t="s">
        <v>29</v>
      </c>
      <c r="E12" s="28" t="s">
        <v>25</v>
      </c>
      <c r="F12" s="28" t="s">
        <v>25</v>
      </c>
      <c r="G12" s="29" t="s">
        <v>77</v>
      </c>
      <c r="H12" s="29" t="s">
        <v>73</v>
      </c>
      <c r="I12" s="29">
        <f>'MERCADO TE'!$U$9</f>
        <v>28.29</v>
      </c>
      <c r="J12" s="15"/>
      <c r="L12" s="26">
        <f>'TE BE'!$L$12*'TE BE'!$L$49</f>
        <v>0</v>
      </c>
      <c r="M12" s="26">
        <f>'TE BE'!$M$12*'TE BE'!$M$49</f>
        <v>1.439800804864372</v>
      </c>
      <c r="N12" s="26">
        <f>'TE BE'!$N$12*'TE BE'!$N$49</f>
        <v>0</v>
      </c>
      <c r="O12" s="26">
        <f>'TE BE'!$O$12*'TE BE'!$O$49</f>
        <v>0</v>
      </c>
      <c r="P12" s="26">
        <f>'TE BE'!$P$12*'TE BE'!$P$49</f>
        <v>0</v>
      </c>
      <c r="Q12" s="26">
        <f>SUM($L$12:$P$12)</f>
        <v>1.439800804864372</v>
      </c>
      <c r="R12" s="26">
        <f>'TE BE'!$R$12*'TE BE'!$R$49</f>
        <v>13.425378437459326</v>
      </c>
      <c r="S12" s="26">
        <f>SUM($R$12:$R$12)</f>
        <v>13.425378437459326</v>
      </c>
      <c r="T12" s="26">
        <f>'TE BE'!$T$12*'TE BE'!$T$49</f>
        <v>0</v>
      </c>
      <c r="U12" s="26">
        <f>'TE BE'!$U$12*'TE BE'!$U$49</f>
        <v>0</v>
      </c>
      <c r="V12" s="26">
        <f>'TE BE'!$V$12*'TE BE'!$V$49</f>
        <v>0</v>
      </c>
      <c r="W12" s="26">
        <f>SUM($T$12:$V$12)</f>
        <v>0</v>
      </c>
      <c r="X12" s="26">
        <f>'TE BE'!$AB$12*'TE BE'!$X$49</f>
        <v>0</v>
      </c>
      <c r="Y12" s="26">
        <f>SUM($X$12:$X$12)</f>
        <v>0</v>
      </c>
      <c r="Z12" s="26">
        <f>'TE BE'!$Z$12*'TE BE'!$Z$49</f>
        <v>0.4709709905591864</v>
      </c>
      <c r="AA12" s="26">
        <f>SUM($Z$12:$Z$12)</f>
        <v>0.4709709905591864</v>
      </c>
      <c r="AB12" s="26">
        <f>SUMIF($L$4:$AA$4,"SUBTOTAL",$L$12:$AA$12)</f>
        <v>15.336150232882884</v>
      </c>
    </row>
    <row r="13" spans="1:28" ht="11.25" customHeight="1" x14ac:dyDescent="0.25">
      <c r="A13" s="120"/>
      <c r="B13" s="120"/>
      <c r="C13" s="120"/>
      <c r="D13" s="28" t="s">
        <v>30</v>
      </c>
      <c r="E13" s="28" t="s">
        <v>25</v>
      </c>
      <c r="F13" s="28" t="s">
        <v>25</v>
      </c>
      <c r="G13" s="29" t="s">
        <v>77</v>
      </c>
      <c r="H13" s="29" t="s">
        <v>73</v>
      </c>
      <c r="I13" s="29">
        <f>'MERCADO TE'!$U$10</f>
        <v>50.516000000000005</v>
      </c>
      <c r="J13" s="15"/>
      <c r="L13" s="26">
        <f>'TE BE'!$L$13*'TE BE'!$L$49</f>
        <v>0</v>
      </c>
      <c r="M13" s="26">
        <f>'TE BE'!$M$13*'TE BE'!$M$49</f>
        <v>1.439800804864372</v>
      </c>
      <c r="N13" s="26">
        <f>'TE BE'!$N$13*'TE BE'!$N$49</f>
        <v>0</v>
      </c>
      <c r="O13" s="26">
        <f>'TE BE'!$O$13*'TE BE'!$O$49</f>
        <v>0</v>
      </c>
      <c r="P13" s="26">
        <f>'TE BE'!$P$13*'TE BE'!$P$49</f>
        <v>0</v>
      </c>
      <c r="Q13" s="26">
        <f>SUM($L$13:$P$13)</f>
        <v>1.439800804864372</v>
      </c>
      <c r="R13" s="26">
        <f>'TE BE'!$R$13*'TE BE'!$R$49</f>
        <v>13.425378437459326</v>
      </c>
      <c r="S13" s="26">
        <f>SUM($R$13:$R$13)</f>
        <v>13.425378437459326</v>
      </c>
      <c r="T13" s="26">
        <f>'TE BE'!$T$13*'TE BE'!$T$49</f>
        <v>0</v>
      </c>
      <c r="U13" s="26">
        <f>'TE BE'!$U$13*'TE BE'!$U$49</f>
        <v>0</v>
      </c>
      <c r="V13" s="26">
        <f>'TE BE'!$V$13*'TE BE'!$V$49</f>
        <v>0</v>
      </c>
      <c r="W13" s="26">
        <f>SUM($T$13:$V$13)</f>
        <v>0</v>
      </c>
      <c r="X13" s="26">
        <f>'TE BE'!$AB$13*'TE BE'!$X$49</f>
        <v>0</v>
      </c>
      <c r="Y13" s="26">
        <f>SUM($X$13:$X$13)</f>
        <v>0</v>
      </c>
      <c r="Z13" s="26">
        <f>'TE BE'!$Z$13*'TE BE'!$Z$49</f>
        <v>0.4709709905591864</v>
      </c>
      <c r="AA13" s="26">
        <f>SUM($Z$13:$Z$13)</f>
        <v>0.4709709905591864</v>
      </c>
      <c r="AB13" s="26">
        <f>SUMIF($L$4:$AA$4,"SUBTOTAL",$L$13:$AA$13)</f>
        <v>15.336150232882884</v>
      </c>
    </row>
    <row r="14" spans="1:28" ht="11.25" customHeight="1" x14ac:dyDescent="0.25">
      <c r="A14" s="120"/>
      <c r="B14" s="120"/>
      <c r="C14" s="120"/>
      <c r="D14" s="28" t="s">
        <v>31</v>
      </c>
      <c r="E14" s="28" t="s">
        <v>25</v>
      </c>
      <c r="F14" s="28" t="s">
        <v>25</v>
      </c>
      <c r="G14" s="29" t="s">
        <v>77</v>
      </c>
      <c r="H14" s="29" t="s">
        <v>73</v>
      </c>
      <c r="I14" s="29">
        <f>'MERCADO TE'!$U$11</f>
        <v>39.111000000000004</v>
      </c>
      <c r="J14" s="15"/>
      <c r="L14" s="26">
        <f>'TE BE'!$L$14*'TE BE'!$L$49</f>
        <v>0</v>
      </c>
      <c r="M14" s="26">
        <f>'TE BE'!$M$14*'TE BE'!$M$49</f>
        <v>1.439800804864372</v>
      </c>
      <c r="N14" s="26">
        <f>'TE BE'!$N$14*'TE BE'!$N$49</f>
        <v>0</v>
      </c>
      <c r="O14" s="26">
        <f>'TE BE'!$O$14*'TE BE'!$O$49</f>
        <v>0</v>
      </c>
      <c r="P14" s="26">
        <f>'TE BE'!$P$14*'TE BE'!$P$49</f>
        <v>0</v>
      </c>
      <c r="Q14" s="26">
        <f>SUM($L$14:$P$14)</f>
        <v>1.439800804864372</v>
      </c>
      <c r="R14" s="26">
        <f>'TE BE'!$R$14*'TE BE'!$R$49</f>
        <v>13.425378437459326</v>
      </c>
      <c r="S14" s="26">
        <f>SUM($R$14:$R$14)</f>
        <v>13.425378437459326</v>
      </c>
      <c r="T14" s="26">
        <f>'TE BE'!$T$14*'TE BE'!$T$49</f>
        <v>0</v>
      </c>
      <c r="U14" s="26">
        <f>'TE BE'!$U$14*'TE BE'!$U$49</f>
        <v>0</v>
      </c>
      <c r="V14" s="26">
        <f>'TE BE'!$V$14*'TE BE'!$V$49</f>
        <v>0</v>
      </c>
      <c r="W14" s="26">
        <f>SUM($T$14:$V$14)</f>
        <v>0</v>
      </c>
      <c r="X14" s="26">
        <f>'TE BE'!$AB$14*'TE BE'!$X$49</f>
        <v>0</v>
      </c>
      <c r="Y14" s="26">
        <f>SUM($X$14:$X$14)</f>
        <v>0</v>
      </c>
      <c r="Z14" s="26">
        <f>'TE BE'!$Z$14*'TE BE'!$Z$49</f>
        <v>0.4709709905591864</v>
      </c>
      <c r="AA14" s="26">
        <f>SUM($Z$14:$Z$14)</f>
        <v>0.4709709905591864</v>
      </c>
      <c r="AB14" s="26">
        <f>SUMIF($L$4:$AA$4,"SUBTOTAL",$L$14:$AA$14)</f>
        <v>15.336150232882884</v>
      </c>
    </row>
    <row r="15" spans="1:28" ht="11.25" customHeight="1" x14ac:dyDescent="0.25">
      <c r="A15" s="120"/>
      <c r="B15" s="120"/>
      <c r="C15" s="120"/>
      <c r="D15" s="28" t="s">
        <v>32</v>
      </c>
      <c r="E15" s="28" t="s">
        <v>25</v>
      </c>
      <c r="F15" s="28" t="s">
        <v>25</v>
      </c>
      <c r="G15" s="29" t="s">
        <v>77</v>
      </c>
      <c r="H15" s="29" t="s">
        <v>73</v>
      </c>
      <c r="I15" s="29">
        <f>'MERCADO TE'!$U$12</f>
        <v>10.074999999999999</v>
      </c>
      <c r="J15" s="15"/>
      <c r="L15" s="26">
        <f>'TE BE'!$L$15*'TE BE'!$L$49</f>
        <v>0</v>
      </c>
      <c r="M15" s="26">
        <f>'TE BE'!$M$15*'TE BE'!$M$49</f>
        <v>1.439800804864372</v>
      </c>
      <c r="N15" s="26">
        <f>'TE BE'!$N$15*'TE BE'!$N$49</f>
        <v>0</v>
      </c>
      <c r="O15" s="26">
        <f>'TE BE'!$O$15*'TE BE'!$O$49</f>
        <v>0</v>
      </c>
      <c r="P15" s="26">
        <f>'TE BE'!$P$15*'TE BE'!$P$49</f>
        <v>0</v>
      </c>
      <c r="Q15" s="26">
        <f>SUM($L$15:$P$15)</f>
        <v>1.439800804864372</v>
      </c>
      <c r="R15" s="26">
        <f>'TE BE'!$R$15*'TE BE'!$R$49</f>
        <v>13.425378437459326</v>
      </c>
      <c r="S15" s="26">
        <f>SUM($R$15:$R$15)</f>
        <v>13.425378437459326</v>
      </c>
      <c r="T15" s="26">
        <f>'TE BE'!$T$15*'TE BE'!$T$49</f>
        <v>0</v>
      </c>
      <c r="U15" s="26">
        <f>'TE BE'!$U$15*'TE BE'!$U$49</f>
        <v>0</v>
      </c>
      <c r="V15" s="26">
        <f>'TE BE'!$V$15*'TE BE'!$V$49</f>
        <v>0</v>
      </c>
      <c r="W15" s="26">
        <f>SUM($T$15:$V$15)</f>
        <v>0</v>
      </c>
      <c r="X15" s="26">
        <f>'TE BE'!$AB$15*'TE BE'!$X$49</f>
        <v>0</v>
      </c>
      <c r="Y15" s="26">
        <f>SUM($X$15:$X$15)</f>
        <v>0</v>
      </c>
      <c r="Z15" s="26">
        <f>'TE BE'!$Z$15*'TE BE'!$Z$49</f>
        <v>0.4709709905591864</v>
      </c>
      <c r="AA15" s="26">
        <f>SUM($Z$15:$Z$15)</f>
        <v>0.4709709905591864</v>
      </c>
      <c r="AB15" s="26">
        <f>SUMIF($L$4:$AA$4,"SUBTOTAL",$L$15:$AA$15)</f>
        <v>15.336150232882884</v>
      </c>
    </row>
    <row r="16" spans="1:28" ht="11.25" customHeight="1" x14ac:dyDescent="0.25">
      <c r="A16" s="120"/>
      <c r="B16" s="120" t="s">
        <v>87</v>
      </c>
      <c r="C16" s="120" t="s">
        <v>24</v>
      </c>
      <c r="D16" s="28" t="s">
        <v>24</v>
      </c>
      <c r="E16" s="28" t="s">
        <v>25</v>
      </c>
      <c r="F16" s="28" t="s">
        <v>25</v>
      </c>
      <c r="G16" s="29" t="s">
        <v>77</v>
      </c>
      <c r="H16" s="29" t="s">
        <v>73</v>
      </c>
      <c r="I16" s="29">
        <f>'MERCADO TE'!$U$13</f>
        <v>0</v>
      </c>
      <c r="J16" s="15"/>
      <c r="L16" s="26">
        <f>'TE BE'!$L$16*'TE BE'!$L$49</f>
        <v>0</v>
      </c>
      <c r="M16" s="26">
        <f>'TE BE'!$M$16*'TE BE'!$M$49</f>
        <v>1.439800804864372</v>
      </c>
      <c r="N16" s="26">
        <f>'TE BE'!$N$16*'TE BE'!$N$49</f>
        <v>0</v>
      </c>
      <c r="O16" s="26">
        <f>'TE BE'!$O$16*'TE BE'!$O$49</f>
        <v>0</v>
      </c>
      <c r="P16" s="26">
        <f>'TE BE'!$P$16*'TE BE'!$P$49</f>
        <v>0</v>
      </c>
      <c r="Q16" s="26">
        <f>SUM($L$16:$P$16)</f>
        <v>1.439800804864372</v>
      </c>
      <c r="R16" s="26">
        <f>'TE BE'!$R$16*'TE BE'!$R$49</f>
        <v>13.425378437459326</v>
      </c>
      <c r="S16" s="26">
        <f>SUM($R$16:$R$16)</f>
        <v>13.425378437459326</v>
      </c>
      <c r="T16" s="26">
        <f>'TE BE'!$T$16*'TE BE'!$T$49</f>
        <v>0</v>
      </c>
      <c r="U16" s="26">
        <f>'TE BE'!$U$16*'TE BE'!$U$49</f>
        <v>0</v>
      </c>
      <c r="V16" s="26">
        <f>'TE BE'!$V$16*'TE BE'!$V$49</f>
        <v>0</v>
      </c>
      <c r="W16" s="26">
        <f>SUM($T$16:$V$16)</f>
        <v>0</v>
      </c>
      <c r="X16" s="26">
        <f>'TE BE'!$AB$16*'TE BE'!$X$49</f>
        <v>0</v>
      </c>
      <c r="Y16" s="26">
        <f>SUM($X$16:$X$16)</f>
        <v>0</v>
      </c>
      <c r="Z16" s="26">
        <f>'TE BE'!$Z$16*'TE BE'!$Z$49</f>
        <v>0.4709709905591864</v>
      </c>
      <c r="AA16" s="26">
        <f>SUM($Z$16:$Z$16)</f>
        <v>0.4709709905591864</v>
      </c>
      <c r="AB16" s="26">
        <f>SUMIF($L$4:$AA$4,"SUBTOTAL",$L$16:$AA$16)</f>
        <v>15.336150232882884</v>
      </c>
    </row>
    <row r="17" spans="1:28" ht="11.25" customHeight="1" x14ac:dyDescent="0.25">
      <c r="A17" s="120"/>
      <c r="B17" s="120"/>
      <c r="C17" s="120"/>
      <c r="D17" s="28" t="s">
        <v>29</v>
      </c>
      <c r="E17" s="28" t="s">
        <v>25</v>
      </c>
      <c r="F17" s="28" t="s">
        <v>25</v>
      </c>
      <c r="G17" s="29" t="s">
        <v>77</v>
      </c>
      <c r="H17" s="29" t="s">
        <v>73</v>
      </c>
      <c r="I17" s="29">
        <f>'MERCADO TE'!$U$14</f>
        <v>0</v>
      </c>
      <c r="J17" s="15"/>
      <c r="L17" s="26">
        <f>'TE BE'!$L$17*'TE BE'!$L$49</f>
        <v>0</v>
      </c>
      <c r="M17" s="26">
        <f>'TE BE'!$M$17*'TE BE'!$M$49</f>
        <v>1.439800804864372</v>
      </c>
      <c r="N17" s="26">
        <f>'TE BE'!$N$17*'TE BE'!$N$49</f>
        <v>0</v>
      </c>
      <c r="O17" s="26">
        <f>'TE BE'!$O$17*'TE BE'!$O$49</f>
        <v>0</v>
      </c>
      <c r="P17" s="26">
        <f>'TE BE'!$P$17*'TE BE'!$P$49</f>
        <v>0</v>
      </c>
      <c r="Q17" s="26">
        <f>SUM($L$17:$P$17)</f>
        <v>1.439800804864372</v>
      </c>
      <c r="R17" s="26">
        <f>'TE BE'!$R$17*'TE BE'!$R$49</f>
        <v>13.425378437459326</v>
      </c>
      <c r="S17" s="26">
        <f>SUM($R$17:$R$17)</f>
        <v>13.425378437459326</v>
      </c>
      <c r="T17" s="26">
        <f>'TE BE'!$T$17*'TE BE'!$T$49</f>
        <v>0</v>
      </c>
      <c r="U17" s="26">
        <f>'TE BE'!$U$17*'TE BE'!$U$49</f>
        <v>0</v>
      </c>
      <c r="V17" s="26">
        <f>'TE BE'!$V$17*'TE BE'!$V$49</f>
        <v>0</v>
      </c>
      <c r="W17" s="26">
        <f>SUM($T$17:$V$17)</f>
        <v>0</v>
      </c>
      <c r="X17" s="26">
        <f>'TE BE'!$AB$17*'TE BE'!$X$49</f>
        <v>0</v>
      </c>
      <c r="Y17" s="26">
        <f>SUM($X$17:$X$17)</f>
        <v>0</v>
      </c>
      <c r="Z17" s="26">
        <f>'TE BE'!$Z$17*'TE BE'!$Z$49</f>
        <v>0.4709709905591864</v>
      </c>
      <c r="AA17" s="26">
        <f>SUM($Z$17:$Z$17)</f>
        <v>0.4709709905591864</v>
      </c>
      <c r="AB17" s="26">
        <f>SUMIF($L$4:$AA$4,"SUBTOTAL",$L$17:$AA$17)</f>
        <v>15.336150232882884</v>
      </c>
    </row>
    <row r="18" spans="1:28" ht="11.25" customHeight="1" x14ac:dyDescent="0.25">
      <c r="A18" s="120"/>
      <c r="B18" s="120"/>
      <c r="C18" s="120"/>
      <c r="D18" s="28" t="s">
        <v>30</v>
      </c>
      <c r="E18" s="28" t="s">
        <v>25</v>
      </c>
      <c r="F18" s="28" t="s">
        <v>25</v>
      </c>
      <c r="G18" s="29" t="s">
        <v>77</v>
      </c>
      <c r="H18" s="29" t="s">
        <v>73</v>
      </c>
      <c r="I18" s="29">
        <f>'MERCADO TE'!$U$15</f>
        <v>0</v>
      </c>
      <c r="J18" s="15"/>
      <c r="L18" s="26">
        <f>'TE BE'!$L$18*'TE BE'!$L$49</f>
        <v>0</v>
      </c>
      <c r="M18" s="26">
        <f>'TE BE'!$M$18*'TE BE'!$M$49</f>
        <v>1.439800804864372</v>
      </c>
      <c r="N18" s="26">
        <f>'TE BE'!$N$18*'TE BE'!$N$49</f>
        <v>0</v>
      </c>
      <c r="O18" s="26">
        <f>'TE BE'!$O$18*'TE BE'!$O$49</f>
        <v>0</v>
      </c>
      <c r="P18" s="26">
        <f>'TE BE'!$P$18*'TE BE'!$P$49</f>
        <v>0</v>
      </c>
      <c r="Q18" s="26">
        <f>SUM($L$18:$P$18)</f>
        <v>1.439800804864372</v>
      </c>
      <c r="R18" s="26">
        <f>'TE BE'!$R$18*'TE BE'!$R$49</f>
        <v>13.425378437459326</v>
      </c>
      <c r="S18" s="26">
        <f>SUM($R$18:$R$18)</f>
        <v>13.425378437459326</v>
      </c>
      <c r="T18" s="26">
        <f>'TE BE'!$T$18*'TE BE'!$T$49</f>
        <v>0</v>
      </c>
      <c r="U18" s="26">
        <f>'TE BE'!$U$18*'TE BE'!$U$49</f>
        <v>0</v>
      </c>
      <c r="V18" s="26">
        <f>'TE BE'!$V$18*'TE BE'!$V$49</f>
        <v>0</v>
      </c>
      <c r="W18" s="26">
        <f>SUM($T$18:$V$18)</f>
        <v>0</v>
      </c>
      <c r="X18" s="26">
        <f>'TE BE'!$AB$18*'TE BE'!$X$49</f>
        <v>0</v>
      </c>
      <c r="Y18" s="26">
        <f>SUM($X$18:$X$18)</f>
        <v>0</v>
      </c>
      <c r="Z18" s="26">
        <f>'TE BE'!$Z$18*'TE BE'!$Z$49</f>
        <v>0.4709709905591864</v>
      </c>
      <c r="AA18" s="26">
        <f>SUM($Z$18:$Z$18)</f>
        <v>0.4709709905591864</v>
      </c>
      <c r="AB18" s="26">
        <f>SUMIF($L$4:$AA$4,"SUBTOTAL",$L$18:$AA$18)</f>
        <v>15.336150232882884</v>
      </c>
    </row>
    <row r="19" spans="1:28" ht="11.25" customHeight="1" x14ac:dyDescent="0.25">
      <c r="A19" s="120"/>
      <c r="B19" s="120"/>
      <c r="C19" s="120"/>
      <c r="D19" s="28" t="s">
        <v>31</v>
      </c>
      <c r="E19" s="28" t="s">
        <v>25</v>
      </c>
      <c r="F19" s="28" t="s">
        <v>25</v>
      </c>
      <c r="G19" s="29" t="s">
        <v>77</v>
      </c>
      <c r="H19" s="29" t="s">
        <v>73</v>
      </c>
      <c r="I19" s="29">
        <f>'MERCADO TE'!$U$16</f>
        <v>0</v>
      </c>
      <c r="J19" s="15"/>
      <c r="L19" s="26">
        <f>'TE BE'!$L$19*'TE BE'!$L$49</f>
        <v>0</v>
      </c>
      <c r="M19" s="26">
        <f>'TE BE'!$M$19*'TE BE'!$M$49</f>
        <v>1.439800804864372</v>
      </c>
      <c r="N19" s="26">
        <f>'TE BE'!$N$19*'TE BE'!$N$49</f>
        <v>0</v>
      </c>
      <c r="O19" s="26">
        <f>'TE BE'!$O$19*'TE BE'!$O$49</f>
        <v>0</v>
      </c>
      <c r="P19" s="26">
        <f>'TE BE'!$P$19*'TE BE'!$P$49</f>
        <v>0</v>
      </c>
      <c r="Q19" s="26">
        <f>SUM($L$19:$P$19)</f>
        <v>1.439800804864372</v>
      </c>
      <c r="R19" s="26">
        <f>'TE BE'!$R$19*'TE BE'!$R$49</f>
        <v>13.425378437459326</v>
      </c>
      <c r="S19" s="26">
        <f>SUM($R$19:$R$19)</f>
        <v>13.425378437459326</v>
      </c>
      <c r="T19" s="26">
        <f>'TE BE'!$T$19*'TE BE'!$T$49</f>
        <v>0</v>
      </c>
      <c r="U19" s="26">
        <f>'TE BE'!$U$19*'TE BE'!$U$49</f>
        <v>0</v>
      </c>
      <c r="V19" s="26">
        <f>'TE BE'!$V$19*'TE BE'!$V$49</f>
        <v>0</v>
      </c>
      <c r="W19" s="26">
        <f>SUM($T$19:$V$19)</f>
        <v>0</v>
      </c>
      <c r="X19" s="26">
        <f>'TE BE'!$AB$19*'TE BE'!$X$49</f>
        <v>0</v>
      </c>
      <c r="Y19" s="26">
        <f>SUM($X$19:$X$19)</f>
        <v>0</v>
      </c>
      <c r="Z19" s="26">
        <f>'TE BE'!$Z$19*'TE BE'!$Z$49</f>
        <v>0.4709709905591864</v>
      </c>
      <c r="AA19" s="26">
        <f>SUM($Z$19:$Z$19)</f>
        <v>0.4709709905591864</v>
      </c>
      <c r="AB19" s="26">
        <f>SUMIF($L$4:$AA$4,"SUBTOTAL",$L$19:$AA$19)</f>
        <v>15.336150232882884</v>
      </c>
    </row>
    <row r="20" spans="1:28" ht="11.25" customHeight="1" x14ac:dyDescent="0.25">
      <c r="A20" s="120"/>
      <c r="B20" s="120"/>
      <c r="C20" s="120"/>
      <c r="D20" s="28" t="s">
        <v>32</v>
      </c>
      <c r="E20" s="28" t="s">
        <v>25</v>
      </c>
      <c r="F20" s="28" t="s">
        <v>25</v>
      </c>
      <c r="G20" s="29" t="s">
        <v>77</v>
      </c>
      <c r="H20" s="29" t="s">
        <v>73</v>
      </c>
      <c r="I20" s="29">
        <f>'MERCADO TE'!$U$17</f>
        <v>0</v>
      </c>
      <c r="J20" s="15"/>
      <c r="L20" s="26">
        <f>'TE BE'!$L$20*'TE BE'!$L$49</f>
        <v>0</v>
      </c>
      <c r="M20" s="26">
        <f>'TE BE'!$M$20*'TE BE'!$M$49</f>
        <v>1.439800804864372</v>
      </c>
      <c r="N20" s="26">
        <f>'TE BE'!$N$20*'TE BE'!$N$49</f>
        <v>0</v>
      </c>
      <c r="O20" s="26">
        <f>'TE BE'!$O$20*'TE BE'!$O$49</f>
        <v>0</v>
      </c>
      <c r="P20" s="26">
        <f>'TE BE'!$P$20*'TE BE'!$P$49</f>
        <v>0</v>
      </c>
      <c r="Q20" s="26">
        <f>SUM($L$20:$P$20)</f>
        <v>1.439800804864372</v>
      </c>
      <c r="R20" s="26">
        <f>'TE BE'!$R$20*'TE BE'!$R$49</f>
        <v>13.425378437459326</v>
      </c>
      <c r="S20" s="26">
        <f>SUM($R$20:$R$20)</f>
        <v>13.425378437459326</v>
      </c>
      <c r="T20" s="26">
        <f>'TE BE'!$T$20*'TE BE'!$T$49</f>
        <v>0</v>
      </c>
      <c r="U20" s="26">
        <f>'TE BE'!$U$20*'TE BE'!$U$49</f>
        <v>0</v>
      </c>
      <c r="V20" s="26">
        <f>'TE BE'!$V$20*'TE BE'!$V$49</f>
        <v>0</v>
      </c>
      <c r="W20" s="26">
        <f>SUM($T$20:$V$20)</f>
        <v>0</v>
      </c>
      <c r="X20" s="26">
        <f>'TE BE'!$AB$20*'TE BE'!$X$49</f>
        <v>0</v>
      </c>
      <c r="Y20" s="26">
        <f>SUM($X$20:$X$20)</f>
        <v>0</v>
      </c>
      <c r="Z20" s="26">
        <f>'TE BE'!$Z$20*'TE BE'!$Z$49</f>
        <v>0.4709709905591864</v>
      </c>
      <c r="AA20" s="26">
        <f>SUM($Z$20:$Z$20)</f>
        <v>0.4709709905591864</v>
      </c>
      <c r="AB20" s="26">
        <f>SUMIF($L$4:$AA$4,"SUBTOTAL",$L$20:$AA$20)</f>
        <v>15.336150232882884</v>
      </c>
    </row>
    <row r="21" spans="1:28" ht="11.25" customHeight="1" x14ac:dyDescent="0.25">
      <c r="A21" s="120" t="s">
        <v>41</v>
      </c>
      <c r="B21" s="120" t="s">
        <v>72</v>
      </c>
      <c r="C21" s="120" t="s">
        <v>42</v>
      </c>
      <c r="D21" s="120" t="s">
        <v>25</v>
      </c>
      <c r="E21" s="120" t="s">
        <v>25</v>
      </c>
      <c r="F21" s="120" t="s">
        <v>25</v>
      </c>
      <c r="G21" s="29" t="s">
        <v>74</v>
      </c>
      <c r="H21" s="29" t="s">
        <v>73</v>
      </c>
      <c r="I21" s="29">
        <f>'MERCADO TE'!$U$18</f>
        <v>0</v>
      </c>
      <c r="J21" s="15"/>
      <c r="L21" s="26">
        <f>'TE BE'!$L$21*'TE BE'!$L$49</f>
        <v>0</v>
      </c>
      <c r="M21" s="26">
        <f>'TE BE'!$M$21*'TE BE'!$M$49</f>
        <v>1.439800804864372</v>
      </c>
      <c r="N21" s="26">
        <f>'TE BE'!$N$21*'TE BE'!$N$49</f>
        <v>0</v>
      </c>
      <c r="O21" s="26">
        <f>'TE BE'!$O$21*'TE BE'!$O$49</f>
        <v>0</v>
      </c>
      <c r="P21" s="26">
        <f>'TE BE'!$P$21*'TE BE'!$P$49</f>
        <v>0</v>
      </c>
      <c r="Q21" s="26">
        <f>SUM($L$21:$P$21)</f>
        <v>1.439800804864372</v>
      </c>
      <c r="R21" s="26">
        <f>'TE BE'!$R$21*'TE BE'!$R$49</f>
        <v>13.425378437459326</v>
      </c>
      <c r="S21" s="26">
        <f>SUM($R$21:$R$21)</f>
        <v>13.425378437459326</v>
      </c>
      <c r="T21" s="26">
        <f>'TE BE'!$T$21*'TE BE'!$T$49</f>
        <v>0</v>
      </c>
      <c r="U21" s="26">
        <f>'TE BE'!$U$21*'TE BE'!$U$49</f>
        <v>0</v>
      </c>
      <c r="V21" s="26">
        <f>'TE BE'!$V$21*'TE BE'!$V$49</f>
        <v>0</v>
      </c>
      <c r="W21" s="26">
        <f>SUM($T$21:$V$21)</f>
        <v>0</v>
      </c>
      <c r="X21" s="26">
        <f>'TE BE'!$AB$21*'TE BE'!$X$49</f>
        <v>0</v>
      </c>
      <c r="Y21" s="26">
        <f>SUM($X$21:$X$21)</f>
        <v>0</v>
      </c>
      <c r="Z21" s="26">
        <f>'TE BE'!$Z$21*'TE BE'!$Z$49</f>
        <v>0.4709709905591864</v>
      </c>
      <c r="AA21" s="26">
        <f>SUM($Z$21:$Z$21)</f>
        <v>0.4709709905591864</v>
      </c>
      <c r="AB21" s="26">
        <f>SUMIF($L$4:$AA$4,"SUBTOTAL",$L$21:$AA$21)</f>
        <v>15.336150232882884</v>
      </c>
    </row>
    <row r="22" spans="1:28" ht="11.25" customHeight="1" x14ac:dyDescent="0.25">
      <c r="A22" s="120"/>
      <c r="B22" s="120"/>
      <c r="C22" s="120"/>
      <c r="D22" s="120"/>
      <c r="E22" s="120"/>
      <c r="F22" s="120"/>
      <c r="G22" s="29" t="s">
        <v>85</v>
      </c>
      <c r="H22" s="29" t="s">
        <v>73</v>
      </c>
      <c r="I22" s="29">
        <f>'MERCADO TE'!$U$19</f>
        <v>0</v>
      </c>
      <c r="J22" s="15"/>
      <c r="L22" s="26">
        <f>'TE BE'!$L$22*'TE BE'!$L$49</f>
        <v>0</v>
      </c>
      <c r="M22" s="26">
        <f>'TE BE'!$M$22*'TE BE'!$M$49</f>
        <v>1.439800804864372</v>
      </c>
      <c r="N22" s="26">
        <f>'TE BE'!$N$22*'TE BE'!$N$49</f>
        <v>0</v>
      </c>
      <c r="O22" s="26">
        <f>'TE BE'!$O$22*'TE BE'!$O$49</f>
        <v>0</v>
      </c>
      <c r="P22" s="26">
        <f>'TE BE'!$P$22*'TE BE'!$P$49</f>
        <v>0</v>
      </c>
      <c r="Q22" s="26">
        <f>SUM($L$22:$P$22)</f>
        <v>1.439800804864372</v>
      </c>
      <c r="R22" s="26">
        <f>'TE BE'!$R$22*'TE BE'!$R$49</f>
        <v>13.425378437459326</v>
      </c>
      <c r="S22" s="26">
        <f>SUM($R$22:$R$22)</f>
        <v>13.425378437459326</v>
      </c>
      <c r="T22" s="26">
        <f>'TE BE'!$T$22*'TE BE'!$T$49</f>
        <v>0</v>
      </c>
      <c r="U22" s="26">
        <f>'TE BE'!$U$22*'TE BE'!$U$49</f>
        <v>0</v>
      </c>
      <c r="V22" s="26">
        <f>'TE BE'!$V$22*'TE BE'!$V$49</f>
        <v>0</v>
      </c>
      <c r="W22" s="26">
        <f>SUM($T$22:$V$22)</f>
        <v>0</v>
      </c>
      <c r="X22" s="26">
        <f>'TE BE'!$AB$22*'TE BE'!$X$49</f>
        <v>0</v>
      </c>
      <c r="Y22" s="26">
        <f>SUM($X$22:$X$22)</f>
        <v>0</v>
      </c>
      <c r="Z22" s="26">
        <f>'TE BE'!$Z$22*'TE BE'!$Z$49</f>
        <v>0.4709709905591864</v>
      </c>
      <c r="AA22" s="26">
        <f>SUM($Z$22:$Z$22)</f>
        <v>0.4709709905591864</v>
      </c>
      <c r="AB22" s="26">
        <f>SUMIF($L$4:$AA$4,"SUBTOTAL",$L$22:$AA$22)</f>
        <v>15.336150232882884</v>
      </c>
    </row>
    <row r="23" spans="1:28" ht="11.25" customHeight="1" x14ac:dyDescent="0.25">
      <c r="A23" s="120"/>
      <c r="B23" s="120"/>
      <c r="C23" s="120"/>
      <c r="D23" s="120"/>
      <c r="E23" s="120"/>
      <c r="F23" s="120"/>
      <c r="G23" s="29" t="s">
        <v>75</v>
      </c>
      <c r="H23" s="29" t="s">
        <v>73</v>
      </c>
      <c r="I23" s="29">
        <f>'MERCADO TE'!$U$20</f>
        <v>0</v>
      </c>
      <c r="J23" s="15"/>
      <c r="L23" s="26">
        <f>'TE BE'!$L$23*'TE BE'!$L$49</f>
        <v>0</v>
      </c>
      <c r="M23" s="26">
        <f>'TE BE'!$M$23*'TE BE'!$M$49</f>
        <v>1.439800804864372</v>
      </c>
      <c r="N23" s="26">
        <f>'TE BE'!$N$23*'TE BE'!$N$49</f>
        <v>0</v>
      </c>
      <c r="O23" s="26">
        <f>'TE BE'!$O$23*'TE BE'!$O$49</f>
        <v>0</v>
      </c>
      <c r="P23" s="26">
        <f>'TE BE'!$P$23*'TE BE'!$P$49</f>
        <v>0</v>
      </c>
      <c r="Q23" s="26">
        <f>SUM($L$23:$P$23)</f>
        <v>1.439800804864372</v>
      </c>
      <c r="R23" s="26">
        <f>'TE BE'!$R$23*'TE BE'!$R$49</f>
        <v>13.425378437459326</v>
      </c>
      <c r="S23" s="26">
        <f>SUM($R$23:$R$23)</f>
        <v>13.425378437459326</v>
      </c>
      <c r="T23" s="26">
        <f>'TE BE'!$T$23*'TE BE'!$T$49</f>
        <v>0</v>
      </c>
      <c r="U23" s="26">
        <f>'TE BE'!$U$23*'TE BE'!$U$49</f>
        <v>0</v>
      </c>
      <c r="V23" s="26">
        <f>'TE BE'!$V$23*'TE BE'!$V$49</f>
        <v>0</v>
      </c>
      <c r="W23" s="26">
        <f>SUM($T$23:$V$23)</f>
        <v>0</v>
      </c>
      <c r="X23" s="26">
        <f>'TE BE'!$AB$23*'TE BE'!$X$49</f>
        <v>0</v>
      </c>
      <c r="Y23" s="26">
        <f>SUM($X$23:$X$23)</f>
        <v>0</v>
      </c>
      <c r="Z23" s="26">
        <f>'TE BE'!$Z$23*'TE BE'!$Z$49</f>
        <v>0.4709709905591864</v>
      </c>
      <c r="AA23" s="26">
        <f>SUM($Z$23:$Z$23)</f>
        <v>0.4709709905591864</v>
      </c>
      <c r="AB23" s="26">
        <f>SUMIF($L$4:$AA$4,"SUBTOTAL",$L$23:$AA$23)</f>
        <v>15.336150232882884</v>
      </c>
    </row>
    <row r="24" spans="1:28" ht="11.25" customHeight="1" x14ac:dyDescent="0.25">
      <c r="A24" s="120"/>
      <c r="B24" s="28" t="s">
        <v>76</v>
      </c>
      <c r="C24" s="28" t="s">
        <v>42</v>
      </c>
      <c r="D24" s="28" t="s">
        <v>25</v>
      </c>
      <c r="E24" s="28" t="s">
        <v>25</v>
      </c>
      <c r="F24" s="28" t="s">
        <v>25</v>
      </c>
      <c r="G24" s="29" t="s">
        <v>77</v>
      </c>
      <c r="H24" s="29" t="s">
        <v>73</v>
      </c>
      <c r="I24" s="29">
        <f>'MERCADO TE'!$U$21</f>
        <v>21333.253999999997</v>
      </c>
      <c r="J24" s="15"/>
      <c r="L24" s="26">
        <f>'TE BE'!$L$24*'TE BE'!$L$49</f>
        <v>0</v>
      </c>
      <c r="M24" s="26">
        <f>'TE BE'!$M$24*'TE BE'!$M$49</f>
        <v>1.439800804864372</v>
      </c>
      <c r="N24" s="26">
        <f>'TE BE'!$N$24*'TE BE'!$N$49</f>
        <v>0</v>
      </c>
      <c r="O24" s="26">
        <f>'TE BE'!$O$24*'TE BE'!$O$49</f>
        <v>0</v>
      </c>
      <c r="P24" s="26">
        <f>'TE BE'!$P$24*'TE BE'!$P$49</f>
        <v>0</v>
      </c>
      <c r="Q24" s="26">
        <f>SUM($L$24:$P$24)</f>
        <v>1.439800804864372</v>
      </c>
      <c r="R24" s="26">
        <f>'TE BE'!$R$24*'TE BE'!$R$49</f>
        <v>13.425378437459326</v>
      </c>
      <c r="S24" s="26">
        <f>SUM($R$24:$R$24)</f>
        <v>13.425378437459326</v>
      </c>
      <c r="T24" s="26">
        <f>'TE BE'!$T$24*'TE BE'!$T$49</f>
        <v>0</v>
      </c>
      <c r="U24" s="26">
        <f>'TE BE'!$U$24*'TE BE'!$U$49</f>
        <v>0</v>
      </c>
      <c r="V24" s="26">
        <f>'TE BE'!$V$24*'TE BE'!$V$49</f>
        <v>0</v>
      </c>
      <c r="W24" s="26">
        <f>SUM($T$24:$V$24)</f>
        <v>0</v>
      </c>
      <c r="X24" s="26">
        <f>'TE BE'!$AB$24*'TE BE'!$X$49</f>
        <v>0</v>
      </c>
      <c r="Y24" s="26">
        <f>SUM($X$24:$X$24)</f>
        <v>0</v>
      </c>
      <c r="Z24" s="26">
        <f>'TE BE'!$Z$24*'TE BE'!$Z$49</f>
        <v>0.4709709905591864</v>
      </c>
      <c r="AA24" s="26">
        <f>SUM($Z$24:$Z$24)</f>
        <v>0.4709709905591864</v>
      </c>
      <c r="AB24" s="26">
        <f>SUMIF($L$4:$AA$4,"SUBTOTAL",$L$24:$AA$24)</f>
        <v>15.336150232882884</v>
      </c>
    </row>
    <row r="25" spans="1:28" ht="11.25" customHeight="1" x14ac:dyDescent="0.25">
      <c r="A25" s="120"/>
      <c r="B25" s="120" t="s">
        <v>72</v>
      </c>
      <c r="C25" s="120" t="s">
        <v>42</v>
      </c>
      <c r="D25" s="120" t="s">
        <v>89</v>
      </c>
      <c r="E25" s="120" t="s">
        <v>25</v>
      </c>
      <c r="F25" s="120" t="s">
        <v>25</v>
      </c>
      <c r="G25" s="29" t="s">
        <v>74</v>
      </c>
      <c r="H25" s="29" t="s">
        <v>73</v>
      </c>
      <c r="I25" s="29">
        <f>'MERCADO TE'!$U$22</f>
        <v>0</v>
      </c>
      <c r="J25" s="15"/>
      <c r="L25" s="26">
        <f>'TE BE'!$L$25*'TE BE'!$L$49</f>
        <v>0</v>
      </c>
      <c r="M25" s="26">
        <f>'TE BE'!$M$25*'TE BE'!$M$49</f>
        <v>1.439800804864372</v>
      </c>
      <c r="N25" s="26">
        <f>'TE BE'!$N$25*'TE BE'!$N$49</f>
        <v>0</v>
      </c>
      <c r="O25" s="26">
        <f>'TE BE'!$O$25*'TE BE'!$O$49</f>
        <v>0</v>
      </c>
      <c r="P25" s="26">
        <f>'TE BE'!$P$25*'TE BE'!$P$49</f>
        <v>0</v>
      </c>
      <c r="Q25" s="26">
        <f>SUM($L$25:$P$25)</f>
        <v>1.439800804864372</v>
      </c>
      <c r="R25" s="26">
        <f>'TE BE'!$R$25*'TE BE'!$R$49</f>
        <v>13.425378437459326</v>
      </c>
      <c r="S25" s="26">
        <f>SUM($R$25:$R$25)</f>
        <v>13.425378437459326</v>
      </c>
      <c r="T25" s="26">
        <f>'TE BE'!$T$25*'TE BE'!$T$49</f>
        <v>0</v>
      </c>
      <c r="U25" s="26">
        <f>'TE BE'!$U$25*'TE BE'!$U$49</f>
        <v>0</v>
      </c>
      <c r="V25" s="26">
        <f>'TE BE'!$V$25*'TE BE'!$V$49</f>
        <v>0</v>
      </c>
      <c r="W25" s="26">
        <f>SUM($T$25:$V$25)</f>
        <v>0</v>
      </c>
      <c r="X25" s="26">
        <f>'TE BE'!$AB$25*'TE BE'!$X$49</f>
        <v>0</v>
      </c>
      <c r="Y25" s="26">
        <f>SUM($X$25:$X$25)</f>
        <v>0</v>
      </c>
      <c r="Z25" s="26">
        <f>'TE BE'!$Z$25*'TE BE'!$Z$49</f>
        <v>0.4709709905591864</v>
      </c>
      <c r="AA25" s="26">
        <f>SUM($Z$25:$Z$25)</f>
        <v>0.4709709905591864</v>
      </c>
      <c r="AB25" s="26">
        <f>SUMIF($L$4:$AA$4,"SUBTOTAL",$L$25:$AA$25)</f>
        <v>15.336150232882884</v>
      </c>
    </row>
    <row r="26" spans="1:28" ht="11.25" customHeight="1" x14ac:dyDescent="0.25">
      <c r="A26" s="120"/>
      <c r="B26" s="120"/>
      <c r="C26" s="120"/>
      <c r="D26" s="120"/>
      <c r="E26" s="120"/>
      <c r="F26" s="120"/>
      <c r="G26" s="29" t="s">
        <v>85</v>
      </c>
      <c r="H26" s="29" t="s">
        <v>73</v>
      </c>
      <c r="I26" s="29">
        <f>'MERCADO TE'!$U$23</f>
        <v>0</v>
      </c>
      <c r="J26" s="15"/>
      <c r="L26" s="26">
        <f>'TE BE'!$L$26*'TE BE'!$L$49</f>
        <v>0</v>
      </c>
      <c r="M26" s="26">
        <f>'TE BE'!$M$26*'TE BE'!$M$49</f>
        <v>1.439800804864372</v>
      </c>
      <c r="N26" s="26">
        <f>'TE BE'!$N$26*'TE BE'!$N$49</f>
        <v>0</v>
      </c>
      <c r="O26" s="26">
        <f>'TE BE'!$O$26*'TE BE'!$O$49</f>
        <v>0</v>
      </c>
      <c r="P26" s="26">
        <f>'TE BE'!$P$26*'TE BE'!$P$49</f>
        <v>0</v>
      </c>
      <c r="Q26" s="26">
        <f>SUM($L$26:$P$26)</f>
        <v>1.439800804864372</v>
      </c>
      <c r="R26" s="26">
        <f>'TE BE'!$R$26*'TE BE'!$R$49</f>
        <v>13.425378437459326</v>
      </c>
      <c r="S26" s="26">
        <f>SUM($R$26:$R$26)</f>
        <v>13.425378437459326</v>
      </c>
      <c r="T26" s="26">
        <f>'TE BE'!$T$26*'TE BE'!$T$49</f>
        <v>0</v>
      </c>
      <c r="U26" s="26">
        <f>'TE BE'!$U$26*'TE BE'!$U$49</f>
        <v>0</v>
      </c>
      <c r="V26" s="26">
        <f>'TE BE'!$V$26*'TE BE'!$V$49</f>
        <v>0</v>
      </c>
      <c r="W26" s="26">
        <f>SUM($T$26:$V$26)</f>
        <v>0</v>
      </c>
      <c r="X26" s="26">
        <f>'TE BE'!$AB$26*'TE BE'!$X$49</f>
        <v>0</v>
      </c>
      <c r="Y26" s="26">
        <f>SUM($X$26:$X$26)</f>
        <v>0</v>
      </c>
      <c r="Z26" s="26">
        <f>'TE BE'!$Z$26*'TE BE'!$Z$49</f>
        <v>0.4709709905591864</v>
      </c>
      <c r="AA26" s="26">
        <f>SUM($Z$26:$Z$26)</f>
        <v>0.4709709905591864</v>
      </c>
      <c r="AB26" s="26">
        <f>SUMIF($L$4:$AA$4,"SUBTOTAL",$L$26:$AA$26)</f>
        <v>15.336150232882884</v>
      </c>
    </row>
    <row r="27" spans="1:28" ht="11.25" customHeight="1" x14ac:dyDescent="0.25">
      <c r="A27" s="120"/>
      <c r="B27" s="120"/>
      <c r="C27" s="120"/>
      <c r="D27" s="120"/>
      <c r="E27" s="120"/>
      <c r="F27" s="120"/>
      <c r="G27" s="29" t="s">
        <v>75</v>
      </c>
      <c r="H27" s="29" t="s">
        <v>73</v>
      </c>
      <c r="I27" s="29">
        <f>'MERCADO TE'!$U$24</f>
        <v>0</v>
      </c>
      <c r="J27" s="15"/>
      <c r="L27" s="26">
        <f>'TE BE'!$L$27*'TE BE'!$L$49</f>
        <v>0</v>
      </c>
      <c r="M27" s="26">
        <f>'TE BE'!$M$27*'TE BE'!$M$49</f>
        <v>1.439800804864372</v>
      </c>
      <c r="N27" s="26">
        <f>'TE BE'!$N$27*'TE BE'!$N$49</f>
        <v>0</v>
      </c>
      <c r="O27" s="26">
        <f>'TE BE'!$O$27*'TE BE'!$O$49</f>
        <v>0</v>
      </c>
      <c r="P27" s="26">
        <f>'TE BE'!$P$27*'TE BE'!$P$49</f>
        <v>0</v>
      </c>
      <c r="Q27" s="26">
        <f>SUM($L$27:$P$27)</f>
        <v>1.439800804864372</v>
      </c>
      <c r="R27" s="26">
        <f>'TE BE'!$R$27*'TE BE'!$R$49</f>
        <v>13.425378437459326</v>
      </c>
      <c r="S27" s="26">
        <f>SUM($R$27:$R$27)</f>
        <v>13.425378437459326</v>
      </c>
      <c r="T27" s="26">
        <f>'TE BE'!$T$27*'TE BE'!$T$49</f>
        <v>0</v>
      </c>
      <c r="U27" s="26">
        <f>'TE BE'!$U$27*'TE BE'!$U$49</f>
        <v>0</v>
      </c>
      <c r="V27" s="26">
        <f>'TE BE'!$V$27*'TE BE'!$V$49</f>
        <v>0</v>
      </c>
      <c r="W27" s="26">
        <f>SUM($T$27:$V$27)</f>
        <v>0</v>
      </c>
      <c r="X27" s="26">
        <f>'TE BE'!$AB$27*'TE BE'!$X$49</f>
        <v>0</v>
      </c>
      <c r="Y27" s="26">
        <f>SUM($X$27:$X$27)</f>
        <v>0</v>
      </c>
      <c r="Z27" s="26">
        <f>'TE BE'!$Z$27*'TE BE'!$Z$49</f>
        <v>0.4709709905591864</v>
      </c>
      <c r="AA27" s="26">
        <f>SUM($Z$27:$Z$27)</f>
        <v>0.4709709905591864</v>
      </c>
      <c r="AB27" s="26">
        <f>SUMIF($L$4:$AA$4,"SUBTOTAL",$L$27:$AA$27)</f>
        <v>15.336150232882884</v>
      </c>
    </row>
    <row r="28" spans="1:28" ht="11.25" customHeight="1" x14ac:dyDescent="0.25">
      <c r="A28" s="120"/>
      <c r="B28" s="28" t="s">
        <v>76</v>
      </c>
      <c r="C28" s="28" t="s">
        <v>42</v>
      </c>
      <c r="D28" s="28" t="s">
        <v>89</v>
      </c>
      <c r="E28" s="28" t="s">
        <v>25</v>
      </c>
      <c r="F28" s="28" t="s">
        <v>25</v>
      </c>
      <c r="G28" s="29" t="s">
        <v>77</v>
      </c>
      <c r="H28" s="29" t="s">
        <v>73</v>
      </c>
      <c r="I28" s="29">
        <f>'MERCADO TE'!$U$25</f>
        <v>0</v>
      </c>
      <c r="J28" s="15"/>
      <c r="L28" s="26">
        <f>'TE BE'!$L$28*'TE BE'!$L$49</f>
        <v>0</v>
      </c>
      <c r="M28" s="26">
        <f>'TE BE'!$M$28*'TE BE'!$M$49</f>
        <v>1.439800804864372</v>
      </c>
      <c r="N28" s="26">
        <f>'TE BE'!$N$28*'TE BE'!$N$49</f>
        <v>0</v>
      </c>
      <c r="O28" s="26">
        <f>'TE BE'!$O$28*'TE BE'!$O$49</f>
        <v>0</v>
      </c>
      <c r="P28" s="26">
        <f>'TE BE'!$P$28*'TE BE'!$P$49</f>
        <v>0</v>
      </c>
      <c r="Q28" s="26">
        <f>SUM($L$28:$P$28)</f>
        <v>1.439800804864372</v>
      </c>
      <c r="R28" s="26">
        <f>'TE BE'!$R$28*'TE BE'!$R$49</f>
        <v>13.425378437459326</v>
      </c>
      <c r="S28" s="26">
        <f>SUM($R$28:$R$28)</f>
        <v>13.425378437459326</v>
      </c>
      <c r="T28" s="26">
        <f>'TE BE'!$T$28*'TE BE'!$T$49</f>
        <v>0</v>
      </c>
      <c r="U28" s="26">
        <f>'TE BE'!$U$28*'TE BE'!$U$49</f>
        <v>0</v>
      </c>
      <c r="V28" s="26">
        <f>'TE BE'!$V$28*'TE BE'!$V$49</f>
        <v>0</v>
      </c>
      <c r="W28" s="26">
        <f>SUM($T$28:$V$28)</f>
        <v>0</v>
      </c>
      <c r="X28" s="26">
        <f>'TE BE'!$AB$28*'TE BE'!$X$49</f>
        <v>0</v>
      </c>
      <c r="Y28" s="26">
        <f>SUM($X$28:$X$28)</f>
        <v>0</v>
      </c>
      <c r="Z28" s="26">
        <f>'TE BE'!$Z$28*'TE BE'!$Z$49</f>
        <v>0.4709709905591864</v>
      </c>
      <c r="AA28" s="26">
        <f>SUM($Z$28:$Z$28)</f>
        <v>0.4709709905591864</v>
      </c>
      <c r="AB28" s="26">
        <f>SUMIF($L$4:$AA$4,"SUBTOTAL",$L$28:$AA$28)</f>
        <v>15.336150232882884</v>
      </c>
    </row>
    <row r="29" spans="1:28" ht="11.25" customHeight="1" x14ac:dyDescent="0.25">
      <c r="A29" s="120"/>
      <c r="B29" s="120" t="s">
        <v>72</v>
      </c>
      <c r="C29" s="120" t="s">
        <v>42</v>
      </c>
      <c r="D29" s="120" t="s">
        <v>90</v>
      </c>
      <c r="E29" s="120" t="s">
        <v>25</v>
      </c>
      <c r="F29" s="120" t="s">
        <v>25</v>
      </c>
      <c r="G29" s="29" t="s">
        <v>74</v>
      </c>
      <c r="H29" s="29" t="s">
        <v>73</v>
      </c>
      <c r="I29" s="29">
        <f>'MERCADO TE'!$U$26</f>
        <v>0</v>
      </c>
      <c r="J29" s="15"/>
      <c r="L29" s="26">
        <f>'TE BE'!$L$29*'TE BE'!$L$49</f>
        <v>0</v>
      </c>
      <c r="M29" s="26">
        <f>'TE BE'!$M$29*'TE BE'!$M$49</f>
        <v>1.439800804864372</v>
      </c>
      <c r="N29" s="26">
        <f>'TE BE'!$N$29*'TE BE'!$N$49</f>
        <v>0</v>
      </c>
      <c r="O29" s="26">
        <f>'TE BE'!$O$29*'TE BE'!$O$49</f>
        <v>0</v>
      </c>
      <c r="P29" s="26">
        <f>'TE BE'!$P$29*'TE BE'!$P$49</f>
        <v>0</v>
      </c>
      <c r="Q29" s="26">
        <f>SUM($L$29:$P$29)</f>
        <v>1.439800804864372</v>
      </c>
      <c r="R29" s="26">
        <f>'TE BE'!$R$29*'TE BE'!$R$49</f>
        <v>13.425378437459326</v>
      </c>
      <c r="S29" s="26">
        <f>SUM($R$29:$R$29)</f>
        <v>13.425378437459326</v>
      </c>
      <c r="T29" s="26">
        <f>'TE BE'!$T$29*'TE BE'!$T$49</f>
        <v>0</v>
      </c>
      <c r="U29" s="26">
        <f>'TE BE'!$U$29*'TE BE'!$U$49</f>
        <v>0</v>
      </c>
      <c r="V29" s="26">
        <f>'TE BE'!$V$29*'TE BE'!$V$49</f>
        <v>0</v>
      </c>
      <c r="W29" s="26">
        <f>SUM($T$29:$V$29)</f>
        <v>0</v>
      </c>
      <c r="X29" s="26">
        <f>'TE BE'!$AB$29*'TE BE'!$X$49</f>
        <v>0</v>
      </c>
      <c r="Y29" s="26">
        <f>SUM($X$29:$X$29)</f>
        <v>0</v>
      </c>
      <c r="Z29" s="26">
        <f>'TE BE'!$Z$29*'TE BE'!$Z$49</f>
        <v>0.4709709905591864</v>
      </c>
      <c r="AA29" s="26">
        <f>SUM($Z$29:$Z$29)</f>
        <v>0.4709709905591864</v>
      </c>
      <c r="AB29" s="26">
        <f>SUMIF($L$4:$AA$4,"SUBTOTAL",$L$29:$AA$29)</f>
        <v>15.336150232882884</v>
      </c>
    </row>
    <row r="30" spans="1:28" ht="11.25" customHeight="1" x14ac:dyDescent="0.25">
      <c r="A30" s="120"/>
      <c r="B30" s="120"/>
      <c r="C30" s="120"/>
      <c r="D30" s="120"/>
      <c r="E30" s="120"/>
      <c r="F30" s="120"/>
      <c r="G30" s="29" t="s">
        <v>85</v>
      </c>
      <c r="H30" s="29" t="s">
        <v>73</v>
      </c>
      <c r="I30" s="29">
        <f>'MERCADO TE'!$U$27</f>
        <v>0</v>
      </c>
      <c r="J30" s="15"/>
      <c r="L30" s="26">
        <f>'TE BE'!$L$30*'TE BE'!$L$49</f>
        <v>0</v>
      </c>
      <c r="M30" s="26">
        <f>'TE BE'!$M$30*'TE BE'!$M$49</f>
        <v>1.439800804864372</v>
      </c>
      <c r="N30" s="26">
        <f>'TE BE'!$N$30*'TE BE'!$N$49</f>
        <v>0</v>
      </c>
      <c r="O30" s="26">
        <f>'TE BE'!$O$30*'TE BE'!$O$49</f>
        <v>0</v>
      </c>
      <c r="P30" s="26">
        <f>'TE BE'!$P$30*'TE BE'!$P$49</f>
        <v>0</v>
      </c>
      <c r="Q30" s="26">
        <f>SUM($L$30:$P$30)</f>
        <v>1.439800804864372</v>
      </c>
      <c r="R30" s="26">
        <f>'TE BE'!$R$30*'TE BE'!$R$49</f>
        <v>13.425378437459326</v>
      </c>
      <c r="S30" s="26">
        <f>SUM($R$30:$R$30)</f>
        <v>13.425378437459326</v>
      </c>
      <c r="T30" s="26">
        <f>'TE BE'!$T$30*'TE BE'!$T$49</f>
        <v>0</v>
      </c>
      <c r="U30" s="26">
        <f>'TE BE'!$U$30*'TE BE'!$U$49</f>
        <v>0</v>
      </c>
      <c r="V30" s="26">
        <f>'TE BE'!$V$30*'TE BE'!$V$49</f>
        <v>0</v>
      </c>
      <c r="W30" s="26">
        <f>SUM($T$30:$V$30)</f>
        <v>0</v>
      </c>
      <c r="X30" s="26">
        <f>'TE BE'!$AB$30*'TE BE'!$X$49</f>
        <v>0</v>
      </c>
      <c r="Y30" s="26">
        <f>SUM($X$30:$X$30)</f>
        <v>0</v>
      </c>
      <c r="Z30" s="26">
        <f>'TE BE'!$Z$30*'TE BE'!$Z$49</f>
        <v>0.4709709905591864</v>
      </c>
      <c r="AA30" s="26">
        <f>SUM($Z$30:$Z$30)</f>
        <v>0.4709709905591864</v>
      </c>
      <c r="AB30" s="26">
        <f>SUMIF($L$4:$AA$4,"SUBTOTAL",$L$30:$AA$30)</f>
        <v>15.336150232882884</v>
      </c>
    </row>
    <row r="31" spans="1:28" ht="11.25" customHeight="1" x14ac:dyDescent="0.25">
      <c r="A31" s="120"/>
      <c r="B31" s="120"/>
      <c r="C31" s="120"/>
      <c r="D31" s="120"/>
      <c r="E31" s="120"/>
      <c r="F31" s="120"/>
      <c r="G31" s="29" t="s">
        <v>75</v>
      </c>
      <c r="H31" s="29" t="s">
        <v>73</v>
      </c>
      <c r="I31" s="29">
        <f>'MERCADO TE'!$U$28</f>
        <v>0</v>
      </c>
      <c r="J31" s="15"/>
      <c r="L31" s="26">
        <f>'TE BE'!$L$31*'TE BE'!$L$49</f>
        <v>0</v>
      </c>
      <c r="M31" s="26">
        <f>'TE BE'!$M$31*'TE BE'!$M$49</f>
        <v>1.439800804864372</v>
      </c>
      <c r="N31" s="26">
        <f>'TE BE'!$N$31*'TE BE'!$N$49</f>
        <v>0</v>
      </c>
      <c r="O31" s="26">
        <f>'TE BE'!$O$31*'TE BE'!$O$49</f>
        <v>0</v>
      </c>
      <c r="P31" s="26">
        <f>'TE BE'!$P$31*'TE BE'!$P$49</f>
        <v>0</v>
      </c>
      <c r="Q31" s="26">
        <f>SUM($L$31:$P$31)</f>
        <v>1.439800804864372</v>
      </c>
      <c r="R31" s="26">
        <f>'TE BE'!$R$31*'TE BE'!$R$49</f>
        <v>13.425378437459326</v>
      </c>
      <c r="S31" s="26">
        <f>SUM($R$31:$R$31)</f>
        <v>13.425378437459326</v>
      </c>
      <c r="T31" s="26">
        <f>'TE BE'!$T$31*'TE BE'!$T$49</f>
        <v>0</v>
      </c>
      <c r="U31" s="26">
        <f>'TE BE'!$U$31*'TE BE'!$U$49</f>
        <v>0</v>
      </c>
      <c r="V31" s="26">
        <f>'TE BE'!$V$31*'TE BE'!$V$49</f>
        <v>0</v>
      </c>
      <c r="W31" s="26">
        <f>SUM($T$31:$V$31)</f>
        <v>0</v>
      </c>
      <c r="X31" s="26">
        <f>'TE BE'!$AB$31*'TE BE'!$X$49</f>
        <v>0</v>
      </c>
      <c r="Y31" s="26">
        <f>SUM($X$31:$X$31)</f>
        <v>0</v>
      </c>
      <c r="Z31" s="26">
        <f>'TE BE'!$Z$31*'TE BE'!$Z$49</f>
        <v>0.4709709905591864</v>
      </c>
      <c r="AA31" s="26">
        <f>SUM($Z$31:$Z$31)</f>
        <v>0.4709709905591864</v>
      </c>
      <c r="AB31" s="26">
        <f>SUMIF($L$4:$AA$4,"SUBTOTAL",$L$31:$AA$31)</f>
        <v>15.336150232882884</v>
      </c>
    </row>
    <row r="32" spans="1:28" ht="11.25" customHeight="1" x14ac:dyDescent="0.25">
      <c r="A32" s="120"/>
      <c r="B32" s="28" t="s">
        <v>76</v>
      </c>
      <c r="C32" s="28" t="s">
        <v>42</v>
      </c>
      <c r="D32" s="28" t="s">
        <v>90</v>
      </c>
      <c r="E32" s="28" t="s">
        <v>25</v>
      </c>
      <c r="F32" s="28" t="s">
        <v>25</v>
      </c>
      <c r="G32" s="29" t="s">
        <v>77</v>
      </c>
      <c r="H32" s="29" t="s">
        <v>73</v>
      </c>
      <c r="I32" s="29">
        <f>'MERCADO TE'!$U$29</f>
        <v>0</v>
      </c>
      <c r="J32" s="15"/>
      <c r="L32" s="26">
        <f>'TE BE'!$L$32*'TE BE'!$L$49</f>
        <v>0</v>
      </c>
      <c r="M32" s="26">
        <f>'TE BE'!$M$32*'TE BE'!$M$49</f>
        <v>1.439800804864372</v>
      </c>
      <c r="N32" s="26">
        <f>'TE BE'!$N$32*'TE BE'!$N$49</f>
        <v>0</v>
      </c>
      <c r="O32" s="26">
        <f>'TE BE'!$O$32*'TE BE'!$O$49</f>
        <v>0</v>
      </c>
      <c r="P32" s="26">
        <f>'TE BE'!$P$32*'TE BE'!$P$49</f>
        <v>0</v>
      </c>
      <c r="Q32" s="26">
        <f>SUM($L$32:$P$32)</f>
        <v>1.439800804864372</v>
      </c>
      <c r="R32" s="26">
        <f>'TE BE'!$R$32*'TE BE'!$R$49</f>
        <v>13.425378437459326</v>
      </c>
      <c r="S32" s="26">
        <f>SUM($R$32:$R$32)</f>
        <v>13.425378437459326</v>
      </c>
      <c r="T32" s="26">
        <f>'TE BE'!$T$32*'TE BE'!$T$49</f>
        <v>0</v>
      </c>
      <c r="U32" s="26">
        <f>'TE BE'!$U$32*'TE BE'!$U$49</f>
        <v>0</v>
      </c>
      <c r="V32" s="26">
        <f>'TE BE'!$V$32*'TE BE'!$V$49</f>
        <v>0</v>
      </c>
      <c r="W32" s="26">
        <f>SUM($T$32:$V$32)</f>
        <v>0</v>
      </c>
      <c r="X32" s="26">
        <f>'TE BE'!$AB$32*'TE BE'!$X$49</f>
        <v>0</v>
      </c>
      <c r="Y32" s="26">
        <f>SUM($X$32:$X$32)</f>
        <v>0</v>
      </c>
      <c r="Z32" s="26">
        <f>'TE BE'!$Z$32*'TE BE'!$Z$49</f>
        <v>0.4709709905591864</v>
      </c>
      <c r="AA32" s="26">
        <f>SUM($Z$32:$Z$32)</f>
        <v>0.4709709905591864</v>
      </c>
      <c r="AB32" s="26">
        <f>SUMIF($L$4:$AA$4,"SUBTOTAL",$L$32:$AA$32)</f>
        <v>15.336150232882884</v>
      </c>
    </row>
    <row r="33" spans="1:28" ht="11.25" customHeight="1" x14ac:dyDescent="0.25">
      <c r="A33" s="120"/>
      <c r="B33" s="120" t="s">
        <v>87</v>
      </c>
      <c r="C33" s="120" t="s">
        <v>42</v>
      </c>
      <c r="D33" s="28" t="s">
        <v>25</v>
      </c>
      <c r="E33" s="28" t="s">
        <v>25</v>
      </c>
      <c r="F33" s="28" t="s">
        <v>25</v>
      </c>
      <c r="G33" s="29" t="s">
        <v>77</v>
      </c>
      <c r="H33" s="29" t="s">
        <v>73</v>
      </c>
      <c r="I33" s="29">
        <f>'MERCADO TE'!$U$30</f>
        <v>0</v>
      </c>
      <c r="J33" s="15"/>
      <c r="L33" s="26">
        <f>'TE BE'!$L$33*'TE BE'!$L$49</f>
        <v>0</v>
      </c>
      <c r="M33" s="26">
        <f>'TE BE'!$M$33*'TE BE'!$M$49</f>
        <v>1.439800804864372</v>
      </c>
      <c r="N33" s="26">
        <f>'TE BE'!$N$33*'TE BE'!$N$49</f>
        <v>0</v>
      </c>
      <c r="O33" s="26">
        <f>'TE BE'!$O$33*'TE BE'!$O$49</f>
        <v>0</v>
      </c>
      <c r="P33" s="26">
        <f>'TE BE'!$P$33*'TE BE'!$P$49</f>
        <v>0</v>
      </c>
      <c r="Q33" s="26">
        <f>SUM($L$33:$P$33)</f>
        <v>1.439800804864372</v>
      </c>
      <c r="R33" s="26">
        <f>'TE BE'!$R$33*'TE BE'!$R$49</f>
        <v>13.425378437459326</v>
      </c>
      <c r="S33" s="26">
        <f>SUM($R$33:$R$33)</f>
        <v>13.425378437459326</v>
      </c>
      <c r="T33" s="26">
        <f>'TE BE'!$T$33*'TE BE'!$T$49</f>
        <v>0</v>
      </c>
      <c r="U33" s="26">
        <f>'TE BE'!$U$33*'TE BE'!$U$49</f>
        <v>0</v>
      </c>
      <c r="V33" s="26">
        <f>'TE BE'!$V$33*'TE BE'!$V$49</f>
        <v>0</v>
      </c>
      <c r="W33" s="26">
        <f>SUM($T$33:$V$33)</f>
        <v>0</v>
      </c>
      <c r="X33" s="26">
        <f>'TE BE'!$AB$33*'TE BE'!$X$49</f>
        <v>0</v>
      </c>
      <c r="Y33" s="26">
        <f>SUM($X$33:$X$33)</f>
        <v>0</v>
      </c>
      <c r="Z33" s="26">
        <f>'TE BE'!$Z$33*'TE BE'!$Z$49</f>
        <v>0.4709709905591864</v>
      </c>
      <c r="AA33" s="26">
        <f>SUM($Z$33:$Z$33)</f>
        <v>0.4709709905591864</v>
      </c>
      <c r="AB33" s="26">
        <f>SUMIF($L$4:$AA$4,"SUBTOTAL",$L$33:$AA$33)</f>
        <v>15.336150232882884</v>
      </c>
    </row>
    <row r="34" spans="1:28" ht="11.25" customHeight="1" x14ac:dyDescent="0.25">
      <c r="A34" s="120"/>
      <c r="B34" s="120"/>
      <c r="C34" s="120"/>
      <c r="D34" s="28" t="s">
        <v>89</v>
      </c>
      <c r="E34" s="28" t="s">
        <v>25</v>
      </c>
      <c r="F34" s="28" t="s">
        <v>25</v>
      </c>
      <c r="G34" s="29" t="s">
        <v>77</v>
      </c>
      <c r="H34" s="29" t="s">
        <v>73</v>
      </c>
      <c r="I34" s="29">
        <f>'MERCADO TE'!$U$31</f>
        <v>0</v>
      </c>
      <c r="J34" s="15"/>
      <c r="L34" s="26">
        <f>'TE BE'!$L$34*'TE BE'!$L$49</f>
        <v>0</v>
      </c>
      <c r="M34" s="26">
        <f>'TE BE'!$M$34*'TE BE'!$M$49</f>
        <v>1.439800804864372</v>
      </c>
      <c r="N34" s="26">
        <f>'TE BE'!$N$34*'TE BE'!$N$49</f>
        <v>0</v>
      </c>
      <c r="O34" s="26">
        <f>'TE BE'!$O$34*'TE BE'!$O$49</f>
        <v>0</v>
      </c>
      <c r="P34" s="26">
        <f>'TE BE'!$P$34*'TE BE'!$P$49</f>
        <v>0</v>
      </c>
      <c r="Q34" s="26">
        <f>SUM($L$34:$P$34)</f>
        <v>1.439800804864372</v>
      </c>
      <c r="R34" s="26">
        <f>'TE BE'!$R$34*'TE BE'!$R$49</f>
        <v>13.425378437459326</v>
      </c>
      <c r="S34" s="26">
        <f>SUM($R$34:$R$34)</f>
        <v>13.425378437459326</v>
      </c>
      <c r="T34" s="26">
        <f>'TE BE'!$T$34*'TE BE'!$T$49</f>
        <v>0</v>
      </c>
      <c r="U34" s="26">
        <f>'TE BE'!$U$34*'TE BE'!$U$49</f>
        <v>0</v>
      </c>
      <c r="V34" s="26">
        <f>'TE BE'!$V$34*'TE BE'!$V$49</f>
        <v>0</v>
      </c>
      <c r="W34" s="26">
        <f>SUM($T$34:$V$34)</f>
        <v>0</v>
      </c>
      <c r="X34" s="26">
        <f>'TE BE'!$AB$34*'TE BE'!$X$49</f>
        <v>0</v>
      </c>
      <c r="Y34" s="26">
        <f>SUM($X$34:$X$34)</f>
        <v>0</v>
      </c>
      <c r="Z34" s="26">
        <f>'TE BE'!$Z$34*'TE BE'!$Z$49</f>
        <v>0.4709709905591864</v>
      </c>
      <c r="AA34" s="26">
        <f>SUM($Z$34:$Z$34)</f>
        <v>0.4709709905591864</v>
      </c>
      <c r="AB34" s="26">
        <f>SUMIF($L$4:$AA$4,"SUBTOTAL",$L$34:$AA$34)</f>
        <v>15.336150232882884</v>
      </c>
    </row>
    <row r="35" spans="1:28" ht="11.25" customHeight="1" x14ac:dyDescent="0.25">
      <c r="A35" s="120"/>
      <c r="B35" s="120"/>
      <c r="C35" s="120"/>
      <c r="D35" s="28" t="s">
        <v>90</v>
      </c>
      <c r="E35" s="28" t="s">
        <v>25</v>
      </c>
      <c r="F35" s="28" t="s">
        <v>25</v>
      </c>
      <c r="G35" s="29" t="s">
        <v>77</v>
      </c>
      <c r="H35" s="29" t="s">
        <v>73</v>
      </c>
      <c r="I35" s="29">
        <f>'MERCADO TE'!$U$32</f>
        <v>0</v>
      </c>
      <c r="J35" s="15"/>
      <c r="L35" s="26">
        <f>'TE BE'!$L$35*'TE BE'!$L$49</f>
        <v>0</v>
      </c>
      <c r="M35" s="26">
        <f>'TE BE'!$M$35*'TE BE'!$M$49</f>
        <v>1.439800804864372</v>
      </c>
      <c r="N35" s="26">
        <f>'TE BE'!$N$35*'TE BE'!$N$49</f>
        <v>0</v>
      </c>
      <c r="O35" s="26">
        <f>'TE BE'!$O$35*'TE BE'!$O$49</f>
        <v>0</v>
      </c>
      <c r="P35" s="26">
        <f>'TE BE'!$P$35*'TE BE'!$P$49</f>
        <v>0</v>
      </c>
      <c r="Q35" s="26">
        <f>SUM($L$35:$P$35)</f>
        <v>1.439800804864372</v>
      </c>
      <c r="R35" s="26">
        <f>'TE BE'!$R$35*'TE BE'!$R$49</f>
        <v>13.425378437459326</v>
      </c>
      <c r="S35" s="26">
        <f>SUM($R$35:$R$35)</f>
        <v>13.425378437459326</v>
      </c>
      <c r="T35" s="26">
        <f>'TE BE'!$T$35*'TE BE'!$T$49</f>
        <v>0</v>
      </c>
      <c r="U35" s="26">
        <f>'TE BE'!$U$35*'TE BE'!$U$49</f>
        <v>0</v>
      </c>
      <c r="V35" s="26">
        <f>'TE BE'!$V$35*'TE BE'!$V$49</f>
        <v>0</v>
      </c>
      <c r="W35" s="26">
        <f>SUM($T$35:$V$35)</f>
        <v>0</v>
      </c>
      <c r="X35" s="26">
        <f>'TE BE'!$AB$35*'TE BE'!$X$49</f>
        <v>0</v>
      </c>
      <c r="Y35" s="26">
        <f>SUM($X$35:$X$35)</f>
        <v>0</v>
      </c>
      <c r="Z35" s="26">
        <f>'TE BE'!$Z$35*'TE BE'!$Z$49</f>
        <v>0.4709709905591864</v>
      </c>
      <c r="AA35" s="26">
        <f>SUM($Z$35:$Z$35)</f>
        <v>0.4709709905591864</v>
      </c>
      <c r="AB35" s="26">
        <f>SUMIF($L$4:$AA$4,"SUBTOTAL",$L$35:$AA$35)</f>
        <v>15.336150232882884</v>
      </c>
    </row>
    <row r="36" spans="1:28" ht="11.25" customHeight="1" x14ac:dyDescent="0.25">
      <c r="A36" s="120" t="s">
        <v>33</v>
      </c>
      <c r="B36" s="120" t="s">
        <v>72</v>
      </c>
      <c r="C36" s="120" t="s">
        <v>25</v>
      </c>
      <c r="D36" s="120" t="s">
        <v>25</v>
      </c>
      <c r="E36" s="120" t="s">
        <v>25</v>
      </c>
      <c r="F36" s="120" t="s">
        <v>25</v>
      </c>
      <c r="G36" s="29" t="s">
        <v>74</v>
      </c>
      <c r="H36" s="29" t="s">
        <v>73</v>
      </c>
      <c r="I36" s="29">
        <f>'MERCADO TE'!$U$33</f>
        <v>0</v>
      </c>
      <c r="J36" s="15"/>
      <c r="L36" s="26">
        <f>'TE BE'!$L$36*'TE BE'!$L$49</f>
        <v>0</v>
      </c>
      <c r="M36" s="26">
        <f>'TE BE'!$M$36*'TE BE'!$M$49</f>
        <v>1.439800804864372</v>
      </c>
      <c r="N36" s="26">
        <f>'TE BE'!$N$36*'TE BE'!$N$49</f>
        <v>0</v>
      </c>
      <c r="O36" s="26">
        <f>'TE BE'!$O$36*'TE BE'!$O$49</f>
        <v>0</v>
      </c>
      <c r="P36" s="26">
        <f>'TE BE'!$P$36*'TE BE'!$P$49</f>
        <v>0</v>
      </c>
      <c r="Q36" s="26">
        <f>SUM($L$36:$P$36)</f>
        <v>1.439800804864372</v>
      </c>
      <c r="R36" s="26">
        <f>'TE BE'!$R$36*'TE BE'!$R$49</f>
        <v>13.425378437459326</v>
      </c>
      <c r="S36" s="26">
        <f>SUM($R$36:$R$36)</f>
        <v>13.425378437459326</v>
      </c>
      <c r="T36" s="26">
        <f>'TE BE'!$T$36*'TE BE'!$T$49</f>
        <v>0</v>
      </c>
      <c r="U36" s="26">
        <f>'TE BE'!$U$36*'TE BE'!$U$49</f>
        <v>0</v>
      </c>
      <c r="V36" s="26">
        <f>'TE BE'!$V$36*'TE BE'!$V$49</f>
        <v>0</v>
      </c>
      <c r="W36" s="26">
        <f>SUM($T$36:$V$36)</f>
        <v>0</v>
      </c>
      <c r="X36" s="26">
        <f>'TE BE'!$AB$36*'TE BE'!$X$49</f>
        <v>0</v>
      </c>
      <c r="Y36" s="26">
        <f>SUM($X$36:$X$36)</f>
        <v>0</v>
      </c>
      <c r="Z36" s="26">
        <f>'TE BE'!$Z$36*'TE BE'!$Z$49</f>
        <v>0.4709709905591864</v>
      </c>
      <c r="AA36" s="26">
        <f>SUM($Z$36:$Z$36)</f>
        <v>0.4709709905591864</v>
      </c>
      <c r="AB36" s="26">
        <f>SUMIF($L$4:$AA$4,"SUBTOTAL",$L$36:$AA$36)</f>
        <v>15.336150232882884</v>
      </c>
    </row>
    <row r="37" spans="1:28" ht="11.25" customHeight="1" x14ac:dyDescent="0.25">
      <c r="A37" s="120"/>
      <c r="B37" s="120"/>
      <c r="C37" s="120"/>
      <c r="D37" s="120"/>
      <c r="E37" s="120"/>
      <c r="F37" s="120"/>
      <c r="G37" s="29" t="s">
        <v>85</v>
      </c>
      <c r="H37" s="29" t="s">
        <v>73</v>
      </c>
      <c r="I37" s="29">
        <f>'MERCADO TE'!$U$34</f>
        <v>0</v>
      </c>
      <c r="J37" s="15"/>
      <c r="L37" s="26">
        <f>'TE BE'!$L$37*'TE BE'!$L$49</f>
        <v>0</v>
      </c>
      <c r="M37" s="26">
        <f>'TE BE'!$M$37*'TE BE'!$M$49</f>
        <v>1.439800804864372</v>
      </c>
      <c r="N37" s="26">
        <f>'TE BE'!$N$37*'TE BE'!$N$49</f>
        <v>0</v>
      </c>
      <c r="O37" s="26">
        <f>'TE BE'!$O$37*'TE BE'!$O$49</f>
        <v>0</v>
      </c>
      <c r="P37" s="26">
        <f>'TE BE'!$P$37*'TE BE'!$P$49</f>
        <v>0</v>
      </c>
      <c r="Q37" s="26">
        <f>SUM($L$37:$P$37)</f>
        <v>1.439800804864372</v>
      </c>
      <c r="R37" s="26">
        <f>'TE BE'!$R$37*'TE BE'!$R$49</f>
        <v>13.425378437459326</v>
      </c>
      <c r="S37" s="26">
        <f>SUM($R$37:$R$37)</f>
        <v>13.425378437459326</v>
      </c>
      <c r="T37" s="26">
        <f>'TE BE'!$T$37*'TE BE'!$T$49</f>
        <v>0</v>
      </c>
      <c r="U37" s="26">
        <f>'TE BE'!$U$37*'TE BE'!$U$49</f>
        <v>0</v>
      </c>
      <c r="V37" s="26">
        <f>'TE BE'!$V$37*'TE BE'!$V$49</f>
        <v>0</v>
      </c>
      <c r="W37" s="26">
        <f>SUM($T$37:$V$37)</f>
        <v>0</v>
      </c>
      <c r="X37" s="26">
        <f>'TE BE'!$AB$37*'TE BE'!$X$49</f>
        <v>0</v>
      </c>
      <c r="Y37" s="26">
        <f>SUM($X$37:$X$37)</f>
        <v>0</v>
      </c>
      <c r="Z37" s="26">
        <f>'TE BE'!$Z$37*'TE BE'!$Z$49</f>
        <v>0.4709709905591864</v>
      </c>
      <c r="AA37" s="26">
        <f>SUM($Z$37:$Z$37)</f>
        <v>0.4709709905591864</v>
      </c>
      <c r="AB37" s="26">
        <f>SUMIF($L$4:$AA$4,"SUBTOTAL",$L$37:$AA$37)</f>
        <v>15.336150232882884</v>
      </c>
    </row>
    <row r="38" spans="1:28" ht="11.25" customHeight="1" x14ac:dyDescent="0.25">
      <c r="A38" s="120"/>
      <c r="B38" s="120"/>
      <c r="C38" s="120"/>
      <c r="D38" s="120"/>
      <c r="E38" s="120"/>
      <c r="F38" s="120"/>
      <c r="G38" s="29" t="s">
        <v>75</v>
      </c>
      <c r="H38" s="29" t="s">
        <v>73</v>
      </c>
      <c r="I38" s="29">
        <f>'MERCADO TE'!$U$35</f>
        <v>0</v>
      </c>
      <c r="J38" s="15"/>
      <c r="L38" s="26">
        <f>'TE BE'!$L$38*'TE BE'!$L$49</f>
        <v>0</v>
      </c>
      <c r="M38" s="26">
        <f>'TE BE'!$M$38*'TE BE'!$M$49</f>
        <v>1.439800804864372</v>
      </c>
      <c r="N38" s="26">
        <f>'TE BE'!$N$38*'TE BE'!$N$49</f>
        <v>0</v>
      </c>
      <c r="O38" s="26">
        <f>'TE BE'!$O$38*'TE BE'!$O$49</f>
        <v>0</v>
      </c>
      <c r="P38" s="26">
        <f>'TE BE'!$P$38*'TE BE'!$P$49</f>
        <v>0</v>
      </c>
      <c r="Q38" s="26">
        <f>SUM($L$38:$P$38)</f>
        <v>1.439800804864372</v>
      </c>
      <c r="R38" s="26">
        <f>'TE BE'!$R$38*'TE BE'!$R$49</f>
        <v>13.425378437459326</v>
      </c>
      <c r="S38" s="26">
        <f>SUM($R$38:$R$38)</f>
        <v>13.425378437459326</v>
      </c>
      <c r="T38" s="26">
        <f>'TE BE'!$T$38*'TE BE'!$T$49</f>
        <v>0</v>
      </c>
      <c r="U38" s="26">
        <f>'TE BE'!$U$38*'TE BE'!$U$49</f>
        <v>0</v>
      </c>
      <c r="V38" s="26">
        <f>'TE BE'!$V$38*'TE BE'!$V$49</f>
        <v>0</v>
      </c>
      <c r="W38" s="26">
        <f>SUM($T$38:$V$38)</f>
        <v>0</v>
      </c>
      <c r="X38" s="26">
        <f>'TE BE'!$AB$38*'TE BE'!$X$49</f>
        <v>0</v>
      </c>
      <c r="Y38" s="26">
        <f>SUM($X$38:$X$38)</f>
        <v>0</v>
      </c>
      <c r="Z38" s="26">
        <f>'TE BE'!$Z$38*'TE BE'!$Z$49</f>
        <v>0.4709709905591864</v>
      </c>
      <c r="AA38" s="26">
        <f>SUM($Z$38:$Z$38)</f>
        <v>0.4709709905591864</v>
      </c>
      <c r="AB38" s="26">
        <f>SUMIF($L$4:$AA$4,"SUBTOTAL",$L$38:$AA$38)</f>
        <v>15.336150232882884</v>
      </c>
    </row>
    <row r="39" spans="1:28" ht="11.25" customHeight="1" x14ac:dyDescent="0.25">
      <c r="A39" s="120"/>
      <c r="B39" s="28" t="s">
        <v>76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77</v>
      </c>
      <c r="H39" s="29" t="s">
        <v>73</v>
      </c>
      <c r="I39" s="29">
        <f>'MERCADO TE'!$U$36</f>
        <v>3162.4160000000002</v>
      </c>
      <c r="J39" s="15"/>
      <c r="L39" s="26">
        <f>'TE BE'!$L$39*'TE BE'!$L$49</f>
        <v>0</v>
      </c>
      <c r="M39" s="26">
        <f>'TE BE'!$M$39*'TE BE'!$M$49</f>
        <v>1.439800804864372</v>
      </c>
      <c r="N39" s="26">
        <f>'TE BE'!$N$39*'TE BE'!$N$49</f>
        <v>0</v>
      </c>
      <c r="O39" s="26">
        <f>'TE BE'!$O$39*'TE BE'!$O$49</f>
        <v>0</v>
      </c>
      <c r="P39" s="26">
        <f>'TE BE'!$P$39*'TE BE'!$P$49</f>
        <v>0</v>
      </c>
      <c r="Q39" s="26">
        <f>SUM($L$39:$P$39)</f>
        <v>1.439800804864372</v>
      </c>
      <c r="R39" s="26">
        <f>'TE BE'!$R$39*'TE BE'!$R$49</f>
        <v>13.425378437459326</v>
      </c>
      <c r="S39" s="26">
        <f>SUM($R$39:$R$39)</f>
        <v>13.425378437459326</v>
      </c>
      <c r="T39" s="26">
        <f>'TE BE'!$T$39*'TE BE'!$T$49</f>
        <v>0</v>
      </c>
      <c r="U39" s="26">
        <f>'TE BE'!$U$39*'TE BE'!$U$49</f>
        <v>0</v>
      </c>
      <c r="V39" s="26">
        <f>'TE BE'!$V$39*'TE BE'!$V$49</f>
        <v>0</v>
      </c>
      <c r="W39" s="26">
        <f>SUM($T$39:$V$39)</f>
        <v>0</v>
      </c>
      <c r="X39" s="26">
        <f>'TE BE'!$AB$39*'TE BE'!$X$49</f>
        <v>0</v>
      </c>
      <c r="Y39" s="26">
        <f>SUM($X$39:$X$39)</f>
        <v>0</v>
      </c>
      <c r="Z39" s="26">
        <f>'TE BE'!$Z$39*'TE BE'!$Z$49</f>
        <v>0.4709709905591864</v>
      </c>
      <c r="AA39" s="26">
        <f>SUM($Z$39:$Z$39)</f>
        <v>0.4709709905591864</v>
      </c>
      <c r="AB39" s="26">
        <f>SUMIF($L$4:$AA$4,"SUBTOTAL",$L$39:$AA$39)</f>
        <v>15.336150232882884</v>
      </c>
    </row>
    <row r="40" spans="1:28" ht="11.25" customHeight="1" x14ac:dyDescent="0.25">
      <c r="A40" s="120"/>
      <c r="B40" s="28" t="s">
        <v>87</v>
      </c>
      <c r="C40" s="28" t="s">
        <v>25</v>
      </c>
      <c r="D40" s="28" t="s">
        <v>25</v>
      </c>
      <c r="E40" s="28" t="s">
        <v>25</v>
      </c>
      <c r="F40" s="28" t="s">
        <v>25</v>
      </c>
      <c r="G40" s="29" t="s">
        <v>77</v>
      </c>
      <c r="H40" s="29" t="s">
        <v>73</v>
      </c>
      <c r="I40" s="29">
        <f>'MERCADO TE'!$U$37</f>
        <v>0</v>
      </c>
      <c r="J40" s="15"/>
      <c r="L40" s="26">
        <f>'TE BE'!$L$40*'TE BE'!$L$49</f>
        <v>0</v>
      </c>
      <c r="M40" s="26">
        <f>'TE BE'!$M$40*'TE BE'!$M$49</f>
        <v>1.439800804864372</v>
      </c>
      <c r="N40" s="26">
        <f>'TE BE'!$N$40*'TE BE'!$N$49</f>
        <v>0</v>
      </c>
      <c r="O40" s="26">
        <f>'TE BE'!$O$40*'TE BE'!$O$49</f>
        <v>0</v>
      </c>
      <c r="P40" s="26">
        <f>'TE BE'!$P$40*'TE BE'!$P$49</f>
        <v>0</v>
      </c>
      <c r="Q40" s="26">
        <f>SUM($L$40:$P$40)</f>
        <v>1.439800804864372</v>
      </c>
      <c r="R40" s="26">
        <f>'TE BE'!$R$40*'TE BE'!$R$49</f>
        <v>13.425378437459326</v>
      </c>
      <c r="S40" s="26">
        <f>SUM($R$40:$R$40)</f>
        <v>13.425378437459326</v>
      </c>
      <c r="T40" s="26">
        <f>'TE BE'!$T$40*'TE BE'!$T$49</f>
        <v>0</v>
      </c>
      <c r="U40" s="26">
        <f>'TE BE'!$U$40*'TE BE'!$U$49</f>
        <v>0</v>
      </c>
      <c r="V40" s="26">
        <f>'TE BE'!$V$40*'TE BE'!$V$49</f>
        <v>0</v>
      </c>
      <c r="W40" s="26">
        <f>SUM($T$40:$V$40)</f>
        <v>0</v>
      </c>
      <c r="X40" s="26">
        <f>'TE BE'!$AB$40*'TE BE'!$X$49</f>
        <v>0</v>
      </c>
      <c r="Y40" s="26">
        <f>SUM($X$40:$X$40)</f>
        <v>0</v>
      </c>
      <c r="Z40" s="26">
        <f>'TE BE'!$Z$40*'TE BE'!$Z$49</f>
        <v>0.4709709905591864</v>
      </c>
      <c r="AA40" s="26">
        <f>SUM($Z$40:$Z$40)</f>
        <v>0.4709709905591864</v>
      </c>
      <c r="AB40" s="26">
        <f>SUMIF($L$4:$AA$4,"SUBTOTAL",$L$40:$AA$40)</f>
        <v>15.336150232882884</v>
      </c>
    </row>
    <row r="41" spans="1:28" ht="11.25" customHeight="1" x14ac:dyDescent="0.25">
      <c r="A41" s="120" t="s">
        <v>44</v>
      </c>
      <c r="B41" s="120" t="s">
        <v>76</v>
      </c>
      <c r="C41" s="120" t="s">
        <v>45</v>
      </c>
      <c r="D41" s="28" t="s">
        <v>46</v>
      </c>
      <c r="E41" s="28" t="s">
        <v>25</v>
      </c>
      <c r="F41" s="28" t="s">
        <v>25</v>
      </c>
      <c r="G41" s="29" t="s">
        <v>77</v>
      </c>
      <c r="H41" s="29" t="s">
        <v>73</v>
      </c>
      <c r="I41" s="29">
        <f>'MERCADO TE'!$U$38</f>
        <v>905.86099999999999</v>
      </c>
      <c r="J41" s="15"/>
      <c r="L41" s="26">
        <f>'TE BE'!$L$41*'TE BE'!$L$49</f>
        <v>0</v>
      </c>
      <c r="M41" s="26">
        <f>'TE BE'!$M$41*'TE BE'!$M$49</f>
        <v>0.79189044267540465</v>
      </c>
      <c r="N41" s="26">
        <f>'TE BE'!$N$41*'TE BE'!$N$49</f>
        <v>0</v>
      </c>
      <c r="O41" s="26">
        <f>'TE BE'!$O$41*'TE BE'!$O$49</f>
        <v>0</v>
      </c>
      <c r="P41" s="26">
        <f>'TE BE'!$P$41*'TE BE'!$P$49</f>
        <v>0</v>
      </c>
      <c r="Q41" s="26">
        <f>SUM($L$41:$P$41)</f>
        <v>0.79189044267540465</v>
      </c>
      <c r="R41" s="26">
        <f>'TE BE'!$R$41*'TE BE'!$R$49</f>
        <v>7.3839581406026298</v>
      </c>
      <c r="S41" s="26">
        <f>SUM($R$41:$R$41)</f>
        <v>7.3839581406026298</v>
      </c>
      <c r="T41" s="26">
        <f>'TE BE'!$T$41*'TE BE'!$T$49</f>
        <v>0</v>
      </c>
      <c r="U41" s="26">
        <f>'TE BE'!$U$41*'TE BE'!$U$49</f>
        <v>0</v>
      </c>
      <c r="V41" s="26">
        <f>'TE BE'!$V$41*'TE BE'!$V$49</f>
        <v>0</v>
      </c>
      <c r="W41" s="26">
        <f>SUM($T$41:$V$41)</f>
        <v>0</v>
      </c>
      <c r="X41" s="26">
        <f>'TE BE'!$AB$41*'TE BE'!$X$49</f>
        <v>0</v>
      </c>
      <c r="Y41" s="26">
        <f>SUM($X$41:$X$41)</f>
        <v>0</v>
      </c>
      <c r="Z41" s="26">
        <f>'TE BE'!$Z$41*'TE BE'!$Z$49</f>
        <v>0.25903404480755254</v>
      </c>
      <c r="AA41" s="26">
        <f>SUM($Z$41:$Z$41)</f>
        <v>0.25903404480755254</v>
      </c>
      <c r="AB41" s="26">
        <f>SUMIF($L$4:$AA$4,"SUBTOTAL",$L$41:$AA$41)</f>
        <v>8.4348826280855871</v>
      </c>
    </row>
    <row r="42" spans="1:28" ht="11.25" customHeight="1" x14ac:dyDescent="0.25">
      <c r="A42" s="120"/>
      <c r="B42" s="120"/>
      <c r="C42" s="120"/>
      <c r="D42" s="29" t="s">
        <v>91</v>
      </c>
      <c r="E42" s="29" t="s">
        <v>25</v>
      </c>
      <c r="F42" s="29" t="s">
        <v>25</v>
      </c>
      <c r="G42" s="29" t="s">
        <v>77</v>
      </c>
      <c r="H42" s="29" t="s">
        <v>73</v>
      </c>
      <c r="I42" s="29">
        <f>'MERCADO TE'!$U$39</f>
        <v>0</v>
      </c>
      <c r="J42" s="15"/>
      <c r="L42" s="26">
        <f>'TE BE'!$L$42*'TE BE'!$L$49</f>
        <v>0</v>
      </c>
      <c r="M42" s="26">
        <f>'TE BE'!$M$42*'TE BE'!$M$49</f>
        <v>0.86388048291862318</v>
      </c>
      <c r="N42" s="26">
        <f>'TE BE'!$N$42*'TE BE'!$N$49</f>
        <v>0</v>
      </c>
      <c r="O42" s="26">
        <f>'TE BE'!$O$42*'TE BE'!$O$49</f>
        <v>0</v>
      </c>
      <c r="P42" s="26">
        <f>'TE BE'!$P$42*'TE BE'!$P$49</f>
        <v>0</v>
      </c>
      <c r="Q42" s="26">
        <f>SUM($L$42:$P$42)</f>
        <v>0.86388048291862318</v>
      </c>
      <c r="R42" s="26">
        <f>'TE BE'!$R$42*'TE BE'!$R$49</f>
        <v>8.0552270624755948</v>
      </c>
      <c r="S42" s="26">
        <f>SUM($R$42:$R$42)</f>
        <v>8.0552270624755948</v>
      </c>
      <c r="T42" s="26">
        <f>'TE BE'!$T$42*'TE BE'!$T$49</f>
        <v>0</v>
      </c>
      <c r="U42" s="26">
        <f>'TE BE'!$U$42*'TE BE'!$U$49</f>
        <v>0</v>
      </c>
      <c r="V42" s="26">
        <f>'TE BE'!$V$42*'TE BE'!$V$49</f>
        <v>0</v>
      </c>
      <c r="W42" s="26">
        <f>SUM($T$42:$V$42)</f>
        <v>0</v>
      </c>
      <c r="X42" s="26">
        <f>'TE BE'!$AB$42*'TE BE'!$X$49</f>
        <v>0</v>
      </c>
      <c r="Y42" s="26">
        <f>SUM($X$42:$X$42)</f>
        <v>0</v>
      </c>
      <c r="Z42" s="26">
        <f>'TE BE'!$Z$42*'TE BE'!$Z$49</f>
        <v>0.28258259433551186</v>
      </c>
      <c r="AA42" s="26">
        <f>SUM($Z$42:$Z$42)</f>
        <v>0.28258259433551186</v>
      </c>
      <c r="AB42" s="26">
        <f>SUMIF($L$4:$AA$4,"SUBTOTAL",$L$42:$AA$42)</f>
        <v>9.2016901397297293</v>
      </c>
    </row>
    <row r="44" spans="1:28" ht="11.25" customHeight="1" x14ac:dyDescent="0.25">
      <c r="K44" s="31" t="s">
        <v>510</v>
      </c>
      <c r="L44" s="26">
        <f t="shared" ref="L44:AB44" si="0">SUMPRODUCT($I$5:$I$42,L$5:L$42)</f>
        <v>0</v>
      </c>
      <c r="M44" s="26">
        <f t="shared" si="0"/>
        <v>103119.10171779386</v>
      </c>
      <c r="N44" s="26">
        <f t="shared" si="0"/>
        <v>0</v>
      </c>
      <c r="O44" s="26">
        <f t="shared" si="0"/>
        <v>0</v>
      </c>
      <c r="P44" s="26">
        <f t="shared" si="0"/>
        <v>0</v>
      </c>
      <c r="Q44" s="26">
        <f t="shared" si="0"/>
        <v>103119.10171779386</v>
      </c>
      <c r="R44" s="26">
        <f t="shared" si="0"/>
        <v>961530.90067389945</v>
      </c>
      <c r="S44" s="26">
        <f t="shared" si="0"/>
        <v>961530.90067389945</v>
      </c>
      <c r="T44" s="26">
        <f t="shared" si="0"/>
        <v>0</v>
      </c>
      <c r="U44" s="26">
        <f t="shared" si="0"/>
        <v>0</v>
      </c>
      <c r="V44" s="26">
        <f t="shared" si="0"/>
        <v>0</v>
      </c>
      <c r="W44" s="26">
        <f t="shared" si="0"/>
        <v>0</v>
      </c>
      <c r="X44" s="26">
        <f t="shared" si="0"/>
        <v>0</v>
      </c>
      <c r="Y44" s="26">
        <f t="shared" si="0"/>
        <v>0</v>
      </c>
      <c r="Z44" s="26">
        <f t="shared" si="0"/>
        <v>33731.128165453258</v>
      </c>
      <c r="AA44" s="26">
        <f t="shared" si="0"/>
        <v>33731.128165453258</v>
      </c>
      <c r="AB44" s="26">
        <f t="shared" si="0"/>
        <v>1098381.1305571464</v>
      </c>
    </row>
    <row r="45" spans="1:28" ht="11.25" customHeight="1" x14ac:dyDescent="0.25">
      <c r="K45" s="31" t="s">
        <v>429</v>
      </c>
      <c r="L45" s="26">
        <f>CUSTOS!$D$30</f>
        <v>0</v>
      </c>
      <c r="M45" s="26">
        <f>CUSTOS!$D$31</f>
        <v>1761723.1356897787</v>
      </c>
      <c r="N45" s="26">
        <f>CUSTOS!$D$32</f>
        <v>0</v>
      </c>
      <c r="O45" s="26">
        <f>CUSTOS!$D$33</f>
        <v>0</v>
      </c>
      <c r="P45" s="26">
        <f>CUSTOS!$D$34</f>
        <v>-1060000</v>
      </c>
      <c r="Q45" s="26">
        <f>CUSTOS!$D$35</f>
        <v>701723.13568977872</v>
      </c>
      <c r="R45" s="26">
        <f>CUSTOS!$D$36</f>
        <v>11862097.911139071</v>
      </c>
      <c r="S45" s="26">
        <f>CUSTOS!$D$37</f>
        <v>11862097.911139071</v>
      </c>
      <c r="T45" s="26">
        <f>CUSTOS!$D$38</f>
        <v>0</v>
      </c>
      <c r="U45" s="26">
        <f>CUSTOS!$D$39</f>
        <v>0</v>
      </c>
      <c r="V45" s="26">
        <f>CUSTOS!$D$40</f>
        <v>0</v>
      </c>
      <c r="W45" s="26">
        <f>CUSTOS!$D$41</f>
        <v>0</v>
      </c>
      <c r="X45" s="26">
        <f>CUSTOS!$D$42</f>
        <v>0</v>
      </c>
      <c r="Y45" s="26">
        <f>CUSTOS!$D$43</f>
        <v>0</v>
      </c>
      <c r="Z45" s="26">
        <f>CUSTOS!$D$44</f>
        <v>416130.09490527812</v>
      </c>
      <c r="AA45" s="26">
        <f>CUSTOS!$D$45</f>
        <v>416130.09490527812</v>
      </c>
      <c r="AB45" s="26">
        <f>CUSTOS!$D$46</f>
        <v>12979951.141734127</v>
      </c>
    </row>
    <row r="46" spans="1:28" ht="11.25" customHeight="1" x14ac:dyDescent="0.25">
      <c r="K46" s="31" t="s">
        <v>430</v>
      </c>
      <c r="L46" s="26">
        <f>CUSTOS!$E$30</f>
        <v>0</v>
      </c>
      <c r="M46" s="26">
        <f>CUSTOS!$E$31</f>
        <v>103119.10171779385</v>
      </c>
      <c r="N46" s="26">
        <f>CUSTOS!$E$32</f>
        <v>0</v>
      </c>
      <c r="O46" s="26">
        <f>CUSTOS!$E$33</f>
        <v>0</v>
      </c>
      <c r="P46" s="26">
        <f>CUSTOS!$E$34</f>
        <v>0</v>
      </c>
      <c r="Q46" s="26">
        <f>CUSTOS!$E$35</f>
        <v>103119.10171779385</v>
      </c>
      <c r="R46" s="26">
        <f>CUSTOS!$E$36</f>
        <v>961530.9006738991</v>
      </c>
      <c r="S46" s="26">
        <f>CUSTOS!$E$37</f>
        <v>961530.9006738991</v>
      </c>
      <c r="T46" s="26">
        <f>CUSTOS!$E$38</f>
        <v>0</v>
      </c>
      <c r="U46" s="26">
        <f>CUSTOS!$E$39</f>
        <v>0</v>
      </c>
      <c r="V46" s="26">
        <f>CUSTOS!$E$40</f>
        <v>0</v>
      </c>
      <c r="W46" s="26">
        <f>CUSTOS!$E$41</f>
        <v>0</v>
      </c>
      <c r="X46" s="26">
        <f>CUSTOS!$E$42</f>
        <v>0</v>
      </c>
      <c r="Y46" s="26">
        <f>CUSTOS!$E$43</f>
        <v>0</v>
      </c>
      <c r="Z46" s="26">
        <f>CUSTOS!$E$44</f>
        <v>33731.128165453243</v>
      </c>
      <c r="AA46" s="26">
        <f>CUSTOS!$E$45</f>
        <v>33731.128165453243</v>
      </c>
      <c r="AB46" s="26">
        <f>CUSTOS!$E$46</f>
        <v>1098381.1305571462</v>
      </c>
    </row>
    <row r="47" spans="1:28" ht="11.25" customHeight="1" x14ac:dyDescent="0.25">
      <c r="K47" s="31" t="s">
        <v>431</v>
      </c>
      <c r="L47" s="26">
        <f>CUSTOS!$F$30</f>
        <v>0</v>
      </c>
      <c r="M47" s="26">
        <f>CUSTOS!$F$31</f>
        <v>0</v>
      </c>
      <c r="N47" s="26">
        <f>CUSTOS!$F$32</f>
        <v>0</v>
      </c>
      <c r="O47" s="26">
        <f>CUSTOS!$F$33</f>
        <v>0</v>
      </c>
      <c r="P47" s="26">
        <f>CUSTOS!$F$34</f>
        <v>0</v>
      </c>
      <c r="Q47" s="26">
        <f>CUSTOS!$F$35</f>
        <v>0</v>
      </c>
      <c r="R47" s="26">
        <f>CUSTOS!$F$36</f>
        <v>0</v>
      </c>
      <c r="S47" s="26">
        <f>CUSTOS!$F$37</f>
        <v>0</v>
      </c>
      <c r="T47" s="26">
        <f>CUSTOS!$F$38</f>
        <v>0</v>
      </c>
      <c r="U47" s="26">
        <f>CUSTOS!$F$39</f>
        <v>0</v>
      </c>
      <c r="V47" s="26">
        <f>CUSTOS!$F$40</f>
        <v>0</v>
      </c>
      <c r="W47" s="26">
        <f>CUSTOS!$F$41</f>
        <v>0</v>
      </c>
      <c r="X47" s="26">
        <f>CUSTOS!$F$42</f>
        <v>0</v>
      </c>
      <c r="Y47" s="26">
        <f>CUSTOS!$F$43</f>
        <v>0</v>
      </c>
      <c r="Z47" s="26">
        <f>CUSTOS!$F$44</f>
        <v>0</v>
      </c>
      <c r="AA47" s="26">
        <f>CUSTOS!$F$45</f>
        <v>0</v>
      </c>
      <c r="AB47" s="26">
        <f>CUSTOS!$F$46</f>
        <v>0</v>
      </c>
    </row>
    <row r="48" spans="1:28" ht="11.25" customHeight="1" x14ac:dyDescent="0.25">
      <c r="K48" s="31" t="s">
        <v>511</v>
      </c>
      <c r="L48" s="26">
        <f>'TR TE'!$L$48*L49</f>
        <v>0</v>
      </c>
      <c r="M48" s="26">
        <f>'TR TE'!$M$48*M49</f>
        <v>0</v>
      </c>
      <c r="N48" s="26">
        <f>'TR TE'!$N$48*N49</f>
        <v>0</v>
      </c>
      <c r="O48" s="26">
        <f>'TR TE'!$O$48*O49</f>
        <v>0</v>
      </c>
      <c r="P48" s="26">
        <f>'TR TE'!$P$48*P49</f>
        <v>0</v>
      </c>
      <c r="Q48" s="26"/>
      <c r="R48" s="26">
        <f>'TR TE'!$R$48*R49</f>
        <v>0</v>
      </c>
      <c r="S48" s="26"/>
      <c r="T48" s="26">
        <f>'TR TE'!$T$48*T49</f>
        <v>0</v>
      </c>
      <c r="U48" s="26">
        <f>'TR TE'!$U$48*U49</f>
        <v>0</v>
      </c>
      <c r="V48" s="26">
        <f>'TR TE'!$V$48*V49</f>
        <v>0</v>
      </c>
      <c r="W48" s="26"/>
      <c r="X48" s="26"/>
      <c r="Y48" s="26"/>
      <c r="Z48" s="26">
        <f>'TR TE'!$Z$48*Z49</f>
        <v>0</v>
      </c>
      <c r="AA48" s="26"/>
      <c r="AB48" s="26"/>
    </row>
    <row r="49" spans="11:28" ht="11.25" customHeight="1" x14ac:dyDescent="0.25">
      <c r="K49" s="31" t="s">
        <v>506</v>
      </c>
      <c r="L49" s="26">
        <f>IF(L45&lt;&gt;0,L47/L45,0)</f>
        <v>0</v>
      </c>
      <c r="M49" s="26">
        <f>IF(M45&lt;&gt;0,M47/M45,0)</f>
        <v>0</v>
      </c>
      <c r="N49" s="26">
        <f>IF(N45&lt;&gt;0,N47/N45,0)</f>
        <v>0</v>
      </c>
      <c r="O49" s="26">
        <f>IF(O45&lt;&gt;0,O47/O45,0)</f>
        <v>0</v>
      </c>
      <c r="P49" s="26">
        <f>IF(P45&lt;&gt;0,P47/P45,0)</f>
        <v>0</v>
      </c>
      <c r="Q49" s="26"/>
      <c r="R49" s="26">
        <f>IF(R45&lt;&gt;0,R47/R45,0)</f>
        <v>0</v>
      </c>
      <c r="S49" s="26"/>
      <c r="T49" s="26">
        <f>IF(T45&lt;&gt;0,T47/T45,0)</f>
        <v>0</v>
      </c>
      <c r="U49" s="26">
        <f>IF(U45&lt;&gt;0,U47/U45,0)</f>
        <v>0</v>
      </c>
      <c r="V49" s="26">
        <f>IF(V45&lt;&gt;0,V47/V45,0)</f>
        <v>0</v>
      </c>
      <c r="W49" s="26"/>
      <c r="X49" s="26">
        <f>IF($AB45&lt;&gt;0,X47/($AB45-SUM('TR TE'!$L48:'TR TE'!$AA48)*0),0)</f>
        <v>0</v>
      </c>
      <c r="Y49" s="26"/>
      <c r="Z49" s="26">
        <f>IF(Z45&lt;&gt;0,Z47/Z45,0)</f>
        <v>0</v>
      </c>
      <c r="AA49" s="26"/>
      <c r="AB49" s="26"/>
    </row>
    <row r="50" spans="11:28" ht="11.25" customHeight="1" x14ac:dyDescent="0.25"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8:F10"/>
    <mergeCell ref="B11:B15"/>
    <mergeCell ref="C11:C15"/>
    <mergeCell ref="B16:B20"/>
    <mergeCell ref="C16:C20"/>
    <mergeCell ref="A8:A20"/>
    <mergeCell ref="B8:B10"/>
    <mergeCell ref="C8:C10"/>
    <mergeCell ref="D8:D10"/>
    <mergeCell ref="E8:E10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E36:E38"/>
    <mergeCell ref="F36:F38"/>
    <mergeCell ref="A41:A42"/>
    <mergeCell ref="B41:B42"/>
    <mergeCell ref="C41:C42"/>
    <mergeCell ref="D36:D38"/>
  </mergeCells>
  <conditionalFormatting sqref="L44">
    <cfRule type="cellIs" dxfId="764" priority="33" operator="notEqual">
      <formula>$L$46</formula>
    </cfRule>
    <cfRule type="cellIs" dxfId="763" priority="34" operator="equal">
      <formula>$L$46</formula>
    </cfRule>
  </conditionalFormatting>
  <conditionalFormatting sqref="M44">
    <cfRule type="cellIs" dxfId="762" priority="31" operator="notEqual">
      <formula>$M$46</formula>
    </cfRule>
    <cfRule type="cellIs" dxfId="761" priority="32" operator="equal">
      <formula>$M$46</formula>
    </cfRule>
  </conditionalFormatting>
  <conditionalFormatting sqref="N44">
    <cfRule type="cellIs" dxfId="760" priority="29" operator="notEqual">
      <formula>$N$46</formula>
    </cfRule>
    <cfRule type="cellIs" dxfId="759" priority="30" operator="equal">
      <formula>$N$46</formula>
    </cfRule>
  </conditionalFormatting>
  <conditionalFormatting sqref="O44">
    <cfRule type="cellIs" dxfId="758" priority="27" operator="notEqual">
      <formula>$O$46</formula>
    </cfRule>
    <cfRule type="cellIs" dxfId="757" priority="28" operator="equal">
      <formula>$O$46</formula>
    </cfRule>
  </conditionalFormatting>
  <conditionalFormatting sqref="P44">
    <cfRule type="cellIs" dxfId="756" priority="25" operator="notEqual">
      <formula>$P$46</formula>
    </cfRule>
    <cfRule type="cellIs" dxfId="755" priority="26" operator="equal">
      <formula>$P$46</formula>
    </cfRule>
  </conditionalFormatting>
  <conditionalFormatting sqref="Q44">
    <cfRule type="cellIs" dxfId="754" priority="23" operator="notEqual">
      <formula>$Q$46</formula>
    </cfRule>
    <cfRule type="cellIs" dxfId="753" priority="24" operator="equal">
      <formula>$Q$46</formula>
    </cfRule>
  </conditionalFormatting>
  <conditionalFormatting sqref="R44">
    <cfRule type="cellIs" dxfId="752" priority="21" operator="notEqual">
      <formula>$R$46</formula>
    </cfRule>
    <cfRule type="cellIs" dxfId="751" priority="22" operator="equal">
      <formula>$R$46</formula>
    </cfRule>
  </conditionalFormatting>
  <conditionalFormatting sqref="S44">
    <cfRule type="cellIs" dxfId="750" priority="19" operator="notEqual">
      <formula>$S$46</formula>
    </cfRule>
    <cfRule type="cellIs" dxfId="749" priority="20" operator="equal">
      <formula>$S$46</formula>
    </cfRule>
  </conditionalFormatting>
  <conditionalFormatting sqref="T44">
    <cfRule type="cellIs" dxfId="748" priority="17" operator="notEqual">
      <formula>$T$46</formula>
    </cfRule>
    <cfRule type="cellIs" dxfId="747" priority="18" operator="equal">
      <formula>$T$46</formula>
    </cfRule>
  </conditionalFormatting>
  <conditionalFormatting sqref="U44">
    <cfRule type="cellIs" dxfId="746" priority="15" operator="notEqual">
      <formula>$U$46</formula>
    </cfRule>
    <cfRule type="cellIs" dxfId="745" priority="16" operator="equal">
      <formula>$U$46</formula>
    </cfRule>
  </conditionalFormatting>
  <conditionalFormatting sqref="V44">
    <cfRule type="cellIs" dxfId="744" priority="13" operator="notEqual">
      <formula>$V$46</formula>
    </cfRule>
    <cfRule type="cellIs" dxfId="743" priority="14" operator="equal">
      <formula>$V$46</formula>
    </cfRule>
  </conditionalFormatting>
  <conditionalFormatting sqref="W44">
    <cfRule type="cellIs" dxfId="742" priority="11" operator="notEqual">
      <formula>$W$46</formula>
    </cfRule>
    <cfRule type="cellIs" dxfId="741" priority="12" operator="equal">
      <formula>$W$46</formula>
    </cfRule>
  </conditionalFormatting>
  <conditionalFormatting sqref="X44">
    <cfRule type="cellIs" dxfId="740" priority="9" operator="notEqual">
      <formula>$X$46</formula>
    </cfRule>
    <cfRule type="cellIs" dxfId="739" priority="10" operator="equal">
      <formula>$X$46</formula>
    </cfRule>
  </conditionalFormatting>
  <conditionalFormatting sqref="Y44">
    <cfRule type="cellIs" dxfId="738" priority="7" operator="notEqual">
      <formula>$Y$46</formula>
    </cfRule>
    <cfRule type="cellIs" dxfId="737" priority="8" operator="equal">
      <formula>$Y$46</formula>
    </cfRule>
  </conditionalFormatting>
  <conditionalFormatting sqref="Z44">
    <cfRule type="cellIs" dxfId="736" priority="5" operator="notEqual">
      <formula>$Z$46</formula>
    </cfRule>
    <cfRule type="cellIs" dxfId="735" priority="6" operator="equal">
      <formula>$Z$46</formula>
    </cfRule>
  </conditionalFormatting>
  <conditionalFormatting sqref="AA44">
    <cfRule type="cellIs" dxfId="734" priority="3" operator="notEqual">
      <formula>$AA$46</formula>
    </cfRule>
    <cfRule type="cellIs" dxfId="733" priority="4" operator="equal">
      <formula>$AA$46</formula>
    </cfRule>
  </conditionalFormatting>
  <conditionalFormatting sqref="AB44">
    <cfRule type="cellIs" dxfId="732" priority="1" operator="notEqual">
      <formula>$AB$46</formula>
    </cfRule>
    <cfRule type="cellIs" dxfId="731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F429-F82B-4E82-AA1D-DBA8CD4A45F2}">
  <dimension ref="A1:AB50"/>
  <sheetViews>
    <sheetView showGridLines="0" topLeftCell="Q36" workbookViewId="0">
      <selection activeCell="AB44" sqref="AB44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7.85546875" style="9" bestFit="1" customWidth="1"/>
    <col min="13" max="13" width="10" style="9" bestFit="1" customWidth="1"/>
    <col min="14" max="14" width="7.85546875" style="9" bestFit="1" customWidth="1"/>
    <col min="15" max="15" width="11.140625" style="9" bestFit="1" customWidth="1"/>
    <col min="16" max="16" width="10.5703125" style="9" bestFit="1" customWidth="1"/>
    <col min="17" max="17" width="9.28515625" style="9" bestFit="1" customWidth="1"/>
    <col min="18" max="18" width="15" style="9" bestFit="1" customWidth="1"/>
    <col min="19" max="19" width="10.85546875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19" t="s">
        <v>63</v>
      </c>
      <c r="B1" s="119" t="s">
        <v>64</v>
      </c>
      <c r="C1" s="119" t="s">
        <v>65</v>
      </c>
      <c r="D1" s="119" t="s">
        <v>66</v>
      </c>
      <c r="E1" s="119" t="s">
        <v>67</v>
      </c>
      <c r="F1" s="119" t="s">
        <v>15</v>
      </c>
      <c r="G1" s="119" t="s">
        <v>69</v>
      </c>
      <c r="H1" s="119" t="s">
        <v>70</v>
      </c>
      <c r="I1" s="119" t="s">
        <v>488</v>
      </c>
      <c r="J1" s="98"/>
      <c r="L1" s="117" t="s">
        <v>516</v>
      </c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</row>
    <row r="2" spans="1:28" ht="11.25" customHeight="1" x14ac:dyDescent="0.25">
      <c r="A2" s="119"/>
      <c r="B2" s="119"/>
      <c r="C2" s="119"/>
      <c r="D2" s="119"/>
      <c r="E2" s="119"/>
      <c r="F2" s="119"/>
      <c r="G2" s="119"/>
      <c r="H2" s="119"/>
      <c r="I2" s="119"/>
      <c r="J2" s="98"/>
      <c r="L2" s="117" t="s">
        <v>415</v>
      </c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</row>
    <row r="3" spans="1:28" ht="11.25" customHeight="1" x14ac:dyDescent="0.25">
      <c r="A3" s="119"/>
      <c r="B3" s="119"/>
      <c r="C3" s="119"/>
      <c r="D3" s="119"/>
      <c r="E3" s="119"/>
      <c r="F3" s="119"/>
      <c r="G3" s="119"/>
      <c r="H3" s="119"/>
      <c r="I3" s="119"/>
      <c r="J3" s="98"/>
      <c r="L3" s="117" t="s">
        <v>388</v>
      </c>
      <c r="M3" s="117"/>
      <c r="N3" s="117"/>
      <c r="O3" s="117"/>
      <c r="P3" s="117"/>
      <c r="Q3" s="117"/>
      <c r="R3" s="117" t="s">
        <v>419</v>
      </c>
      <c r="S3" s="117"/>
      <c r="T3" s="117" t="s">
        <v>397</v>
      </c>
      <c r="U3" s="117"/>
      <c r="V3" s="117"/>
      <c r="W3" s="117"/>
      <c r="X3" s="117" t="s">
        <v>407</v>
      </c>
      <c r="Y3" s="117"/>
      <c r="Z3" s="117" t="s">
        <v>410</v>
      </c>
      <c r="AA3" s="117"/>
      <c r="AB3" s="117" t="s">
        <v>396</v>
      </c>
    </row>
    <row r="4" spans="1:28" ht="11.25" customHeight="1" x14ac:dyDescent="0.25">
      <c r="A4" s="119"/>
      <c r="B4" s="119"/>
      <c r="C4" s="119"/>
      <c r="D4" s="119"/>
      <c r="E4" s="119"/>
      <c r="F4" s="119"/>
      <c r="G4" s="119"/>
      <c r="H4" s="119"/>
      <c r="I4" s="119"/>
      <c r="J4" s="98"/>
      <c r="L4" s="30" t="s">
        <v>390</v>
      </c>
      <c r="M4" s="30" t="s">
        <v>416</v>
      </c>
      <c r="N4" s="30" t="s">
        <v>417</v>
      </c>
      <c r="O4" s="30" t="s">
        <v>476</v>
      </c>
      <c r="P4" s="30" t="s">
        <v>418</v>
      </c>
      <c r="Q4" s="30" t="s">
        <v>396</v>
      </c>
      <c r="R4" s="30" t="s">
        <v>420</v>
      </c>
      <c r="S4" s="30" t="s">
        <v>396</v>
      </c>
      <c r="T4" s="30" t="s">
        <v>421</v>
      </c>
      <c r="U4" s="30" t="s">
        <v>422</v>
      </c>
      <c r="V4" s="30" t="s">
        <v>423</v>
      </c>
      <c r="W4" s="30" t="s">
        <v>396</v>
      </c>
      <c r="X4" s="30" t="s">
        <v>408</v>
      </c>
      <c r="Y4" s="30" t="s">
        <v>396</v>
      </c>
      <c r="Z4" s="30" t="s">
        <v>424</v>
      </c>
      <c r="AA4" s="30" t="s">
        <v>396</v>
      </c>
      <c r="AB4" s="118"/>
    </row>
    <row r="5" spans="1:28" ht="11.25" customHeight="1" x14ac:dyDescent="0.25">
      <c r="A5" s="120" t="s">
        <v>35</v>
      </c>
      <c r="B5" s="120" t="s">
        <v>72</v>
      </c>
      <c r="C5" s="120" t="s">
        <v>25</v>
      </c>
      <c r="D5" s="120" t="s">
        <v>25</v>
      </c>
      <c r="E5" s="120" t="s">
        <v>25</v>
      </c>
      <c r="F5" s="120" t="s">
        <v>25</v>
      </c>
      <c r="G5" s="29" t="s">
        <v>74</v>
      </c>
      <c r="H5" s="29" t="s">
        <v>73</v>
      </c>
      <c r="I5" s="29">
        <f>'MERCADO TE'!$U$2</f>
        <v>3179.3539999999994</v>
      </c>
      <c r="J5" s="15"/>
      <c r="L5" s="26">
        <f>'TE BE'!$L$5*'TE BF'!$L$49</f>
        <v>0</v>
      </c>
      <c r="M5" s="26">
        <f>'TE BE'!$M$5*'TE BF'!$M$49</f>
        <v>0</v>
      </c>
      <c r="N5" s="26">
        <f>'TE BE'!$N$5*'TE BF'!$N$49</f>
        <v>0</v>
      </c>
      <c r="O5" s="26">
        <f>'TE BE'!$O$5*'TE BF'!$O$49</f>
        <v>0</v>
      </c>
      <c r="P5" s="26">
        <f>'TE BE'!$P$5*'TE BF'!$P$49</f>
        <v>0</v>
      </c>
      <c r="Q5" s="26">
        <f>SUM($L$5:$P$5)</f>
        <v>0</v>
      </c>
      <c r="R5" s="26">
        <f>'TE BE'!$R$5*'TE BF'!$R$49</f>
        <v>0</v>
      </c>
      <c r="S5" s="26">
        <f>SUM($R$5:$R$5)</f>
        <v>0</v>
      </c>
      <c r="T5" s="26">
        <f>'TE BE'!$T$5*'TE BF'!$T$49</f>
        <v>0</v>
      </c>
      <c r="U5" s="26">
        <f>'TE BE'!$U$5*'TE BF'!$U$49</f>
        <v>0</v>
      </c>
      <c r="V5" s="26">
        <f>'TE BE'!$V$5*'TE BF'!$V$49</f>
        <v>0</v>
      </c>
      <c r="W5" s="26">
        <f>SUM($T$5:$V$5)</f>
        <v>0</v>
      </c>
      <c r="X5" s="26">
        <f>'TE BE'!$AB$5*'TE BF'!$X$49</f>
        <v>0</v>
      </c>
      <c r="Y5" s="26">
        <f>SUM($X$5:$X$5)</f>
        <v>0</v>
      </c>
      <c r="Z5" s="26">
        <f>'TE BE'!$Z$5*'TE BF'!$Z$49</f>
        <v>0</v>
      </c>
      <c r="AA5" s="26">
        <f>SUM($Z$5:$Z$5)</f>
        <v>0</v>
      </c>
      <c r="AB5" s="26">
        <f>SUMIF($L$4:$AA$4,"SUBTOTAL",$L$5:$AA$5)</f>
        <v>0</v>
      </c>
    </row>
    <row r="6" spans="1:28" ht="11.25" customHeight="1" x14ac:dyDescent="0.25">
      <c r="A6" s="120"/>
      <c r="B6" s="120"/>
      <c r="C6" s="120"/>
      <c r="D6" s="120"/>
      <c r="E6" s="120"/>
      <c r="F6" s="120"/>
      <c r="G6" s="29" t="s">
        <v>75</v>
      </c>
      <c r="H6" s="29" t="s">
        <v>73</v>
      </c>
      <c r="I6" s="29">
        <f>'MERCADO TE'!$U$3</f>
        <v>38515.306999999993</v>
      </c>
      <c r="J6" s="15"/>
      <c r="L6" s="26">
        <f>'TE BE'!$L$6*'TE BF'!$L$49</f>
        <v>0</v>
      </c>
      <c r="M6" s="26">
        <f>'TE BE'!$M$6*'TE BF'!$M$49</f>
        <v>0</v>
      </c>
      <c r="N6" s="26">
        <f>'TE BE'!$N$6*'TE BF'!$N$49</f>
        <v>0</v>
      </c>
      <c r="O6" s="26">
        <f>'TE BE'!$O$6*'TE BF'!$O$49</f>
        <v>0</v>
      </c>
      <c r="P6" s="26">
        <f>'TE BE'!$P$6*'TE BF'!$P$49</f>
        <v>0</v>
      </c>
      <c r="Q6" s="26">
        <f>SUM($L$6:$P$6)</f>
        <v>0</v>
      </c>
      <c r="R6" s="26">
        <f>'TE BE'!$R$6*'TE BF'!$R$49</f>
        <v>0</v>
      </c>
      <c r="S6" s="26">
        <f>SUM($R$6:$R$6)</f>
        <v>0</v>
      </c>
      <c r="T6" s="26">
        <f>'TE BE'!$T$6*'TE BF'!$T$49</f>
        <v>0</v>
      </c>
      <c r="U6" s="26">
        <f>'TE BE'!$U$6*'TE BF'!$U$49</f>
        <v>0</v>
      </c>
      <c r="V6" s="26">
        <f>'TE BE'!$V$6*'TE BF'!$V$49</f>
        <v>0</v>
      </c>
      <c r="W6" s="26">
        <f>SUM($T$6:$V$6)</f>
        <v>0</v>
      </c>
      <c r="X6" s="26">
        <f>'TE BE'!$AB$6*'TE BF'!$X$49</f>
        <v>0</v>
      </c>
      <c r="Y6" s="26">
        <f>SUM($X$6:$X$6)</f>
        <v>0</v>
      </c>
      <c r="Z6" s="26">
        <f>'TE BE'!$Z$6*'TE BF'!$Z$49</f>
        <v>0</v>
      </c>
      <c r="AA6" s="26">
        <f>SUM($Z$6:$Z$6)</f>
        <v>0</v>
      </c>
      <c r="AB6" s="26">
        <f>SUMIF($L$4:$AA$4,"SUBTOTAL",$L$6:$AA$6)</f>
        <v>0</v>
      </c>
    </row>
    <row r="7" spans="1:28" ht="11.25" customHeight="1" x14ac:dyDescent="0.25">
      <c r="A7" s="120"/>
      <c r="B7" s="28" t="s">
        <v>76</v>
      </c>
      <c r="C7" s="28" t="s">
        <v>25</v>
      </c>
      <c r="D7" s="28" t="s">
        <v>25</v>
      </c>
      <c r="E7" s="28" t="s">
        <v>25</v>
      </c>
      <c r="F7" s="28" t="s">
        <v>25</v>
      </c>
      <c r="G7" s="29" t="s">
        <v>77</v>
      </c>
      <c r="H7" s="29" t="s">
        <v>73</v>
      </c>
      <c r="I7" s="29">
        <f>'MERCADO TE'!$U$4</f>
        <v>0</v>
      </c>
      <c r="J7" s="15"/>
      <c r="L7" s="26">
        <f>'TE BE'!$L$7*'TE BF'!$L$49</f>
        <v>0</v>
      </c>
      <c r="M7" s="26">
        <f>'TE BE'!$M$7*'TE BF'!$M$49</f>
        <v>0</v>
      </c>
      <c r="N7" s="26">
        <f>'TE BE'!$N$7*'TE BF'!$N$49</f>
        <v>0</v>
      </c>
      <c r="O7" s="26">
        <f>'TE BE'!$O$7*'TE BF'!$O$49</f>
        <v>0</v>
      </c>
      <c r="P7" s="26">
        <f>'TE BE'!$P$7*'TE BF'!$P$49</f>
        <v>0</v>
      </c>
      <c r="Q7" s="26">
        <f>SUM($L$7:$P$7)</f>
        <v>0</v>
      </c>
      <c r="R7" s="26">
        <f>'TE BE'!$R$7*'TE BF'!$R$49</f>
        <v>0</v>
      </c>
      <c r="S7" s="26">
        <f>SUM($R$7:$R$7)</f>
        <v>0</v>
      </c>
      <c r="T7" s="26">
        <f>'TE BE'!$T$7*'TE BF'!$T$49</f>
        <v>0</v>
      </c>
      <c r="U7" s="26">
        <f>'TE BE'!$U$7*'TE BF'!$U$49</f>
        <v>0</v>
      </c>
      <c r="V7" s="26">
        <f>'TE BE'!$V$7*'TE BF'!$V$49</f>
        <v>0</v>
      </c>
      <c r="W7" s="26">
        <f>SUM($T$7:$V$7)</f>
        <v>0</v>
      </c>
      <c r="X7" s="26">
        <f>'TE BE'!$AB$7*'TE BF'!$X$49</f>
        <v>0</v>
      </c>
      <c r="Y7" s="26">
        <f>SUM($X$7:$X$7)</f>
        <v>0</v>
      </c>
      <c r="Z7" s="26">
        <f>'TE BE'!$Z$7*'TE BF'!$Z$49</f>
        <v>0</v>
      </c>
      <c r="AA7" s="26">
        <f>SUM($Z$7:$Z$7)</f>
        <v>0</v>
      </c>
      <c r="AB7" s="26">
        <f>SUMIF($L$4:$AA$4,"SUBTOTAL",$L$7:$AA$7)</f>
        <v>0</v>
      </c>
    </row>
    <row r="8" spans="1:28" ht="11.25" customHeight="1" x14ac:dyDescent="0.25">
      <c r="A8" s="120" t="s">
        <v>22</v>
      </c>
      <c r="B8" s="120" t="s">
        <v>72</v>
      </c>
      <c r="C8" s="120" t="s">
        <v>24</v>
      </c>
      <c r="D8" s="120" t="s">
        <v>24</v>
      </c>
      <c r="E8" s="120" t="s">
        <v>25</v>
      </c>
      <c r="F8" s="120" t="s">
        <v>25</v>
      </c>
      <c r="G8" s="29" t="s">
        <v>74</v>
      </c>
      <c r="H8" s="29" t="s">
        <v>73</v>
      </c>
      <c r="I8" s="29">
        <f>'MERCADO TE'!$U$5</f>
        <v>0</v>
      </c>
      <c r="J8" s="15"/>
      <c r="L8" s="26">
        <f>'TE BE'!$L$8*'TE BF'!$L$49</f>
        <v>0</v>
      </c>
      <c r="M8" s="26">
        <f>'TE BE'!$M$8*'TE BF'!$M$49</f>
        <v>0</v>
      </c>
      <c r="N8" s="26">
        <f>'TE BE'!$N$8*'TE BF'!$N$49</f>
        <v>0</v>
      </c>
      <c r="O8" s="26">
        <f>'TE BE'!$O$8*'TE BF'!$O$49</f>
        <v>0</v>
      </c>
      <c r="P8" s="26">
        <f>'TE BE'!$P$8*'TE BF'!$P$49</f>
        <v>0</v>
      </c>
      <c r="Q8" s="26">
        <f>SUM($L$8:$P$8)</f>
        <v>0</v>
      </c>
      <c r="R8" s="26">
        <f>'TE BE'!$R$8*'TE BF'!$R$49</f>
        <v>0</v>
      </c>
      <c r="S8" s="26">
        <f>SUM($R$8:$R$8)</f>
        <v>0</v>
      </c>
      <c r="T8" s="26">
        <f>'TE BE'!$T$8*'TE BF'!$T$49</f>
        <v>0</v>
      </c>
      <c r="U8" s="26">
        <f>'TE BE'!$U$8*'TE BF'!$U$49</f>
        <v>0</v>
      </c>
      <c r="V8" s="26">
        <f>'TE BE'!$V$8*'TE BF'!$V$49</f>
        <v>0</v>
      </c>
      <c r="W8" s="26">
        <f>SUM($T$8:$V$8)</f>
        <v>0</v>
      </c>
      <c r="X8" s="26">
        <f>'TE BE'!$AB$8*'TE BF'!$X$49</f>
        <v>0</v>
      </c>
      <c r="Y8" s="26">
        <f>SUM($X$8:$X$8)</f>
        <v>0</v>
      </c>
      <c r="Z8" s="26">
        <f>'TE BE'!$Z$8*'TE BF'!$Z$49</f>
        <v>0</v>
      </c>
      <c r="AA8" s="26">
        <f>SUM($Z$8:$Z$8)</f>
        <v>0</v>
      </c>
      <c r="AB8" s="26">
        <f>SUMIF($L$4:$AA$4,"SUBTOTAL",$L$8:$AA$8)</f>
        <v>0</v>
      </c>
    </row>
    <row r="9" spans="1:28" ht="11.25" customHeight="1" x14ac:dyDescent="0.25">
      <c r="A9" s="120"/>
      <c r="B9" s="120"/>
      <c r="C9" s="120"/>
      <c r="D9" s="120"/>
      <c r="E9" s="120"/>
      <c r="F9" s="120"/>
      <c r="G9" s="29" t="s">
        <v>85</v>
      </c>
      <c r="H9" s="29" t="s">
        <v>73</v>
      </c>
      <c r="I9" s="29">
        <f>'MERCADO TE'!$U$6</f>
        <v>0</v>
      </c>
      <c r="J9" s="15"/>
      <c r="L9" s="26">
        <f>'TE BE'!$L$9*'TE BF'!$L$49</f>
        <v>0</v>
      </c>
      <c r="M9" s="26">
        <f>'TE BE'!$M$9*'TE BF'!$M$49</f>
        <v>0</v>
      </c>
      <c r="N9" s="26">
        <f>'TE BE'!$N$9*'TE BF'!$N$49</f>
        <v>0</v>
      </c>
      <c r="O9" s="26">
        <f>'TE BE'!$O$9*'TE BF'!$O$49</f>
        <v>0</v>
      </c>
      <c r="P9" s="26">
        <f>'TE BE'!$P$9*'TE BF'!$P$49</f>
        <v>0</v>
      </c>
      <c r="Q9" s="26">
        <f>SUM($L$9:$P$9)</f>
        <v>0</v>
      </c>
      <c r="R9" s="26">
        <f>'TE BE'!$R$9*'TE BF'!$R$49</f>
        <v>0</v>
      </c>
      <c r="S9" s="26">
        <f>SUM($R$9:$R$9)</f>
        <v>0</v>
      </c>
      <c r="T9" s="26">
        <f>'TE BE'!$T$9*'TE BF'!$T$49</f>
        <v>0</v>
      </c>
      <c r="U9" s="26">
        <f>'TE BE'!$U$9*'TE BF'!$U$49</f>
        <v>0</v>
      </c>
      <c r="V9" s="26">
        <f>'TE BE'!$V$9*'TE BF'!$V$49</f>
        <v>0</v>
      </c>
      <c r="W9" s="26">
        <f>SUM($T$9:$V$9)</f>
        <v>0</v>
      </c>
      <c r="X9" s="26">
        <f>'TE BE'!$AB$9*'TE BF'!$X$49</f>
        <v>0</v>
      </c>
      <c r="Y9" s="26">
        <f>SUM($X$9:$X$9)</f>
        <v>0</v>
      </c>
      <c r="Z9" s="26">
        <f>'TE BE'!$Z$9*'TE BF'!$Z$49</f>
        <v>0</v>
      </c>
      <c r="AA9" s="26">
        <f>SUM($Z$9:$Z$9)</f>
        <v>0</v>
      </c>
      <c r="AB9" s="26">
        <f>SUMIF($L$4:$AA$4,"SUBTOTAL",$L$9:$AA$9)</f>
        <v>0</v>
      </c>
    </row>
    <row r="10" spans="1:28" ht="11.25" customHeight="1" x14ac:dyDescent="0.25">
      <c r="A10" s="120"/>
      <c r="B10" s="120"/>
      <c r="C10" s="120"/>
      <c r="D10" s="120"/>
      <c r="E10" s="120"/>
      <c r="F10" s="120"/>
      <c r="G10" s="29" t="s">
        <v>75</v>
      </c>
      <c r="H10" s="29" t="s">
        <v>73</v>
      </c>
      <c r="I10" s="29">
        <f>'MERCADO TE'!$U$7</f>
        <v>0</v>
      </c>
      <c r="J10" s="15"/>
      <c r="L10" s="26">
        <f>'TE BE'!$L$10*'TE BF'!$L$49</f>
        <v>0</v>
      </c>
      <c r="M10" s="26">
        <f>'TE BE'!$M$10*'TE BF'!$M$49</f>
        <v>0</v>
      </c>
      <c r="N10" s="26">
        <f>'TE BE'!$N$10*'TE BF'!$N$49</f>
        <v>0</v>
      </c>
      <c r="O10" s="26">
        <f>'TE BE'!$O$10*'TE BF'!$O$49</f>
        <v>0</v>
      </c>
      <c r="P10" s="26">
        <f>'TE BE'!$P$10*'TE BF'!$P$49</f>
        <v>0</v>
      </c>
      <c r="Q10" s="26">
        <f>SUM($L$10:$P$10)</f>
        <v>0</v>
      </c>
      <c r="R10" s="26">
        <f>'TE BE'!$R$10*'TE BF'!$R$49</f>
        <v>0</v>
      </c>
      <c r="S10" s="26">
        <f>SUM($R$10:$R$10)</f>
        <v>0</v>
      </c>
      <c r="T10" s="26">
        <f>'TE BE'!$T$10*'TE BF'!$T$49</f>
        <v>0</v>
      </c>
      <c r="U10" s="26">
        <f>'TE BE'!$U$10*'TE BF'!$U$49</f>
        <v>0</v>
      </c>
      <c r="V10" s="26">
        <f>'TE BE'!$V$10*'TE BF'!$V$49</f>
        <v>0</v>
      </c>
      <c r="W10" s="26">
        <f>SUM($T$10:$V$10)</f>
        <v>0</v>
      </c>
      <c r="X10" s="26">
        <f>'TE BE'!$AB$10*'TE BF'!$X$49</f>
        <v>0</v>
      </c>
      <c r="Y10" s="26">
        <f>SUM($X$10:$X$10)</f>
        <v>0</v>
      </c>
      <c r="Z10" s="26">
        <f>'TE BE'!$Z$10*'TE BF'!$Z$49</f>
        <v>0</v>
      </c>
      <c r="AA10" s="26">
        <f>SUM($Z$10:$Z$10)</f>
        <v>0</v>
      </c>
      <c r="AB10" s="26">
        <f>SUMIF($L$4:$AA$4,"SUBTOTAL",$L$10:$AA$10)</f>
        <v>0</v>
      </c>
    </row>
    <row r="11" spans="1:28" ht="11.25" customHeight="1" x14ac:dyDescent="0.25">
      <c r="A11" s="120"/>
      <c r="B11" s="120" t="s">
        <v>76</v>
      </c>
      <c r="C11" s="120" t="s">
        <v>24</v>
      </c>
      <c r="D11" s="28" t="s">
        <v>24</v>
      </c>
      <c r="E11" s="28" t="s">
        <v>25</v>
      </c>
      <c r="F11" s="28" t="s">
        <v>25</v>
      </c>
      <c r="G11" s="29" t="s">
        <v>77</v>
      </c>
      <c r="H11" s="29" t="s">
        <v>73</v>
      </c>
      <c r="I11" s="29">
        <f>'MERCADO TE'!$U$8</f>
        <v>4803.848</v>
      </c>
      <c r="J11" s="15"/>
      <c r="L11" s="26">
        <f>'TE BE'!$L$11*'TE BF'!$L$49</f>
        <v>0</v>
      </c>
      <c r="M11" s="26">
        <f>'TE BE'!$M$11*'TE BF'!$M$49</f>
        <v>0</v>
      </c>
      <c r="N11" s="26">
        <f>'TE BE'!$N$11*'TE BF'!$N$49</f>
        <v>0</v>
      </c>
      <c r="O11" s="26">
        <f>'TE BE'!$O$11*'TE BF'!$O$49</f>
        <v>0</v>
      </c>
      <c r="P11" s="26">
        <f>'TE BE'!$P$11*'TE BF'!$P$49</f>
        <v>0</v>
      </c>
      <c r="Q11" s="26">
        <f>SUM($L$11:$P$11)</f>
        <v>0</v>
      </c>
      <c r="R11" s="26">
        <f>'TE BE'!$R$11*'TE BF'!$R$49</f>
        <v>0</v>
      </c>
      <c r="S11" s="26">
        <f>SUM($R$11:$R$11)</f>
        <v>0</v>
      </c>
      <c r="T11" s="26">
        <f>'TE BE'!$T$11*'TE BF'!$T$49</f>
        <v>0</v>
      </c>
      <c r="U11" s="26">
        <f>'TE BE'!$U$11*'TE BF'!$U$49</f>
        <v>0</v>
      </c>
      <c r="V11" s="26">
        <f>'TE BE'!$V$11*'TE BF'!$V$49</f>
        <v>0</v>
      </c>
      <c r="W11" s="26">
        <f>SUM($T$11:$V$11)</f>
        <v>0</v>
      </c>
      <c r="X11" s="26">
        <f>'TE BE'!$AB$11*'TE BF'!$X$49</f>
        <v>0</v>
      </c>
      <c r="Y11" s="26">
        <f>SUM($X$11:$X$11)</f>
        <v>0</v>
      </c>
      <c r="Z11" s="26">
        <f>'TE BE'!$Z$11*'TE BF'!$Z$49</f>
        <v>0</v>
      </c>
      <c r="AA11" s="26">
        <f>SUM($Z$11:$Z$11)</f>
        <v>0</v>
      </c>
      <c r="AB11" s="26">
        <f>SUMIF($L$4:$AA$4,"SUBTOTAL",$L$11:$AA$11)</f>
        <v>0</v>
      </c>
    </row>
    <row r="12" spans="1:28" ht="11.25" customHeight="1" x14ac:dyDescent="0.25">
      <c r="A12" s="120"/>
      <c r="B12" s="120"/>
      <c r="C12" s="120"/>
      <c r="D12" s="28" t="s">
        <v>29</v>
      </c>
      <c r="E12" s="28" t="s">
        <v>25</v>
      </c>
      <c r="F12" s="28" t="s">
        <v>25</v>
      </c>
      <c r="G12" s="29" t="s">
        <v>77</v>
      </c>
      <c r="H12" s="29" t="s">
        <v>73</v>
      </c>
      <c r="I12" s="29">
        <f>'MERCADO TE'!$U$9</f>
        <v>28.29</v>
      </c>
      <c r="J12" s="15"/>
      <c r="L12" s="26">
        <f>'TE BE'!$L$12*'TE BF'!$L$49</f>
        <v>0</v>
      </c>
      <c r="M12" s="26">
        <f>'TE BE'!$M$12*'TE BF'!$M$49</f>
        <v>0</v>
      </c>
      <c r="N12" s="26">
        <f>'TE BE'!$N$12*'TE BF'!$N$49</f>
        <v>0</v>
      </c>
      <c r="O12" s="26">
        <f>'TE BE'!$O$12*'TE BF'!$O$49</f>
        <v>0</v>
      </c>
      <c r="P12" s="26">
        <f>'TE BE'!$P$12*'TE BF'!$P$49</f>
        <v>0</v>
      </c>
      <c r="Q12" s="26">
        <f>SUM($L$12:$P$12)</f>
        <v>0</v>
      </c>
      <c r="R12" s="26">
        <f>'TE BE'!$R$12*'TE BF'!$R$49</f>
        <v>0</v>
      </c>
      <c r="S12" s="26">
        <f>SUM($R$12:$R$12)</f>
        <v>0</v>
      </c>
      <c r="T12" s="26">
        <f>'TE BE'!$T$12*'TE BF'!$T$49</f>
        <v>0</v>
      </c>
      <c r="U12" s="26">
        <f>'TE BE'!$U$12*'TE BF'!$U$49</f>
        <v>0</v>
      </c>
      <c r="V12" s="26">
        <f>'TE BE'!$V$12*'TE BF'!$V$49</f>
        <v>0</v>
      </c>
      <c r="W12" s="26">
        <f>SUM($T$12:$V$12)</f>
        <v>0</v>
      </c>
      <c r="X12" s="26">
        <f>'TE BE'!$AB$12*'TE BF'!$X$49</f>
        <v>0</v>
      </c>
      <c r="Y12" s="26">
        <f>SUM($X$12:$X$12)</f>
        <v>0</v>
      </c>
      <c r="Z12" s="26">
        <f>'TE BE'!$Z$12*'TE BF'!$Z$49</f>
        <v>0</v>
      </c>
      <c r="AA12" s="26">
        <f>SUM($Z$12:$Z$12)</f>
        <v>0</v>
      </c>
      <c r="AB12" s="26">
        <f>SUMIF($L$4:$AA$4,"SUBTOTAL",$L$12:$AA$12)</f>
        <v>0</v>
      </c>
    </row>
    <row r="13" spans="1:28" ht="11.25" customHeight="1" x14ac:dyDescent="0.25">
      <c r="A13" s="120"/>
      <c r="B13" s="120"/>
      <c r="C13" s="120"/>
      <c r="D13" s="28" t="s">
        <v>30</v>
      </c>
      <c r="E13" s="28" t="s">
        <v>25</v>
      </c>
      <c r="F13" s="28" t="s">
        <v>25</v>
      </c>
      <c r="G13" s="29" t="s">
        <v>77</v>
      </c>
      <c r="H13" s="29" t="s">
        <v>73</v>
      </c>
      <c r="I13" s="29">
        <f>'MERCADO TE'!$U$10</f>
        <v>50.516000000000005</v>
      </c>
      <c r="J13" s="15"/>
      <c r="L13" s="26">
        <f>'TE BE'!$L$13*'TE BF'!$L$49</f>
        <v>0</v>
      </c>
      <c r="M13" s="26">
        <f>'TE BE'!$M$13*'TE BF'!$M$49</f>
        <v>0</v>
      </c>
      <c r="N13" s="26">
        <f>'TE BE'!$N$13*'TE BF'!$N$49</f>
        <v>0</v>
      </c>
      <c r="O13" s="26">
        <f>'TE BE'!$O$13*'TE BF'!$O$49</f>
        <v>0</v>
      </c>
      <c r="P13" s="26">
        <f>'TE BE'!$P$13*'TE BF'!$P$49</f>
        <v>0</v>
      </c>
      <c r="Q13" s="26">
        <f>SUM($L$13:$P$13)</f>
        <v>0</v>
      </c>
      <c r="R13" s="26">
        <f>'TE BE'!$R$13*'TE BF'!$R$49</f>
        <v>0</v>
      </c>
      <c r="S13" s="26">
        <f>SUM($R$13:$R$13)</f>
        <v>0</v>
      </c>
      <c r="T13" s="26">
        <f>'TE BE'!$T$13*'TE BF'!$T$49</f>
        <v>0</v>
      </c>
      <c r="U13" s="26">
        <f>'TE BE'!$U$13*'TE BF'!$U$49</f>
        <v>0</v>
      </c>
      <c r="V13" s="26">
        <f>'TE BE'!$V$13*'TE BF'!$V$49</f>
        <v>0</v>
      </c>
      <c r="W13" s="26">
        <f>SUM($T$13:$V$13)</f>
        <v>0</v>
      </c>
      <c r="X13" s="26">
        <f>'TE BE'!$AB$13*'TE BF'!$X$49</f>
        <v>0</v>
      </c>
      <c r="Y13" s="26">
        <f>SUM($X$13:$X$13)</f>
        <v>0</v>
      </c>
      <c r="Z13" s="26">
        <f>'TE BE'!$Z$13*'TE BF'!$Z$49</f>
        <v>0</v>
      </c>
      <c r="AA13" s="26">
        <f>SUM($Z$13:$Z$13)</f>
        <v>0</v>
      </c>
      <c r="AB13" s="26">
        <f>SUMIF($L$4:$AA$4,"SUBTOTAL",$L$13:$AA$13)</f>
        <v>0</v>
      </c>
    </row>
    <row r="14" spans="1:28" ht="11.25" customHeight="1" x14ac:dyDescent="0.25">
      <c r="A14" s="120"/>
      <c r="B14" s="120"/>
      <c r="C14" s="120"/>
      <c r="D14" s="28" t="s">
        <v>31</v>
      </c>
      <c r="E14" s="28" t="s">
        <v>25</v>
      </c>
      <c r="F14" s="28" t="s">
        <v>25</v>
      </c>
      <c r="G14" s="29" t="s">
        <v>77</v>
      </c>
      <c r="H14" s="29" t="s">
        <v>73</v>
      </c>
      <c r="I14" s="29">
        <f>'MERCADO TE'!$U$11</f>
        <v>39.111000000000004</v>
      </c>
      <c r="J14" s="15"/>
      <c r="L14" s="26">
        <f>'TE BE'!$L$14*'TE BF'!$L$49</f>
        <v>0</v>
      </c>
      <c r="M14" s="26">
        <f>'TE BE'!$M$14*'TE BF'!$M$49</f>
        <v>0</v>
      </c>
      <c r="N14" s="26">
        <f>'TE BE'!$N$14*'TE BF'!$N$49</f>
        <v>0</v>
      </c>
      <c r="O14" s="26">
        <f>'TE BE'!$O$14*'TE BF'!$O$49</f>
        <v>0</v>
      </c>
      <c r="P14" s="26">
        <f>'TE BE'!$P$14*'TE BF'!$P$49</f>
        <v>0</v>
      </c>
      <c r="Q14" s="26">
        <f>SUM($L$14:$P$14)</f>
        <v>0</v>
      </c>
      <c r="R14" s="26">
        <f>'TE BE'!$R$14*'TE BF'!$R$49</f>
        <v>0</v>
      </c>
      <c r="S14" s="26">
        <f>SUM($R$14:$R$14)</f>
        <v>0</v>
      </c>
      <c r="T14" s="26">
        <f>'TE BE'!$T$14*'TE BF'!$T$49</f>
        <v>0</v>
      </c>
      <c r="U14" s="26">
        <f>'TE BE'!$U$14*'TE BF'!$U$49</f>
        <v>0</v>
      </c>
      <c r="V14" s="26">
        <f>'TE BE'!$V$14*'TE BF'!$V$49</f>
        <v>0</v>
      </c>
      <c r="W14" s="26">
        <f>SUM($T$14:$V$14)</f>
        <v>0</v>
      </c>
      <c r="X14" s="26">
        <f>'TE BE'!$AB$14*'TE BF'!$X$49</f>
        <v>0</v>
      </c>
      <c r="Y14" s="26">
        <f>SUM($X$14:$X$14)</f>
        <v>0</v>
      </c>
      <c r="Z14" s="26">
        <f>'TE BE'!$Z$14*'TE BF'!$Z$49</f>
        <v>0</v>
      </c>
      <c r="AA14" s="26">
        <f>SUM($Z$14:$Z$14)</f>
        <v>0</v>
      </c>
      <c r="AB14" s="26">
        <f>SUMIF($L$4:$AA$4,"SUBTOTAL",$L$14:$AA$14)</f>
        <v>0</v>
      </c>
    </row>
    <row r="15" spans="1:28" ht="11.25" customHeight="1" x14ac:dyDescent="0.25">
      <c r="A15" s="120"/>
      <c r="B15" s="120"/>
      <c r="C15" s="120"/>
      <c r="D15" s="28" t="s">
        <v>32</v>
      </c>
      <c r="E15" s="28" t="s">
        <v>25</v>
      </c>
      <c r="F15" s="28" t="s">
        <v>25</v>
      </c>
      <c r="G15" s="29" t="s">
        <v>77</v>
      </c>
      <c r="H15" s="29" t="s">
        <v>73</v>
      </c>
      <c r="I15" s="29">
        <f>'MERCADO TE'!$U$12</f>
        <v>10.074999999999999</v>
      </c>
      <c r="J15" s="15"/>
      <c r="L15" s="26">
        <f>'TE BE'!$L$15*'TE BF'!$L$49</f>
        <v>0</v>
      </c>
      <c r="M15" s="26">
        <f>'TE BE'!$M$15*'TE BF'!$M$49</f>
        <v>0</v>
      </c>
      <c r="N15" s="26">
        <f>'TE BE'!$N$15*'TE BF'!$N$49</f>
        <v>0</v>
      </c>
      <c r="O15" s="26">
        <f>'TE BE'!$O$15*'TE BF'!$O$49</f>
        <v>0</v>
      </c>
      <c r="P15" s="26">
        <f>'TE BE'!$P$15*'TE BF'!$P$49</f>
        <v>0</v>
      </c>
      <c r="Q15" s="26">
        <f>SUM($L$15:$P$15)</f>
        <v>0</v>
      </c>
      <c r="R15" s="26">
        <f>'TE BE'!$R$15*'TE BF'!$R$49</f>
        <v>0</v>
      </c>
      <c r="S15" s="26">
        <f>SUM($R$15:$R$15)</f>
        <v>0</v>
      </c>
      <c r="T15" s="26">
        <f>'TE BE'!$T$15*'TE BF'!$T$49</f>
        <v>0</v>
      </c>
      <c r="U15" s="26">
        <f>'TE BE'!$U$15*'TE BF'!$U$49</f>
        <v>0</v>
      </c>
      <c r="V15" s="26">
        <f>'TE BE'!$V$15*'TE BF'!$V$49</f>
        <v>0</v>
      </c>
      <c r="W15" s="26">
        <f>SUM($T$15:$V$15)</f>
        <v>0</v>
      </c>
      <c r="X15" s="26">
        <f>'TE BE'!$AB$15*'TE BF'!$X$49</f>
        <v>0</v>
      </c>
      <c r="Y15" s="26">
        <f>SUM($X$15:$X$15)</f>
        <v>0</v>
      </c>
      <c r="Z15" s="26">
        <f>'TE BE'!$Z$15*'TE BF'!$Z$49</f>
        <v>0</v>
      </c>
      <c r="AA15" s="26">
        <f>SUM($Z$15:$Z$15)</f>
        <v>0</v>
      </c>
      <c r="AB15" s="26">
        <f>SUMIF($L$4:$AA$4,"SUBTOTAL",$L$15:$AA$15)</f>
        <v>0</v>
      </c>
    </row>
    <row r="16" spans="1:28" ht="11.25" customHeight="1" x14ac:dyDescent="0.25">
      <c r="A16" s="120"/>
      <c r="B16" s="120" t="s">
        <v>87</v>
      </c>
      <c r="C16" s="120" t="s">
        <v>24</v>
      </c>
      <c r="D16" s="28" t="s">
        <v>24</v>
      </c>
      <c r="E16" s="28" t="s">
        <v>25</v>
      </c>
      <c r="F16" s="28" t="s">
        <v>25</v>
      </c>
      <c r="G16" s="29" t="s">
        <v>77</v>
      </c>
      <c r="H16" s="29" t="s">
        <v>73</v>
      </c>
      <c r="I16" s="29">
        <f>'MERCADO TE'!$U$13</f>
        <v>0</v>
      </c>
      <c r="J16" s="15"/>
      <c r="L16" s="26">
        <f>'TE BE'!$L$16*'TE BF'!$L$49</f>
        <v>0</v>
      </c>
      <c r="M16" s="26">
        <f>'TE BE'!$M$16*'TE BF'!$M$49</f>
        <v>0</v>
      </c>
      <c r="N16" s="26">
        <f>'TE BE'!$N$16*'TE BF'!$N$49</f>
        <v>0</v>
      </c>
      <c r="O16" s="26">
        <f>'TE BE'!$O$16*'TE BF'!$O$49</f>
        <v>0</v>
      </c>
      <c r="P16" s="26">
        <f>'TE BE'!$P$16*'TE BF'!$P$49</f>
        <v>0</v>
      </c>
      <c r="Q16" s="26">
        <f>SUM($L$16:$P$16)</f>
        <v>0</v>
      </c>
      <c r="R16" s="26">
        <f>'TE BE'!$R$16*'TE BF'!$R$49</f>
        <v>0</v>
      </c>
      <c r="S16" s="26">
        <f>SUM($R$16:$R$16)</f>
        <v>0</v>
      </c>
      <c r="T16" s="26">
        <f>'TE BE'!$T$16*'TE BF'!$T$49</f>
        <v>0</v>
      </c>
      <c r="U16" s="26">
        <f>'TE BE'!$U$16*'TE BF'!$U$49</f>
        <v>0</v>
      </c>
      <c r="V16" s="26">
        <f>'TE BE'!$V$16*'TE BF'!$V$49</f>
        <v>0</v>
      </c>
      <c r="W16" s="26">
        <f>SUM($T$16:$V$16)</f>
        <v>0</v>
      </c>
      <c r="X16" s="26">
        <f>'TE BE'!$AB$16*'TE BF'!$X$49</f>
        <v>0</v>
      </c>
      <c r="Y16" s="26">
        <f>SUM($X$16:$X$16)</f>
        <v>0</v>
      </c>
      <c r="Z16" s="26">
        <f>'TE BE'!$Z$16*'TE BF'!$Z$49</f>
        <v>0</v>
      </c>
      <c r="AA16" s="26">
        <f>SUM($Z$16:$Z$16)</f>
        <v>0</v>
      </c>
      <c r="AB16" s="26">
        <f>SUMIF($L$4:$AA$4,"SUBTOTAL",$L$16:$AA$16)</f>
        <v>0</v>
      </c>
    </row>
    <row r="17" spans="1:28" ht="11.25" customHeight="1" x14ac:dyDescent="0.25">
      <c r="A17" s="120"/>
      <c r="B17" s="120"/>
      <c r="C17" s="120"/>
      <c r="D17" s="28" t="s">
        <v>29</v>
      </c>
      <c r="E17" s="28" t="s">
        <v>25</v>
      </c>
      <c r="F17" s="28" t="s">
        <v>25</v>
      </c>
      <c r="G17" s="29" t="s">
        <v>77</v>
      </c>
      <c r="H17" s="29" t="s">
        <v>73</v>
      </c>
      <c r="I17" s="29">
        <f>'MERCADO TE'!$U$14</f>
        <v>0</v>
      </c>
      <c r="J17" s="15"/>
      <c r="L17" s="26">
        <f>'TE BE'!$L$17*'TE BF'!$L$49</f>
        <v>0</v>
      </c>
      <c r="M17" s="26">
        <f>'TE BE'!$M$17*'TE BF'!$M$49</f>
        <v>0</v>
      </c>
      <c r="N17" s="26">
        <f>'TE BE'!$N$17*'TE BF'!$N$49</f>
        <v>0</v>
      </c>
      <c r="O17" s="26">
        <f>'TE BE'!$O$17*'TE BF'!$O$49</f>
        <v>0</v>
      </c>
      <c r="P17" s="26">
        <f>'TE BE'!$P$17*'TE BF'!$P$49</f>
        <v>0</v>
      </c>
      <c r="Q17" s="26">
        <f>SUM($L$17:$P$17)</f>
        <v>0</v>
      </c>
      <c r="R17" s="26">
        <f>'TE BE'!$R$17*'TE BF'!$R$49</f>
        <v>0</v>
      </c>
      <c r="S17" s="26">
        <f>SUM($R$17:$R$17)</f>
        <v>0</v>
      </c>
      <c r="T17" s="26">
        <f>'TE BE'!$T$17*'TE BF'!$T$49</f>
        <v>0</v>
      </c>
      <c r="U17" s="26">
        <f>'TE BE'!$U$17*'TE BF'!$U$49</f>
        <v>0</v>
      </c>
      <c r="V17" s="26">
        <f>'TE BE'!$V$17*'TE BF'!$V$49</f>
        <v>0</v>
      </c>
      <c r="W17" s="26">
        <f>SUM($T$17:$V$17)</f>
        <v>0</v>
      </c>
      <c r="X17" s="26">
        <f>'TE BE'!$AB$17*'TE BF'!$X$49</f>
        <v>0</v>
      </c>
      <c r="Y17" s="26">
        <f>SUM($X$17:$X$17)</f>
        <v>0</v>
      </c>
      <c r="Z17" s="26">
        <f>'TE BE'!$Z$17*'TE BF'!$Z$49</f>
        <v>0</v>
      </c>
      <c r="AA17" s="26">
        <f>SUM($Z$17:$Z$17)</f>
        <v>0</v>
      </c>
      <c r="AB17" s="26">
        <f>SUMIF($L$4:$AA$4,"SUBTOTAL",$L$17:$AA$17)</f>
        <v>0</v>
      </c>
    </row>
    <row r="18" spans="1:28" ht="11.25" customHeight="1" x14ac:dyDescent="0.25">
      <c r="A18" s="120"/>
      <c r="B18" s="120"/>
      <c r="C18" s="120"/>
      <c r="D18" s="28" t="s">
        <v>30</v>
      </c>
      <c r="E18" s="28" t="s">
        <v>25</v>
      </c>
      <c r="F18" s="28" t="s">
        <v>25</v>
      </c>
      <c r="G18" s="29" t="s">
        <v>77</v>
      </c>
      <c r="H18" s="29" t="s">
        <v>73</v>
      </c>
      <c r="I18" s="29">
        <f>'MERCADO TE'!$U$15</f>
        <v>0</v>
      </c>
      <c r="J18" s="15"/>
      <c r="L18" s="26">
        <f>'TE BE'!$L$18*'TE BF'!$L$49</f>
        <v>0</v>
      </c>
      <c r="M18" s="26">
        <f>'TE BE'!$M$18*'TE BF'!$M$49</f>
        <v>0</v>
      </c>
      <c r="N18" s="26">
        <f>'TE BE'!$N$18*'TE BF'!$N$49</f>
        <v>0</v>
      </c>
      <c r="O18" s="26">
        <f>'TE BE'!$O$18*'TE BF'!$O$49</f>
        <v>0</v>
      </c>
      <c r="P18" s="26">
        <f>'TE BE'!$P$18*'TE BF'!$P$49</f>
        <v>0</v>
      </c>
      <c r="Q18" s="26">
        <f>SUM($L$18:$P$18)</f>
        <v>0</v>
      </c>
      <c r="R18" s="26">
        <f>'TE BE'!$R$18*'TE BF'!$R$49</f>
        <v>0</v>
      </c>
      <c r="S18" s="26">
        <f>SUM($R$18:$R$18)</f>
        <v>0</v>
      </c>
      <c r="T18" s="26">
        <f>'TE BE'!$T$18*'TE BF'!$T$49</f>
        <v>0</v>
      </c>
      <c r="U18" s="26">
        <f>'TE BE'!$U$18*'TE BF'!$U$49</f>
        <v>0</v>
      </c>
      <c r="V18" s="26">
        <f>'TE BE'!$V$18*'TE BF'!$V$49</f>
        <v>0</v>
      </c>
      <c r="W18" s="26">
        <f>SUM($T$18:$V$18)</f>
        <v>0</v>
      </c>
      <c r="X18" s="26">
        <f>'TE BE'!$AB$18*'TE BF'!$X$49</f>
        <v>0</v>
      </c>
      <c r="Y18" s="26">
        <f>SUM($X$18:$X$18)</f>
        <v>0</v>
      </c>
      <c r="Z18" s="26">
        <f>'TE BE'!$Z$18*'TE BF'!$Z$49</f>
        <v>0</v>
      </c>
      <c r="AA18" s="26">
        <f>SUM($Z$18:$Z$18)</f>
        <v>0</v>
      </c>
      <c r="AB18" s="26">
        <f>SUMIF($L$4:$AA$4,"SUBTOTAL",$L$18:$AA$18)</f>
        <v>0</v>
      </c>
    </row>
    <row r="19" spans="1:28" ht="11.25" customHeight="1" x14ac:dyDescent="0.25">
      <c r="A19" s="120"/>
      <c r="B19" s="120"/>
      <c r="C19" s="120"/>
      <c r="D19" s="28" t="s">
        <v>31</v>
      </c>
      <c r="E19" s="28" t="s">
        <v>25</v>
      </c>
      <c r="F19" s="28" t="s">
        <v>25</v>
      </c>
      <c r="G19" s="29" t="s">
        <v>77</v>
      </c>
      <c r="H19" s="29" t="s">
        <v>73</v>
      </c>
      <c r="I19" s="29">
        <f>'MERCADO TE'!$U$16</f>
        <v>0</v>
      </c>
      <c r="J19" s="15"/>
      <c r="L19" s="26">
        <f>'TE BE'!$L$19*'TE BF'!$L$49</f>
        <v>0</v>
      </c>
      <c r="M19" s="26">
        <f>'TE BE'!$M$19*'TE BF'!$M$49</f>
        <v>0</v>
      </c>
      <c r="N19" s="26">
        <f>'TE BE'!$N$19*'TE BF'!$N$49</f>
        <v>0</v>
      </c>
      <c r="O19" s="26">
        <f>'TE BE'!$O$19*'TE BF'!$O$49</f>
        <v>0</v>
      </c>
      <c r="P19" s="26">
        <f>'TE BE'!$P$19*'TE BF'!$P$49</f>
        <v>0</v>
      </c>
      <c r="Q19" s="26">
        <f>SUM($L$19:$P$19)</f>
        <v>0</v>
      </c>
      <c r="R19" s="26">
        <f>'TE BE'!$R$19*'TE BF'!$R$49</f>
        <v>0</v>
      </c>
      <c r="S19" s="26">
        <f>SUM($R$19:$R$19)</f>
        <v>0</v>
      </c>
      <c r="T19" s="26">
        <f>'TE BE'!$T$19*'TE BF'!$T$49</f>
        <v>0</v>
      </c>
      <c r="U19" s="26">
        <f>'TE BE'!$U$19*'TE BF'!$U$49</f>
        <v>0</v>
      </c>
      <c r="V19" s="26">
        <f>'TE BE'!$V$19*'TE BF'!$V$49</f>
        <v>0</v>
      </c>
      <c r="W19" s="26">
        <f>SUM($T$19:$V$19)</f>
        <v>0</v>
      </c>
      <c r="X19" s="26">
        <f>'TE BE'!$AB$19*'TE BF'!$X$49</f>
        <v>0</v>
      </c>
      <c r="Y19" s="26">
        <f>SUM($X$19:$X$19)</f>
        <v>0</v>
      </c>
      <c r="Z19" s="26">
        <f>'TE BE'!$Z$19*'TE BF'!$Z$49</f>
        <v>0</v>
      </c>
      <c r="AA19" s="26">
        <f>SUM($Z$19:$Z$19)</f>
        <v>0</v>
      </c>
      <c r="AB19" s="26">
        <f>SUMIF($L$4:$AA$4,"SUBTOTAL",$L$19:$AA$19)</f>
        <v>0</v>
      </c>
    </row>
    <row r="20" spans="1:28" ht="11.25" customHeight="1" x14ac:dyDescent="0.25">
      <c r="A20" s="120"/>
      <c r="B20" s="120"/>
      <c r="C20" s="120"/>
      <c r="D20" s="28" t="s">
        <v>32</v>
      </c>
      <c r="E20" s="28" t="s">
        <v>25</v>
      </c>
      <c r="F20" s="28" t="s">
        <v>25</v>
      </c>
      <c r="G20" s="29" t="s">
        <v>77</v>
      </c>
      <c r="H20" s="29" t="s">
        <v>73</v>
      </c>
      <c r="I20" s="29">
        <f>'MERCADO TE'!$U$17</f>
        <v>0</v>
      </c>
      <c r="J20" s="15"/>
      <c r="L20" s="26">
        <f>'TE BE'!$L$20*'TE BF'!$L$49</f>
        <v>0</v>
      </c>
      <c r="M20" s="26">
        <f>'TE BE'!$M$20*'TE BF'!$M$49</f>
        <v>0</v>
      </c>
      <c r="N20" s="26">
        <f>'TE BE'!$N$20*'TE BF'!$N$49</f>
        <v>0</v>
      </c>
      <c r="O20" s="26">
        <f>'TE BE'!$O$20*'TE BF'!$O$49</f>
        <v>0</v>
      </c>
      <c r="P20" s="26">
        <f>'TE BE'!$P$20*'TE BF'!$P$49</f>
        <v>0</v>
      </c>
      <c r="Q20" s="26">
        <f>SUM($L$20:$P$20)</f>
        <v>0</v>
      </c>
      <c r="R20" s="26">
        <f>'TE BE'!$R$20*'TE BF'!$R$49</f>
        <v>0</v>
      </c>
      <c r="S20" s="26">
        <f>SUM($R$20:$R$20)</f>
        <v>0</v>
      </c>
      <c r="T20" s="26">
        <f>'TE BE'!$T$20*'TE BF'!$T$49</f>
        <v>0</v>
      </c>
      <c r="U20" s="26">
        <f>'TE BE'!$U$20*'TE BF'!$U$49</f>
        <v>0</v>
      </c>
      <c r="V20" s="26">
        <f>'TE BE'!$V$20*'TE BF'!$V$49</f>
        <v>0</v>
      </c>
      <c r="W20" s="26">
        <f>SUM($T$20:$V$20)</f>
        <v>0</v>
      </c>
      <c r="X20" s="26">
        <f>'TE BE'!$AB$20*'TE BF'!$X$49</f>
        <v>0</v>
      </c>
      <c r="Y20" s="26">
        <f>SUM($X$20:$X$20)</f>
        <v>0</v>
      </c>
      <c r="Z20" s="26">
        <f>'TE BE'!$Z$20*'TE BF'!$Z$49</f>
        <v>0</v>
      </c>
      <c r="AA20" s="26">
        <f>SUM($Z$20:$Z$20)</f>
        <v>0</v>
      </c>
      <c r="AB20" s="26">
        <f>SUMIF($L$4:$AA$4,"SUBTOTAL",$L$20:$AA$20)</f>
        <v>0</v>
      </c>
    </row>
    <row r="21" spans="1:28" ht="11.25" customHeight="1" x14ac:dyDescent="0.25">
      <c r="A21" s="120" t="s">
        <v>41</v>
      </c>
      <c r="B21" s="120" t="s">
        <v>72</v>
      </c>
      <c r="C21" s="120" t="s">
        <v>42</v>
      </c>
      <c r="D21" s="120" t="s">
        <v>25</v>
      </c>
      <c r="E21" s="120" t="s">
        <v>25</v>
      </c>
      <c r="F21" s="120" t="s">
        <v>25</v>
      </c>
      <c r="G21" s="29" t="s">
        <v>74</v>
      </c>
      <c r="H21" s="29" t="s">
        <v>73</v>
      </c>
      <c r="I21" s="29">
        <f>'MERCADO TE'!$U$18</f>
        <v>0</v>
      </c>
      <c r="J21" s="15"/>
      <c r="L21" s="26">
        <f>'TE BE'!$L$21*'TE BF'!$L$49</f>
        <v>0</v>
      </c>
      <c r="M21" s="26">
        <f>'TE BE'!$M$21*'TE BF'!$M$49</f>
        <v>0</v>
      </c>
      <c r="N21" s="26">
        <f>'TE BE'!$N$21*'TE BF'!$N$49</f>
        <v>0</v>
      </c>
      <c r="O21" s="26">
        <f>'TE BE'!$O$21*'TE BF'!$O$49</f>
        <v>0</v>
      </c>
      <c r="P21" s="26">
        <f>'TE BE'!$P$21*'TE BF'!$P$49</f>
        <v>0</v>
      </c>
      <c r="Q21" s="26">
        <f>SUM($L$21:$P$21)</f>
        <v>0</v>
      </c>
      <c r="R21" s="26">
        <f>'TE BE'!$R$21*'TE BF'!$R$49</f>
        <v>0</v>
      </c>
      <c r="S21" s="26">
        <f>SUM($R$21:$R$21)</f>
        <v>0</v>
      </c>
      <c r="T21" s="26">
        <f>'TE BE'!$T$21*'TE BF'!$T$49</f>
        <v>0</v>
      </c>
      <c r="U21" s="26">
        <f>'TE BE'!$U$21*'TE BF'!$U$49</f>
        <v>0</v>
      </c>
      <c r="V21" s="26">
        <f>'TE BE'!$V$21*'TE BF'!$V$49</f>
        <v>0</v>
      </c>
      <c r="W21" s="26">
        <f>SUM($T$21:$V$21)</f>
        <v>0</v>
      </c>
      <c r="X21" s="26">
        <f>'TE BE'!$AB$21*'TE BF'!$X$49</f>
        <v>0</v>
      </c>
      <c r="Y21" s="26">
        <f>SUM($X$21:$X$21)</f>
        <v>0</v>
      </c>
      <c r="Z21" s="26">
        <f>'TE BE'!$Z$21*'TE BF'!$Z$49</f>
        <v>0</v>
      </c>
      <c r="AA21" s="26">
        <f>SUM($Z$21:$Z$21)</f>
        <v>0</v>
      </c>
      <c r="AB21" s="26">
        <f>SUMIF($L$4:$AA$4,"SUBTOTAL",$L$21:$AA$21)</f>
        <v>0</v>
      </c>
    </row>
    <row r="22" spans="1:28" ht="11.25" customHeight="1" x14ac:dyDescent="0.25">
      <c r="A22" s="120"/>
      <c r="B22" s="120"/>
      <c r="C22" s="120"/>
      <c r="D22" s="120"/>
      <c r="E22" s="120"/>
      <c r="F22" s="120"/>
      <c r="G22" s="29" t="s">
        <v>85</v>
      </c>
      <c r="H22" s="29" t="s">
        <v>73</v>
      </c>
      <c r="I22" s="29">
        <f>'MERCADO TE'!$U$19</f>
        <v>0</v>
      </c>
      <c r="J22" s="15"/>
      <c r="L22" s="26">
        <f>'TE BE'!$L$22*'TE BF'!$L$49</f>
        <v>0</v>
      </c>
      <c r="M22" s="26">
        <f>'TE BE'!$M$22*'TE BF'!$M$49</f>
        <v>0</v>
      </c>
      <c r="N22" s="26">
        <f>'TE BE'!$N$22*'TE BF'!$N$49</f>
        <v>0</v>
      </c>
      <c r="O22" s="26">
        <f>'TE BE'!$O$22*'TE BF'!$O$49</f>
        <v>0</v>
      </c>
      <c r="P22" s="26">
        <f>'TE BE'!$P$22*'TE BF'!$P$49</f>
        <v>0</v>
      </c>
      <c r="Q22" s="26">
        <f>SUM($L$22:$P$22)</f>
        <v>0</v>
      </c>
      <c r="R22" s="26">
        <f>'TE BE'!$R$22*'TE BF'!$R$49</f>
        <v>0</v>
      </c>
      <c r="S22" s="26">
        <f>SUM($R$22:$R$22)</f>
        <v>0</v>
      </c>
      <c r="T22" s="26">
        <f>'TE BE'!$T$22*'TE BF'!$T$49</f>
        <v>0</v>
      </c>
      <c r="U22" s="26">
        <f>'TE BE'!$U$22*'TE BF'!$U$49</f>
        <v>0</v>
      </c>
      <c r="V22" s="26">
        <f>'TE BE'!$V$22*'TE BF'!$V$49</f>
        <v>0</v>
      </c>
      <c r="W22" s="26">
        <f>SUM($T$22:$V$22)</f>
        <v>0</v>
      </c>
      <c r="X22" s="26">
        <f>'TE BE'!$AB$22*'TE BF'!$X$49</f>
        <v>0</v>
      </c>
      <c r="Y22" s="26">
        <f>SUM($X$22:$X$22)</f>
        <v>0</v>
      </c>
      <c r="Z22" s="26">
        <f>'TE BE'!$Z$22*'TE BF'!$Z$49</f>
        <v>0</v>
      </c>
      <c r="AA22" s="26">
        <f>SUM($Z$22:$Z$22)</f>
        <v>0</v>
      </c>
      <c r="AB22" s="26">
        <f>SUMIF($L$4:$AA$4,"SUBTOTAL",$L$22:$AA$22)</f>
        <v>0</v>
      </c>
    </row>
    <row r="23" spans="1:28" ht="11.25" customHeight="1" x14ac:dyDescent="0.25">
      <c r="A23" s="120"/>
      <c r="B23" s="120"/>
      <c r="C23" s="120"/>
      <c r="D23" s="120"/>
      <c r="E23" s="120"/>
      <c r="F23" s="120"/>
      <c r="G23" s="29" t="s">
        <v>75</v>
      </c>
      <c r="H23" s="29" t="s">
        <v>73</v>
      </c>
      <c r="I23" s="29">
        <f>'MERCADO TE'!$U$20</f>
        <v>0</v>
      </c>
      <c r="J23" s="15"/>
      <c r="L23" s="26">
        <f>'TE BE'!$L$23*'TE BF'!$L$49</f>
        <v>0</v>
      </c>
      <c r="M23" s="26">
        <f>'TE BE'!$M$23*'TE BF'!$M$49</f>
        <v>0</v>
      </c>
      <c r="N23" s="26">
        <f>'TE BE'!$N$23*'TE BF'!$N$49</f>
        <v>0</v>
      </c>
      <c r="O23" s="26">
        <f>'TE BE'!$O$23*'TE BF'!$O$49</f>
        <v>0</v>
      </c>
      <c r="P23" s="26">
        <f>'TE BE'!$P$23*'TE BF'!$P$49</f>
        <v>0</v>
      </c>
      <c r="Q23" s="26">
        <f>SUM($L$23:$P$23)</f>
        <v>0</v>
      </c>
      <c r="R23" s="26">
        <f>'TE BE'!$R$23*'TE BF'!$R$49</f>
        <v>0</v>
      </c>
      <c r="S23" s="26">
        <f>SUM($R$23:$R$23)</f>
        <v>0</v>
      </c>
      <c r="T23" s="26">
        <f>'TE BE'!$T$23*'TE BF'!$T$49</f>
        <v>0</v>
      </c>
      <c r="U23" s="26">
        <f>'TE BE'!$U$23*'TE BF'!$U$49</f>
        <v>0</v>
      </c>
      <c r="V23" s="26">
        <f>'TE BE'!$V$23*'TE BF'!$V$49</f>
        <v>0</v>
      </c>
      <c r="W23" s="26">
        <f>SUM($T$23:$V$23)</f>
        <v>0</v>
      </c>
      <c r="X23" s="26">
        <f>'TE BE'!$AB$23*'TE BF'!$X$49</f>
        <v>0</v>
      </c>
      <c r="Y23" s="26">
        <f>SUM($X$23:$X$23)</f>
        <v>0</v>
      </c>
      <c r="Z23" s="26">
        <f>'TE BE'!$Z$23*'TE BF'!$Z$49</f>
        <v>0</v>
      </c>
      <c r="AA23" s="26">
        <f>SUM($Z$23:$Z$23)</f>
        <v>0</v>
      </c>
      <c r="AB23" s="26">
        <f>SUMIF($L$4:$AA$4,"SUBTOTAL",$L$23:$AA$23)</f>
        <v>0</v>
      </c>
    </row>
    <row r="24" spans="1:28" ht="11.25" customHeight="1" x14ac:dyDescent="0.25">
      <c r="A24" s="120"/>
      <c r="B24" s="28" t="s">
        <v>76</v>
      </c>
      <c r="C24" s="28" t="s">
        <v>42</v>
      </c>
      <c r="D24" s="28" t="s">
        <v>25</v>
      </c>
      <c r="E24" s="28" t="s">
        <v>25</v>
      </c>
      <c r="F24" s="28" t="s">
        <v>25</v>
      </c>
      <c r="G24" s="29" t="s">
        <v>77</v>
      </c>
      <c r="H24" s="29" t="s">
        <v>73</v>
      </c>
      <c r="I24" s="29">
        <f>'MERCADO TE'!$U$21</f>
        <v>21333.253999999997</v>
      </c>
      <c r="J24" s="15"/>
      <c r="L24" s="26">
        <f>'TE BE'!$L$24*'TE BF'!$L$49</f>
        <v>0</v>
      </c>
      <c r="M24" s="26">
        <f>'TE BE'!$M$24*'TE BF'!$M$49</f>
        <v>0</v>
      </c>
      <c r="N24" s="26">
        <f>'TE BE'!$N$24*'TE BF'!$N$49</f>
        <v>0</v>
      </c>
      <c r="O24" s="26">
        <f>'TE BE'!$O$24*'TE BF'!$O$49</f>
        <v>0</v>
      </c>
      <c r="P24" s="26">
        <f>'TE BE'!$P$24*'TE BF'!$P$49</f>
        <v>0</v>
      </c>
      <c r="Q24" s="26">
        <f>SUM($L$24:$P$24)</f>
        <v>0</v>
      </c>
      <c r="R24" s="26">
        <f>'TE BE'!$R$24*'TE BF'!$R$49</f>
        <v>0</v>
      </c>
      <c r="S24" s="26">
        <f>SUM($R$24:$R$24)</f>
        <v>0</v>
      </c>
      <c r="T24" s="26">
        <f>'TE BE'!$T$24*'TE BF'!$T$49</f>
        <v>0</v>
      </c>
      <c r="U24" s="26">
        <f>'TE BE'!$U$24*'TE BF'!$U$49</f>
        <v>0</v>
      </c>
      <c r="V24" s="26">
        <f>'TE BE'!$V$24*'TE BF'!$V$49</f>
        <v>0</v>
      </c>
      <c r="W24" s="26">
        <f>SUM($T$24:$V$24)</f>
        <v>0</v>
      </c>
      <c r="X24" s="26">
        <f>'TE BE'!$AB$24*'TE BF'!$X$49</f>
        <v>0</v>
      </c>
      <c r="Y24" s="26">
        <f>SUM($X$24:$X$24)</f>
        <v>0</v>
      </c>
      <c r="Z24" s="26">
        <f>'TE BE'!$Z$24*'TE BF'!$Z$49</f>
        <v>0</v>
      </c>
      <c r="AA24" s="26">
        <f>SUM($Z$24:$Z$24)</f>
        <v>0</v>
      </c>
      <c r="AB24" s="26">
        <f>SUMIF($L$4:$AA$4,"SUBTOTAL",$L$24:$AA$24)</f>
        <v>0</v>
      </c>
    </row>
    <row r="25" spans="1:28" ht="11.25" customHeight="1" x14ac:dyDescent="0.25">
      <c r="A25" s="120"/>
      <c r="B25" s="120" t="s">
        <v>72</v>
      </c>
      <c r="C25" s="120" t="s">
        <v>42</v>
      </c>
      <c r="D25" s="120" t="s">
        <v>89</v>
      </c>
      <c r="E25" s="120" t="s">
        <v>25</v>
      </c>
      <c r="F25" s="120" t="s">
        <v>25</v>
      </c>
      <c r="G25" s="29" t="s">
        <v>74</v>
      </c>
      <c r="H25" s="29" t="s">
        <v>73</v>
      </c>
      <c r="I25" s="29">
        <f>'MERCADO TE'!$U$22</f>
        <v>0</v>
      </c>
      <c r="J25" s="15"/>
      <c r="L25" s="26">
        <f>'TE BE'!$L$25*'TE BF'!$L$49</f>
        <v>0</v>
      </c>
      <c r="M25" s="26">
        <f>'TE BE'!$M$25*'TE BF'!$M$49</f>
        <v>0</v>
      </c>
      <c r="N25" s="26">
        <f>'TE BE'!$N$25*'TE BF'!$N$49</f>
        <v>0</v>
      </c>
      <c r="O25" s="26">
        <f>'TE BE'!$O$25*'TE BF'!$O$49</f>
        <v>0</v>
      </c>
      <c r="P25" s="26">
        <f>'TE BE'!$P$25*'TE BF'!$P$49</f>
        <v>0</v>
      </c>
      <c r="Q25" s="26">
        <f>SUM($L$25:$P$25)</f>
        <v>0</v>
      </c>
      <c r="R25" s="26">
        <f>'TE BE'!$R$25*'TE BF'!$R$49</f>
        <v>0</v>
      </c>
      <c r="S25" s="26">
        <f>SUM($R$25:$R$25)</f>
        <v>0</v>
      </c>
      <c r="T25" s="26">
        <f>'TE BE'!$T$25*'TE BF'!$T$49</f>
        <v>0</v>
      </c>
      <c r="U25" s="26">
        <f>'TE BE'!$U$25*'TE BF'!$U$49</f>
        <v>0</v>
      </c>
      <c r="V25" s="26">
        <f>'TE BE'!$V$25*'TE BF'!$V$49</f>
        <v>0</v>
      </c>
      <c r="W25" s="26">
        <f>SUM($T$25:$V$25)</f>
        <v>0</v>
      </c>
      <c r="X25" s="26">
        <f>'TE BE'!$AB$25*'TE BF'!$X$49</f>
        <v>0</v>
      </c>
      <c r="Y25" s="26">
        <f>SUM($X$25:$X$25)</f>
        <v>0</v>
      </c>
      <c r="Z25" s="26">
        <f>'TE BE'!$Z$25*'TE BF'!$Z$49</f>
        <v>0</v>
      </c>
      <c r="AA25" s="26">
        <f>SUM($Z$25:$Z$25)</f>
        <v>0</v>
      </c>
      <c r="AB25" s="26">
        <f>SUMIF($L$4:$AA$4,"SUBTOTAL",$L$25:$AA$25)</f>
        <v>0</v>
      </c>
    </row>
    <row r="26" spans="1:28" ht="11.25" customHeight="1" x14ac:dyDescent="0.25">
      <c r="A26" s="120"/>
      <c r="B26" s="120"/>
      <c r="C26" s="120"/>
      <c r="D26" s="120"/>
      <c r="E26" s="120"/>
      <c r="F26" s="120"/>
      <c r="G26" s="29" t="s">
        <v>85</v>
      </c>
      <c r="H26" s="29" t="s">
        <v>73</v>
      </c>
      <c r="I26" s="29">
        <f>'MERCADO TE'!$U$23</f>
        <v>0</v>
      </c>
      <c r="J26" s="15"/>
      <c r="L26" s="26">
        <f>'TE BE'!$L$26*'TE BF'!$L$49</f>
        <v>0</v>
      </c>
      <c r="M26" s="26">
        <f>'TE BE'!$M$26*'TE BF'!$M$49</f>
        <v>0</v>
      </c>
      <c r="N26" s="26">
        <f>'TE BE'!$N$26*'TE BF'!$N$49</f>
        <v>0</v>
      </c>
      <c r="O26" s="26">
        <f>'TE BE'!$O$26*'TE BF'!$O$49</f>
        <v>0</v>
      </c>
      <c r="P26" s="26">
        <f>'TE BE'!$P$26*'TE BF'!$P$49</f>
        <v>0</v>
      </c>
      <c r="Q26" s="26">
        <f>SUM($L$26:$P$26)</f>
        <v>0</v>
      </c>
      <c r="R26" s="26">
        <f>'TE BE'!$R$26*'TE BF'!$R$49</f>
        <v>0</v>
      </c>
      <c r="S26" s="26">
        <f>SUM($R$26:$R$26)</f>
        <v>0</v>
      </c>
      <c r="T26" s="26">
        <f>'TE BE'!$T$26*'TE BF'!$T$49</f>
        <v>0</v>
      </c>
      <c r="U26" s="26">
        <f>'TE BE'!$U$26*'TE BF'!$U$49</f>
        <v>0</v>
      </c>
      <c r="V26" s="26">
        <f>'TE BE'!$V$26*'TE BF'!$V$49</f>
        <v>0</v>
      </c>
      <c r="W26" s="26">
        <f>SUM($T$26:$V$26)</f>
        <v>0</v>
      </c>
      <c r="X26" s="26">
        <f>'TE BE'!$AB$26*'TE BF'!$X$49</f>
        <v>0</v>
      </c>
      <c r="Y26" s="26">
        <f>SUM($X$26:$X$26)</f>
        <v>0</v>
      </c>
      <c r="Z26" s="26">
        <f>'TE BE'!$Z$26*'TE BF'!$Z$49</f>
        <v>0</v>
      </c>
      <c r="AA26" s="26">
        <f>SUM($Z$26:$Z$26)</f>
        <v>0</v>
      </c>
      <c r="AB26" s="26">
        <f>SUMIF($L$4:$AA$4,"SUBTOTAL",$L$26:$AA$26)</f>
        <v>0</v>
      </c>
    </row>
    <row r="27" spans="1:28" ht="11.25" customHeight="1" x14ac:dyDescent="0.25">
      <c r="A27" s="120"/>
      <c r="B27" s="120"/>
      <c r="C27" s="120"/>
      <c r="D27" s="120"/>
      <c r="E27" s="120"/>
      <c r="F27" s="120"/>
      <c r="G27" s="29" t="s">
        <v>75</v>
      </c>
      <c r="H27" s="29" t="s">
        <v>73</v>
      </c>
      <c r="I27" s="29">
        <f>'MERCADO TE'!$U$24</f>
        <v>0</v>
      </c>
      <c r="J27" s="15"/>
      <c r="L27" s="26">
        <f>'TE BE'!$L$27*'TE BF'!$L$49</f>
        <v>0</v>
      </c>
      <c r="M27" s="26">
        <f>'TE BE'!$M$27*'TE BF'!$M$49</f>
        <v>0</v>
      </c>
      <c r="N27" s="26">
        <f>'TE BE'!$N$27*'TE BF'!$N$49</f>
        <v>0</v>
      </c>
      <c r="O27" s="26">
        <f>'TE BE'!$O$27*'TE BF'!$O$49</f>
        <v>0</v>
      </c>
      <c r="P27" s="26">
        <f>'TE BE'!$P$27*'TE BF'!$P$49</f>
        <v>0</v>
      </c>
      <c r="Q27" s="26">
        <f>SUM($L$27:$P$27)</f>
        <v>0</v>
      </c>
      <c r="R27" s="26">
        <f>'TE BE'!$R$27*'TE BF'!$R$49</f>
        <v>0</v>
      </c>
      <c r="S27" s="26">
        <f>SUM($R$27:$R$27)</f>
        <v>0</v>
      </c>
      <c r="T27" s="26">
        <f>'TE BE'!$T$27*'TE BF'!$T$49</f>
        <v>0</v>
      </c>
      <c r="U27" s="26">
        <f>'TE BE'!$U$27*'TE BF'!$U$49</f>
        <v>0</v>
      </c>
      <c r="V27" s="26">
        <f>'TE BE'!$V$27*'TE BF'!$V$49</f>
        <v>0</v>
      </c>
      <c r="W27" s="26">
        <f>SUM($T$27:$V$27)</f>
        <v>0</v>
      </c>
      <c r="X27" s="26">
        <f>'TE BE'!$AB$27*'TE BF'!$X$49</f>
        <v>0</v>
      </c>
      <c r="Y27" s="26">
        <f>SUM($X$27:$X$27)</f>
        <v>0</v>
      </c>
      <c r="Z27" s="26">
        <f>'TE BE'!$Z$27*'TE BF'!$Z$49</f>
        <v>0</v>
      </c>
      <c r="AA27" s="26">
        <f>SUM($Z$27:$Z$27)</f>
        <v>0</v>
      </c>
      <c r="AB27" s="26">
        <f>SUMIF($L$4:$AA$4,"SUBTOTAL",$L$27:$AA$27)</f>
        <v>0</v>
      </c>
    </row>
    <row r="28" spans="1:28" ht="11.25" customHeight="1" x14ac:dyDescent="0.25">
      <c r="A28" s="120"/>
      <c r="B28" s="28" t="s">
        <v>76</v>
      </c>
      <c r="C28" s="28" t="s">
        <v>42</v>
      </c>
      <c r="D28" s="28" t="s">
        <v>89</v>
      </c>
      <c r="E28" s="28" t="s">
        <v>25</v>
      </c>
      <c r="F28" s="28" t="s">
        <v>25</v>
      </c>
      <c r="G28" s="29" t="s">
        <v>77</v>
      </c>
      <c r="H28" s="29" t="s">
        <v>73</v>
      </c>
      <c r="I28" s="29">
        <f>'MERCADO TE'!$U$25</f>
        <v>0</v>
      </c>
      <c r="J28" s="15"/>
      <c r="L28" s="26">
        <f>'TE BE'!$L$28*'TE BF'!$L$49</f>
        <v>0</v>
      </c>
      <c r="M28" s="26">
        <f>'TE BE'!$M$28*'TE BF'!$M$49</f>
        <v>0</v>
      </c>
      <c r="N28" s="26">
        <f>'TE BE'!$N$28*'TE BF'!$N$49</f>
        <v>0</v>
      </c>
      <c r="O28" s="26">
        <f>'TE BE'!$O$28*'TE BF'!$O$49</f>
        <v>0</v>
      </c>
      <c r="P28" s="26">
        <f>'TE BE'!$P$28*'TE BF'!$P$49</f>
        <v>0</v>
      </c>
      <c r="Q28" s="26">
        <f>SUM($L$28:$P$28)</f>
        <v>0</v>
      </c>
      <c r="R28" s="26">
        <f>'TE BE'!$R$28*'TE BF'!$R$49</f>
        <v>0</v>
      </c>
      <c r="S28" s="26">
        <f>SUM($R$28:$R$28)</f>
        <v>0</v>
      </c>
      <c r="T28" s="26">
        <f>'TE BE'!$T$28*'TE BF'!$T$49</f>
        <v>0</v>
      </c>
      <c r="U28" s="26">
        <f>'TE BE'!$U$28*'TE BF'!$U$49</f>
        <v>0</v>
      </c>
      <c r="V28" s="26">
        <f>'TE BE'!$V$28*'TE BF'!$V$49</f>
        <v>0</v>
      </c>
      <c r="W28" s="26">
        <f>SUM($T$28:$V$28)</f>
        <v>0</v>
      </c>
      <c r="X28" s="26">
        <f>'TE BE'!$AB$28*'TE BF'!$X$49</f>
        <v>0</v>
      </c>
      <c r="Y28" s="26">
        <f>SUM($X$28:$X$28)</f>
        <v>0</v>
      </c>
      <c r="Z28" s="26">
        <f>'TE BE'!$Z$28*'TE BF'!$Z$49</f>
        <v>0</v>
      </c>
      <c r="AA28" s="26">
        <f>SUM($Z$28:$Z$28)</f>
        <v>0</v>
      </c>
      <c r="AB28" s="26">
        <f>SUMIF($L$4:$AA$4,"SUBTOTAL",$L$28:$AA$28)</f>
        <v>0</v>
      </c>
    </row>
    <row r="29" spans="1:28" ht="11.25" customHeight="1" x14ac:dyDescent="0.25">
      <c r="A29" s="120"/>
      <c r="B29" s="120" t="s">
        <v>72</v>
      </c>
      <c r="C29" s="120" t="s">
        <v>42</v>
      </c>
      <c r="D29" s="120" t="s">
        <v>90</v>
      </c>
      <c r="E29" s="120" t="s">
        <v>25</v>
      </c>
      <c r="F29" s="120" t="s">
        <v>25</v>
      </c>
      <c r="G29" s="29" t="s">
        <v>74</v>
      </c>
      <c r="H29" s="29" t="s">
        <v>73</v>
      </c>
      <c r="I29" s="29">
        <f>'MERCADO TE'!$U$26</f>
        <v>0</v>
      </c>
      <c r="J29" s="15"/>
      <c r="L29" s="26">
        <f>'TE BE'!$L$29*'TE BF'!$L$49</f>
        <v>0</v>
      </c>
      <c r="M29" s="26">
        <f>'TE BE'!$M$29*'TE BF'!$M$49</f>
        <v>0</v>
      </c>
      <c r="N29" s="26">
        <f>'TE BE'!$N$29*'TE BF'!$N$49</f>
        <v>0</v>
      </c>
      <c r="O29" s="26">
        <f>'TE BE'!$O$29*'TE BF'!$O$49</f>
        <v>0</v>
      </c>
      <c r="P29" s="26">
        <f>'TE BE'!$P$29*'TE BF'!$P$49</f>
        <v>0</v>
      </c>
      <c r="Q29" s="26">
        <f>SUM($L$29:$P$29)</f>
        <v>0</v>
      </c>
      <c r="R29" s="26">
        <f>'TE BE'!$R$29*'TE BF'!$R$49</f>
        <v>0</v>
      </c>
      <c r="S29" s="26">
        <f>SUM($R$29:$R$29)</f>
        <v>0</v>
      </c>
      <c r="T29" s="26">
        <f>'TE BE'!$T$29*'TE BF'!$T$49</f>
        <v>0</v>
      </c>
      <c r="U29" s="26">
        <f>'TE BE'!$U$29*'TE BF'!$U$49</f>
        <v>0</v>
      </c>
      <c r="V29" s="26">
        <f>'TE BE'!$V$29*'TE BF'!$V$49</f>
        <v>0</v>
      </c>
      <c r="W29" s="26">
        <f>SUM($T$29:$V$29)</f>
        <v>0</v>
      </c>
      <c r="X29" s="26">
        <f>'TE BE'!$AB$29*'TE BF'!$X$49</f>
        <v>0</v>
      </c>
      <c r="Y29" s="26">
        <f>SUM($X$29:$X$29)</f>
        <v>0</v>
      </c>
      <c r="Z29" s="26">
        <f>'TE BE'!$Z$29*'TE BF'!$Z$49</f>
        <v>0</v>
      </c>
      <c r="AA29" s="26">
        <f>SUM($Z$29:$Z$29)</f>
        <v>0</v>
      </c>
      <c r="AB29" s="26">
        <f>SUMIF($L$4:$AA$4,"SUBTOTAL",$L$29:$AA$29)</f>
        <v>0</v>
      </c>
    </row>
    <row r="30" spans="1:28" ht="11.25" customHeight="1" x14ac:dyDescent="0.25">
      <c r="A30" s="120"/>
      <c r="B30" s="120"/>
      <c r="C30" s="120"/>
      <c r="D30" s="120"/>
      <c r="E30" s="120"/>
      <c r="F30" s="120"/>
      <c r="G30" s="29" t="s">
        <v>85</v>
      </c>
      <c r="H30" s="29" t="s">
        <v>73</v>
      </c>
      <c r="I30" s="29">
        <f>'MERCADO TE'!$U$27</f>
        <v>0</v>
      </c>
      <c r="J30" s="15"/>
      <c r="L30" s="26">
        <f>'TE BE'!$L$30*'TE BF'!$L$49</f>
        <v>0</v>
      </c>
      <c r="M30" s="26">
        <f>'TE BE'!$M$30*'TE BF'!$M$49</f>
        <v>0</v>
      </c>
      <c r="N30" s="26">
        <f>'TE BE'!$N$30*'TE BF'!$N$49</f>
        <v>0</v>
      </c>
      <c r="O30" s="26">
        <f>'TE BE'!$O$30*'TE BF'!$O$49</f>
        <v>0</v>
      </c>
      <c r="P30" s="26">
        <f>'TE BE'!$P$30*'TE BF'!$P$49</f>
        <v>0</v>
      </c>
      <c r="Q30" s="26">
        <f>SUM($L$30:$P$30)</f>
        <v>0</v>
      </c>
      <c r="R30" s="26">
        <f>'TE BE'!$R$30*'TE BF'!$R$49</f>
        <v>0</v>
      </c>
      <c r="S30" s="26">
        <f>SUM($R$30:$R$30)</f>
        <v>0</v>
      </c>
      <c r="T30" s="26">
        <f>'TE BE'!$T$30*'TE BF'!$T$49</f>
        <v>0</v>
      </c>
      <c r="U30" s="26">
        <f>'TE BE'!$U$30*'TE BF'!$U$49</f>
        <v>0</v>
      </c>
      <c r="V30" s="26">
        <f>'TE BE'!$V$30*'TE BF'!$V$49</f>
        <v>0</v>
      </c>
      <c r="W30" s="26">
        <f>SUM($T$30:$V$30)</f>
        <v>0</v>
      </c>
      <c r="X30" s="26">
        <f>'TE BE'!$AB$30*'TE BF'!$X$49</f>
        <v>0</v>
      </c>
      <c r="Y30" s="26">
        <f>SUM($X$30:$X$30)</f>
        <v>0</v>
      </c>
      <c r="Z30" s="26">
        <f>'TE BE'!$Z$30*'TE BF'!$Z$49</f>
        <v>0</v>
      </c>
      <c r="AA30" s="26">
        <f>SUM($Z$30:$Z$30)</f>
        <v>0</v>
      </c>
      <c r="AB30" s="26">
        <f>SUMIF($L$4:$AA$4,"SUBTOTAL",$L$30:$AA$30)</f>
        <v>0</v>
      </c>
    </row>
    <row r="31" spans="1:28" ht="11.25" customHeight="1" x14ac:dyDescent="0.25">
      <c r="A31" s="120"/>
      <c r="B31" s="120"/>
      <c r="C31" s="120"/>
      <c r="D31" s="120"/>
      <c r="E31" s="120"/>
      <c r="F31" s="120"/>
      <c r="G31" s="29" t="s">
        <v>75</v>
      </c>
      <c r="H31" s="29" t="s">
        <v>73</v>
      </c>
      <c r="I31" s="29">
        <f>'MERCADO TE'!$U$28</f>
        <v>0</v>
      </c>
      <c r="J31" s="15"/>
      <c r="L31" s="26">
        <f>'TE BE'!$L$31*'TE BF'!$L$49</f>
        <v>0</v>
      </c>
      <c r="M31" s="26">
        <f>'TE BE'!$M$31*'TE BF'!$M$49</f>
        <v>0</v>
      </c>
      <c r="N31" s="26">
        <f>'TE BE'!$N$31*'TE BF'!$N$49</f>
        <v>0</v>
      </c>
      <c r="O31" s="26">
        <f>'TE BE'!$O$31*'TE BF'!$O$49</f>
        <v>0</v>
      </c>
      <c r="P31" s="26">
        <f>'TE BE'!$P$31*'TE BF'!$P$49</f>
        <v>0</v>
      </c>
      <c r="Q31" s="26">
        <f>SUM($L$31:$P$31)</f>
        <v>0</v>
      </c>
      <c r="R31" s="26">
        <f>'TE BE'!$R$31*'TE BF'!$R$49</f>
        <v>0</v>
      </c>
      <c r="S31" s="26">
        <f>SUM($R$31:$R$31)</f>
        <v>0</v>
      </c>
      <c r="T31" s="26">
        <f>'TE BE'!$T$31*'TE BF'!$T$49</f>
        <v>0</v>
      </c>
      <c r="U31" s="26">
        <f>'TE BE'!$U$31*'TE BF'!$U$49</f>
        <v>0</v>
      </c>
      <c r="V31" s="26">
        <f>'TE BE'!$V$31*'TE BF'!$V$49</f>
        <v>0</v>
      </c>
      <c r="W31" s="26">
        <f>SUM($T$31:$V$31)</f>
        <v>0</v>
      </c>
      <c r="X31" s="26">
        <f>'TE BE'!$AB$31*'TE BF'!$X$49</f>
        <v>0</v>
      </c>
      <c r="Y31" s="26">
        <f>SUM($X$31:$X$31)</f>
        <v>0</v>
      </c>
      <c r="Z31" s="26">
        <f>'TE BE'!$Z$31*'TE BF'!$Z$49</f>
        <v>0</v>
      </c>
      <c r="AA31" s="26">
        <f>SUM($Z$31:$Z$31)</f>
        <v>0</v>
      </c>
      <c r="AB31" s="26">
        <f>SUMIF($L$4:$AA$4,"SUBTOTAL",$L$31:$AA$31)</f>
        <v>0</v>
      </c>
    </row>
    <row r="32" spans="1:28" ht="11.25" customHeight="1" x14ac:dyDescent="0.25">
      <c r="A32" s="120"/>
      <c r="B32" s="28" t="s">
        <v>76</v>
      </c>
      <c r="C32" s="28" t="s">
        <v>42</v>
      </c>
      <c r="D32" s="28" t="s">
        <v>90</v>
      </c>
      <c r="E32" s="28" t="s">
        <v>25</v>
      </c>
      <c r="F32" s="28" t="s">
        <v>25</v>
      </c>
      <c r="G32" s="29" t="s">
        <v>77</v>
      </c>
      <c r="H32" s="29" t="s">
        <v>73</v>
      </c>
      <c r="I32" s="29">
        <f>'MERCADO TE'!$U$29</f>
        <v>0</v>
      </c>
      <c r="J32" s="15"/>
      <c r="L32" s="26">
        <f>'TE BE'!$L$32*'TE BF'!$L$49</f>
        <v>0</v>
      </c>
      <c r="M32" s="26">
        <f>'TE BE'!$M$32*'TE BF'!$M$49</f>
        <v>0</v>
      </c>
      <c r="N32" s="26">
        <f>'TE BE'!$N$32*'TE BF'!$N$49</f>
        <v>0</v>
      </c>
      <c r="O32" s="26">
        <f>'TE BE'!$O$32*'TE BF'!$O$49</f>
        <v>0</v>
      </c>
      <c r="P32" s="26">
        <f>'TE BE'!$P$32*'TE BF'!$P$49</f>
        <v>0</v>
      </c>
      <c r="Q32" s="26">
        <f>SUM($L$32:$P$32)</f>
        <v>0</v>
      </c>
      <c r="R32" s="26">
        <f>'TE BE'!$R$32*'TE BF'!$R$49</f>
        <v>0</v>
      </c>
      <c r="S32" s="26">
        <f>SUM($R$32:$R$32)</f>
        <v>0</v>
      </c>
      <c r="T32" s="26">
        <f>'TE BE'!$T$32*'TE BF'!$T$49</f>
        <v>0</v>
      </c>
      <c r="U32" s="26">
        <f>'TE BE'!$U$32*'TE BF'!$U$49</f>
        <v>0</v>
      </c>
      <c r="V32" s="26">
        <f>'TE BE'!$V$32*'TE BF'!$V$49</f>
        <v>0</v>
      </c>
      <c r="W32" s="26">
        <f>SUM($T$32:$V$32)</f>
        <v>0</v>
      </c>
      <c r="X32" s="26">
        <f>'TE BE'!$AB$32*'TE BF'!$X$49</f>
        <v>0</v>
      </c>
      <c r="Y32" s="26">
        <f>SUM($X$32:$X$32)</f>
        <v>0</v>
      </c>
      <c r="Z32" s="26">
        <f>'TE BE'!$Z$32*'TE BF'!$Z$49</f>
        <v>0</v>
      </c>
      <c r="AA32" s="26">
        <f>SUM($Z$32:$Z$32)</f>
        <v>0</v>
      </c>
      <c r="AB32" s="26">
        <f>SUMIF($L$4:$AA$4,"SUBTOTAL",$L$32:$AA$32)</f>
        <v>0</v>
      </c>
    </row>
    <row r="33" spans="1:28" ht="11.25" customHeight="1" x14ac:dyDescent="0.25">
      <c r="A33" s="120"/>
      <c r="B33" s="120" t="s">
        <v>87</v>
      </c>
      <c r="C33" s="120" t="s">
        <v>42</v>
      </c>
      <c r="D33" s="28" t="s">
        <v>25</v>
      </c>
      <c r="E33" s="28" t="s">
        <v>25</v>
      </c>
      <c r="F33" s="28" t="s">
        <v>25</v>
      </c>
      <c r="G33" s="29" t="s">
        <v>77</v>
      </c>
      <c r="H33" s="29" t="s">
        <v>73</v>
      </c>
      <c r="I33" s="29">
        <f>'MERCADO TE'!$U$30</f>
        <v>0</v>
      </c>
      <c r="J33" s="15"/>
      <c r="L33" s="26">
        <f>'TE BE'!$L$33*'TE BF'!$L$49</f>
        <v>0</v>
      </c>
      <c r="M33" s="26">
        <f>'TE BE'!$M$33*'TE BF'!$M$49</f>
        <v>0</v>
      </c>
      <c r="N33" s="26">
        <f>'TE BE'!$N$33*'TE BF'!$N$49</f>
        <v>0</v>
      </c>
      <c r="O33" s="26">
        <f>'TE BE'!$O$33*'TE BF'!$O$49</f>
        <v>0</v>
      </c>
      <c r="P33" s="26">
        <f>'TE BE'!$P$33*'TE BF'!$P$49</f>
        <v>0</v>
      </c>
      <c r="Q33" s="26">
        <f>SUM($L$33:$P$33)</f>
        <v>0</v>
      </c>
      <c r="R33" s="26">
        <f>'TE BE'!$R$33*'TE BF'!$R$49</f>
        <v>0</v>
      </c>
      <c r="S33" s="26">
        <f>SUM($R$33:$R$33)</f>
        <v>0</v>
      </c>
      <c r="T33" s="26">
        <f>'TE BE'!$T$33*'TE BF'!$T$49</f>
        <v>0</v>
      </c>
      <c r="U33" s="26">
        <f>'TE BE'!$U$33*'TE BF'!$U$49</f>
        <v>0</v>
      </c>
      <c r="V33" s="26">
        <f>'TE BE'!$V$33*'TE BF'!$V$49</f>
        <v>0</v>
      </c>
      <c r="W33" s="26">
        <f>SUM($T$33:$V$33)</f>
        <v>0</v>
      </c>
      <c r="X33" s="26">
        <f>'TE BE'!$AB$33*'TE BF'!$X$49</f>
        <v>0</v>
      </c>
      <c r="Y33" s="26">
        <f>SUM($X$33:$X$33)</f>
        <v>0</v>
      </c>
      <c r="Z33" s="26">
        <f>'TE BE'!$Z$33*'TE BF'!$Z$49</f>
        <v>0</v>
      </c>
      <c r="AA33" s="26">
        <f>SUM($Z$33:$Z$33)</f>
        <v>0</v>
      </c>
      <c r="AB33" s="26">
        <f>SUMIF($L$4:$AA$4,"SUBTOTAL",$L$33:$AA$33)</f>
        <v>0</v>
      </c>
    </row>
    <row r="34" spans="1:28" ht="11.25" customHeight="1" x14ac:dyDescent="0.25">
      <c r="A34" s="120"/>
      <c r="B34" s="120"/>
      <c r="C34" s="120"/>
      <c r="D34" s="28" t="s">
        <v>89</v>
      </c>
      <c r="E34" s="28" t="s">
        <v>25</v>
      </c>
      <c r="F34" s="28" t="s">
        <v>25</v>
      </c>
      <c r="G34" s="29" t="s">
        <v>77</v>
      </c>
      <c r="H34" s="29" t="s">
        <v>73</v>
      </c>
      <c r="I34" s="29">
        <f>'MERCADO TE'!$U$31</f>
        <v>0</v>
      </c>
      <c r="J34" s="15"/>
      <c r="L34" s="26">
        <f>'TE BE'!$L$34*'TE BF'!$L$49</f>
        <v>0</v>
      </c>
      <c r="M34" s="26">
        <f>'TE BE'!$M$34*'TE BF'!$M$49</f>
        <v>0</v>
      </c>
      <c r="N34" s="26">
        <f>'TE BE'!$N$34*'TE BF'!$N$49</f>
        <v>0</v>
      </c>
      <c r="O34" s="26">
        <f>'TE BE'!$O$34*'TE BF'!$O$49</f>
        <v>0</v>
      </c>
      <c r="P34" s="26">
        <f>'TE BE'!$P$34*'TE BF'!$P$49</f>
        <v>0</v>
      </c>
      <c r="Q34" s="26">
        <f>SUM($L$34:$P$34)</f>
        <v>0</v>
      </c>
      <c r="R34" s="26">
        <f>'TE BE'!$R$34*'TE BF'!$R$49</f>
        <v>0</v>
      </c>
      <c r="S34" s="26">
        <f>SUM($R$34:$R$34)</f>
        <v>0</v>
      </c>
      <c r="T34" s="26">
        <f>'TE BE'!$T$34*'TE BF'!$T$49</f>
        <v>0</v>
      </c>
      <c r="U34" s="26">
        <f>'TE BE'!$U$34*'TE BF'!$U$49</f>
        <v>0</v>
      </c>
      <c r="V34" s="26">
        <f>'TE BE'!$V$34*'TE BF'!$V$49</f>
        <v>0</v>
      </c>
      <c r="W34" s="26">
        <f>SUM($T$34:$V$34)</f>
        <v>0</v>
      </c>
      <c r="X34" s="26">
        <f>'TE BE'!$AB$34*'TE BF'!$X$49</f>
        <v>0</v>
      </c>
      <c r="Y34" s="26">
        <f>SUM($X$34:$X$34)</f>
        <v>0</v>
      </c>
      <c r="Z34" s="26">
        <f>'TE BE'!$Z$34*'TE BF'!$Z$49</f>
        <v>0</v>
      </c>
      <c r="AA34" s="26">
        <f>SUM($Z$34:$Z$34)</f>
        <v>0</v>
      </c>
      <c r="AB34" s="26">
        <f>SUMIF($L$4:$AA$4,"SUBTOTAL",$L$34:$AA$34)</f>
        <v>0</v>
      </c>
    </row>
    <row r="35" spans="1:28" ht="11.25" customHeight="1" x14ac:dyDescent="0.25">
      <c r="A35" s="120"/>
      <c r="B35" s="120"/>
      <c r="C35" s="120"/>
      <c r="D35" s="28" t="s">
        <v>90</v>
      </c>
      <c r="E35" s="28" t="s">
        <v>25</v>
      </c>
      <c r="F35" s="28" t="s">
        <v>25</v>
      </c>
      <c r="G35" s="29" t="s">
        <v>77</v>
      </c>
      <c r="H35" s="29" t="s">
        <v>73</v>
      </c>
      <c r="I35" s="29">
        <f>'MERCADO TE'!$U$32</f>
        <v>0</v>
      </c>
      <c r="J35" s="15"/>
      <c r="L35" s="26">
        <f>'TE BE'!$L$35*'TE BF'!$L$49</f>
        <v>0</v>
      </c>
      <c r="M35" s="26">
        <f>'TE BE'!$M$35*'TE BF'!$M$49</f>
        <v>0</v>
      </c>
      <c r="N35" s="26">
        <f>'TE BE'!$N$35*'TE BF'!$N$49</f>
        <v>0</v>
      </c>
      <c r="O35" s="26">
        <f>'TE BE'!$O$35*'TE BF'!$O$49</f>
        <v>0</v>
      </c>
      <c r="P35" s="26">
        <f>'TE BE'!$P$35*'TE BF'!$P$49</f>
        <v>0</v>
      </c>
      <c r="Q35" s="26">
        <f>SUM($L$35:$P$35)</f>
        <v>0</v>
      </c>
      <c r="R35" s="26">
        <f>'TE BE'!$R$35*'TE BF'!$R$49</f>
        <v>0</v>
      </c>
      <c r="S35" s="26">
        <f>SUM($R$35:$R$35)</f>
        <v>0</v>
      </c>
      <c r="T35" s="26">
        <f>'TE BE'!$T$35*'TE BF'!$T$49</f>
        <v>0</v>
      </c>
      <c r="U35" s="26">
        <f>'TE BE'!$U$35*'TE BF'!$U$49</f>
        <v>0</v>
      </c>
      <c r="V35" s="26">
        <f>'TE BE'!$V$35*'TE BF'!$V$49</f>
        <v>0</v>
      </c>
      <c r="W35" s="26">
        <f>SUM($T$35:$V$35)</f>
        <v>0</v>
      </c>
      <c r="X35" s="26">
        <f>'TE BE'!$AB$35*'TE BF'!$X$49</f>
        <v>0</v>
      </c>
      <c r="Y35" s="26">
        <f>SUM($X$35:$X$35)</f>
        <v>0</v>
      </c>
      <c r="Z35" s="26">
        <f>'TE BE'!$Z$35*'TE BF'!$Z$49</f>
        <v>0</v>
      </c>
      <c r="AA35" s="26">
        <f>SUM($Z$35:$Z$35)</f>
        <v>0</v>
      </c>
      <c r="AB35" s="26">
        <f>SUMIF($L$4:$AA$4,"SUBTOTAL",$L$35:$AA$35)</f>
        <v>0</v>
      </c>
    </row>
    <row r="36" spans="1:28" ht="11.25" customHeight="1" x14ac:dyDescent="0.25">
      <c r="A36" s="120" t="s">
        <v>33</v>
      </c>
      <c r="B36" s="120" t="s">
        <v>72</v>
      </c>
      <c r="C36" s="120" t="s">
        <v>25</v>
      </c>
      <c r="D36" s="120" t="s">
        <v>25</v>
      </c>
      <c r="E36" s="120" t="s">
        <v>25</v>
      </c>
      <c r="F36" s="120" t="s">
        <v>25</v>
      </c>
      <c r="G36" s="29" t="s">
        <v>74</v>
      </c>
      <c r="H36" s="29" t="s">
        <v>73</v>
      </c>
      <c r="I36" s="29">
        <f>'MERCADO TE'!$U$33</f>
        <v>0</v>
      </c>
      <c r="J36" s="15"/>
      <c r="L36" s="26">
        <f>'TE BE'!$L$36*'TE BF'!$L$49</f>
        <v>0</v>
      </c>
      <c r="M36" s="26">
        <f>'TE BE'!$M$36*'TE BF'!$M$49</f>
        <v>0</v>
      </c>
      <c r="N36" s="26">
        <f>'TE BE'!$N$36*'TE BF'!$N$49</f>
        <v>0</v>
      </c>
      <c r="O36" s="26">
        <f>'TE BE'!$O$36*'TE BF'!$O$49</f>
        <v>0</v>
      </c>
      <c r="P36" s="26">
        <f>'TE BE'!$P$36*'TE BF'!$P$49</f>
        <v>0</v>
      </c>
      <c r="Q36" s="26">
        <f>SUM($L$36:$P$36)</f>
        <v>0</v>
      </c>
      <c r="R36" s="26">
        <f>'TE BE'!$R$36*'TE BF'!$R$49</f>
        <v>0</v>
      </c>
      <c r="S36" s="26">
        <f>SUM($R$36:$R$36)</f>
        <v>0</v>
      </c>
      <c r="T36" s="26">
        <f>'TE BE'!$T$36*'TE BF'!$T$49</f>
        <v>0</v>
      </c>
      <c r="U36" s="26">
        <f>'TE BE'!$U$36*'TE BF'!$U$49</f>
        <v>0</v>
      </c>
      <c r="V36" s="26">
        <f>'TE BE'!$V$36*'TE BF'!$V$49</f>
        <v>0</v>
      </c>
      <c r="W36" s="26">
        <f>SUM($T$36:$V$36)</f>
        <v>0</v>
      </c>
      <c r="X36" s="26">
        <f>'TE BE'!$AB$36*'TE BF'!$X$49</f>
        <v>0</v>
      </c>
      <c r="Y36" s="26">
        <f>SUM($X$36:$X$36)</f>
        <v>0</v>
      </c>
      <c r="Z36" s="26">
        <f>'TE BE'!$Z$36*'TE BF'!$Z$49</f>
        <v>0</v>
      </c>
      <c r="AA36" s="26">
        <f>SUM($Z$36:$Z$36)</f>
        <v>0</v>
      </c>
      <c r="AB36" s="26">
        <f>SUMIF($L$4:$AA$4,"SUBTOTAL",$L$36:$AA$36)</f>
        <v>0</v>
      </c>
    </row>
    <row r="37" spans="1:28" ht="11.25" customHeight="1" x14ac:dyDescent="0.25">
      <c r="A37" s="120"/>
      <c r="B37" s="120"/>
      <c r="C37" s="120"/>
      <c r="D37" s="120"/>
      <c r="E37" s="120"/>
      <c r="F37" s="120"/>
      <c r="G37" s="29" t="s">
        <v>85</v>
      </c>
      <c r="H37" s="29" t="s">
        <v>73</v>
      </c>
      <c r="I37" s="29">
        <f>'MERCADO TE'!$U$34</f>
        <v>0</v>
      </c>
      <c r="J37" s="15"/>
      <c r="L37" s="26">
        <f>'TE BE'!$L$37*'TE BF'!$L$49</f>
        <v>0</v>
      </c>
      <c r="M37" s="26">
        <f>'TE BE'!$M$37*'TE BF'!$M$49</f>
        <v>0</v>
      </c>
      <c r="N37" s="26">
        <f>'TE BE'!$N$37*'TE BF'!$N$49</f>
        <v>0</v>
      </c>
      <c r="O37" s="26">
        <f>'TE BE'!$O$37*'TE BF'!$O$49</f>
        <v>0</v>
      </c>
      <c r="P37" s="26">
        <f>'TE BE'!$P$37*'TE BF'!$P$49</f>
        <v>0</v>
      </c>
      <c r="Q37" s="26">
        <f>SUM($L$37:$P$37)</f>
        <v>0</v>
      </c>
      <c r="R37" s="26">
        <f>'TE BE'!$R$37*'TE BF'!$R$49</f>
        <v>0</v>
      </c>
      <c r="S37" s="26">
        <f>SUM($R$37:$R$37)</f>
        <v>0</v>
      </c>
      <c r="T37" s="26">
        <f>'TE BE'!$T$37*'TE BF'!$T$49</f>
        <v>0</v>
      </c>
      <c r="U37" s="26">
        <f>'TE BE'!$U$37*'TE BF'!$U$49</f>
        <v>0</v>
      </c>
      <c r="V37" s="26">
        <f>'TE BE'!$V$37*'TE BF'!$V$49</f>
        <v>0</v>
      </c>
      <c r="W37" s="26">
        <f>SUM($T$37:$V$37)</f>
        <v>0</v>
      </c>
      <c r="X37" s="26">
        <f>'TE BE'!$AB$37*'TE BF'!$X$49</f>
        <v>0</v>
      </c>
      <c r="Y37" s="26">
        <f>SUM($X$37:$X$37)</f>
        <v>0</v>
      </c>
      <c r="Z37" s="26">
        <f>'TE BE'!$Z$37*'TE BF'!$Z$49</f>
        <v>0</v>
      </c>
      <c r="AA37" s="26">
        <f>SUM($Z$37:$Z$37)</f>
        <v>0</v>
      </c>
      <c r="AB37" s="26">
        <f>SUMIF($L$4:$AA$4,"SUBTOTAL",$L$37:$AA$37)</f>
        <v>0</v>
      </c>
    </row>
    <row r="38" spans="1:28" ht="11.25" customHeight="1" x14ac:dyDescent="0.25">
      <c r="A38" s="120"/>
      <c r="B38" s="120"/>
      <c r="C38" s="120"/>
      <c r="D38" s="120"/>
      <c r="E38" s="120"/>
      <c r="F38" s="120"/>
      <c r="G38" s="29" t="s">
        <v>75</v>
      </c>
      <c r="H38" s="29" t="s">
        <v>73</v>
      </c>
      <c r="I38" s="29">
        <f>'MERCADO TE'!$U$35</f>
        <v>0</v>
      </c>
      <c r="J38" s="15"/>
      <c r="L38" s="26">
        <f>'TE BE'!$L$38*'TE BF'!$L$49</f>
        <v>0</v>
      </c>
      <c r="M38" s="26">
        <f>'TE BE'!$M$38*'TE BF'!$M$49</f>
        <v>0</v>
      </c>
      <c r="N38" s="26">
        <f>'TE BE'!$N$38*'TE BF'!$N$49</f>
        <v>0</v>
      </c>
      <c r="O38" s="26">
        <f>'TE BE'!$O$38*'TE BF'!$O$49</f>
        <v>0</v>
      </c>
      <c r="P38" s="26">
        <f>'TE BE'!$P$38*'TE BF'!$P$49</f>
        <v>0</v>
      </c>
      <c r="Q38" s="26">
        <f>SUM($L$38:$P$38)</f>
        <v>0</v>
      </c>
      <c r="R38" s="26">
        <f>'TE BE'!$R$38*'TE BF'!$R$49</f>
        <v>0</v>
      </c>
      <c r="S38" s="26">
        <f>SUM($R$38:$R$38)</f>
        <v>0</v>
      </c>
      <c r="T38" s="26">
        <f>'TE BE'!$T$38*'TE BF'!$T$49</f>
        <v>0</v>
      </c>
      <c r="U38" s="26">
        <f>'TE BE'!$U$38*'TE BF'!$U$49</f>
        <v>0</v>
      </c>
      <c r="V38" s="26">
        <f>'TE BE'!$V$38*'TE BF'!$V$49</f>
        <v>0</v>
      </c>
      <c r="W38" s="26">
        <f>SUM($T$38:$V$38)</f>
        <v>0</v>
      </c>
      <c r="X38" s="26">
        <f>'TE BE'!$AB$38*'TE BF'!$X$49</f>
        <v>0</v>
      </c>
      <c r="Y38" s="26">
        <f>SUM($X$38:$X$38)</f>
        <v>0</v>
      </c>
      <c r="Z38" s="26">
        <f>'TE BE'!$Z$38*'TE BF'!$Z$49</f>
        <v>0</v>
      </c>
      <c r="AA38" s="26">
        <f>SUM($Z$38:$Z$38)</f>
        <v>0</v>
      </c>
      <c r="AB38" s="26">
        <f>SUMIF($L$4:$AA$4,"SUBTOTAL",$L$38:$AA$38)</f>
        <v>0</v>
      </c>
    </row>
    <row r="39" spans="1:28" ht="11.25" customHeight="1" x14ac:dyDescent="0.25">
      <c r="A39" s="120"/>
      <c r="B39" s="28" t="s">
        <v>76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77</v>
      </c>
      <c r="H39" s="29" t="s">
        <v>73</v>
      </c>
      <c r="I39" s="29">
        <f>'MERCADO TE'!$U$36</f>
        <v>3162.4160000000002</v>
      </c>
      <c r="J39" s="15"/>
      <c r="L39" s="26">
        <f>'TE BE'!$L$39*'TE BF'!$L$49</f>
        <v>0</v>
      </c>
      <c r="M39" s="26">
        <f>'TE BE'!$M$39*'TE BF'!$M$49</f>
        <v>0</v>
      </c>
      <c r="N39" s="26">
        <f>'TE BE'!$N$39*'TE BF'!$N$49</f>
        <v>0</v>
      </c>
      <c r="O39" s="26">
        <f>'TE BE'!$O$39*'TE BF'!$O$49</f>
        <v>0</v>
      </c>
      <c r="P39" s="26">
        <f>'TE BE'!$P$39*'TE BF'!$P$49</f>
        <v>0</v>
      </c>
      <c r="Q39" s="26">
        <f>SUM($L$39:$P$39)</f>
        <v>0</v>
      </c>
      <c r="R39" s="26">
        <f>'TE BE'!$R$39*'TE BF'!$R$49</f>
        <v>0</v>
      </c>
      <c r="S39" s="26">
        <f>SUM($R$39:$R$39)</f>
        <v>0</v>
      </c>
      <c r="T39" s="26">
        <f>'TE BE'!$T$39*'TE BF'!$T$49</f>
        <v>0</v>
      </c>
      <c r="U39" s="26">
        <f>'TE BE'!$U$39*'TE BF'!$U$49</f>
        <v>0</v>
      </c>
      <c r="V39" s="26">
        <f>'TE BE'!$V$39*'TE BF'!$V$49</f>
        <v>0</v>
      </c>
      <c r="W39" s="26">
        <f>SUM($T$39:$V$39)</f>
        <v>0</v>
      </c>
      <c r="X39" s="26">
        <f>'TE BE'!$AB$39*'TE BF'!$X$49</f>
        <v>0</v>
      </c>
      <c r="Y39" s="26">
        <f>SUM($X$39:$X$39)</f>
        <v>0</v>
      </c>
      <c r="Z39" s="26">
        <f>'TE BE'!$Z$39*'TE BF'!$Z$49</f>
        <v>0</v>
      </c>
      <c r="AA39" s="26">
        <f>SUM($Z$39:$Z$39)</f>
        <v>0</v>
      </c>
      <c r="AB39" s="26">
        <f>SUMIF($L$4:$AA$4,"SUBTOTAL",$L$39:$AA$39)</f>
        <v>0</v>
      </c>
    </row>
    <row r="40" spans="1:28" ht="11.25" customHeight="1" x14ac:dyDescent="0.25">
      <c r="A40" s="120"/>
      <c r="B40" s="28" t="s">
        <v>87</v>
      </c>
      <c r="C40" s="28" t="s">
        <v>25</v>
      </c>
      <c r="D40" s="28" t="s">
        <v>25</v>
      </c>
      <c r="E40" s="28" t="s">
        <v>25</v>
      </c>
      <c r="F40" s="28" t="s">
        <v>25</v>
      </c>
      <c r="G40" s="29" t="s">
        <v>77</v>
      </c>
      <c r="H40" s="29" t="s">
        <v>73</v>
      </c>
      <c r="I40" s="29">
        <f>'MERCADO TE'!$U$37</f>
        <v>0</v>
      </c>
      <c r="J40" s="15"/>
      <c r="L40" s="26">
        <f>'TE BE'!$L$40*'TE BF'!$L$49</f>
        <v>0</v>
      </c>
      <c r="M40" s="26">
        <f>'TE BE'!$M$40*'TE BF'!$M$49</f>
        <v>0</v>
      </c>
      <c r="N40" s="26">
        <f>'TE BE'!$N$40*'TE BF'!$N$49</f>
        <v>0</v>
      </c>
      <c r="O40" s="26">
        <f>'TE BE'!$O$40*'TE BF'!$O$49</f>
        <v>0</v>
      </c>
      <c r="P40" s="26">
        <f>'TE BE'!$P$40*'TE BF'!$P$49</f>
        <v>0</v>
      </c>
      <c r="Q40" s="26">
        <f>SUM($L$40:$P$40)</f>
        <v>0</v>
      </c>
      <c r="R40" s="26">
        <f>'TE BE'!$R$40*'TE BF'!$R$49</f>
        <v>0</v>
      </c>
      <c r="S40" s="26">
        <f>SUM($R$40:$R$40)</f>
        <v>0</v>
      </c>
      <c r="T40" s="26">
        <f>'TE BE'!$T$40*'TE BF'!$T$49</f>
        <v>0</v>
      </c>
      <c r="U40" s="26">
        <f>'TE BE'!$U$40*'TE BF'!$U$49</f>
        <v>0</v>
      </c>
      <c r="V40" s="26">
        <f>'TE BE'!$V$40*'TE BF'!$V$49</f>
        <v>0</v>
      </c>
      <c r="W40" s="26">
        <f>SUM($T$40:$V$40)</f>
        <v>0</v>
      </c>
      <c r="X40" s="26">
        <f>'TE BE'!$AB$40*'TE BF'!$X$49</f>
        <v>0</v>
      </c>
      <c r="Y40" s="26">
        <f>SUM($X$40:$X$40)</f>
        <v>0</v>
      </c>
      <c r="Z40" s="26">
        <f>'TE BE'!$Z$40*'TE BF'!$Z$49</f>
        <v>0</v>
      </c>
      <c r="AA40" s="26">
        <f>SUM($Z$40:$Z$40)</f>
        <v>0</v>
      </c>
      <c r="AB40" s="26">
        <f>SUMIF($L$4:$AA$4,"SUBTOTAL",$L$40:$AA$40)</f>
        <v>0</v>
      </c>
    </row>
    <row r="41" spans="1:28" ht="11.25" customHeight="1" x14ac:dyDescent="0.25">
      <c r="A41" s="120" t="s">
        <v>44</v>
      </c>
      <c r="B41" s="120" t="s">
        <v>76</v>
      </c>
      <c r="C41" s="120" t="s">
        <v>45</v>
      </c>
      <c r="D41" s="28" t="s">
        <v>46</v>
      </c>
      <c r="E41" s="28" t="s">
        <v>25</v>
      </c>
      <c r="F41" s="28" t="s">
        <v>25</v>
      </c>
      <c r="G41" s="29" t="s">
        <v>77</v>
      </c>
      <c r="H41" s="29" t="s">
        <v>73</v>
      </c>
      <c r="I41" s="29">
        <f>'MERCADO TE'!$U$38</f>
        <v>905.86099999999999</v>
      </c>
      <c r="J41" s="15"/>
      <c r="L41" s="26">
        <f>'TE BE'!$L$41*'TE BF'!$L$49</f>
        <v>0</v>
      </c>
      <c r="M41" s="26">
        <f>'TE BE'!$M$41*'TE BF'!$M$49</f>
        <v>0</v>
      </c>
      <c r="N41" s="26">
        <f>'TE BE'!$N$41*'TE BF'!$N$49</f>
        <v>0</v>
      </c>
      <c r="O41" s="26">
        <f>'TE BE'!$O$41*'TE BF'!$O$49</f>
        <v>0</v>
      </c>
      <c r="P41" s="26">
        <f>'TE BE'!$P$41*'TE BF'!$P$49</f>
        <v>0</v>
      </c>
      <c r="Q41" s="26">
        <f>SUM($L$41:$P$41)</f>
        <v>0</v>
      </c>
      <c r="R41" s="26">
        <f>'TE BE'!$R$41*'TE BF'!$R$49</f>
        <v>0</v>
      </c>
      <c r="S41" s="26">
        <f>SUM($R$41:$R$41)</f>
        <v>0</v>
      </c>
      <c r="T41" s="26">
        <f>'TE BE'!$T$41*'TE BF'!$T$49</f>
        <v>0</v>
      </c>
      <c r="U41" s="26">
        <f>'TE BE'!$U$41*'TE BF'!$U$49</f>
        <v>0</v>
      </c>
      <c r="V41" s="26">
        <f>'TE BE'!$V$41*'TE BF'!$V$49</f>
        <v>0</v>
      </c>
      <c r="W41" s="26">
        <f>SUM($T$41:$V$41)</f>
        <v>0</v>
      </c>
      <c r="X41" s="26">
        <f>'TE BE'!$AB$41*'TE BF'!$X$49</f>
        <v>0</v>
      </c>
      <c r="Y41" s="26">
        <f>SUM($X$41:$X$41)</f>
        <v>0</v>
      </c>
      <c r="Z41" s="26">
        <f>'TE BE'!$Z$41*'TE BF'!$Z$49</f>
        <v>0</v>
      </c>
      <c r="AA41" s="26">
        <f>SUM($Z$41:$Z$41)</f>
        <v>0</v>
      </c>
      <c r="AB41" s="26">
        <f>SUMIF($L$4:$AA$4,"SUBTOTAL",$L$41:$AA$41)</f>
        <v>0</v>
      </c>
    </row>
    <row r="42" spans="1:28" ht="11.25" customHeight="1" x14ac:dyDescent="0.25">
      <c r="A42" s="120"/>
      <c r="B42" s="120"/>
      <c r="C42" s="120"/>
      <c r="D42" s="29" t="s">
        <v>91</v>
      </c>
      <c r="E42" s="29" t="s">
        <v>25</v>
      </c>
      <c r="F42" s="29" t="s">
        <v>25</v>
      </c>
      <c r="G42" s="29" t="s">
        <v>77</v>
      </c>
      <c r="H42" s="29" t="s">
        <v>73</v>
      </c>
      <c r="I42" s="29">
        <f>'MERCADO TE'!$U$39</f>
        <v>0</v>
      </c>
      <c r="J42" s="15"/>
      <c r="L42" s="26">
        <f>'TE BE'!$L$42*'TE BF'!$L$49</f>
        <v>0</v>
      </c>
      <c r="M42" s="26">
        <f>'TE BE'!$M$42*'TE BF'!$M$49</f>
        <v>0</v>
      </c>
      <c r="N42" s="26">
        <f>'TE BE'!$N$42*'TE BF'!$N$49</f>
        <v>0</v>
      </c>
      <c r="O42" s="26">
        <f>'TE BE'!$O$42*'TE BF'!$O$49</f>
        <v>0</v>
      </c>
      <c r="P42" s="26">
        <f>'TE BE'!$P$42*'TE BF'!$P$49</f>
        <v>0</v>
      </c>
      <c r="Q42" s="26">
        <f>SUM($L$42:$P$42)</f>
        <v>0</v>
      </c>
      <c r="R42" s="26">
        <f>'TE BE'!$R$42*'TE BF'!$R$49</f>
        <v>0</v>
      </c>
      <c r="S42" s="26">
        <f>SUM($R$42:$R$42)</f>
        <v>0</v>
      </c>
      <c r="T42" s="26">
        <f>'TE BE'!$T$42*'TE BF'!$T$49</f>
        <v>0</v>
      </c>
      <c r="U42" s="26">
        <f>'TE BE'!$U$42*'TE BF'!$U$49</f>
        <v>0</v>
      </c>
      <c r="V42" s="26">
        <f>'TE BE'!$V$42*'TE BF'!$V$49</f>
        <v>0</v>
      </c>
      <c r="W42" s="26">
        <f>SUM($T$42:$V$42)</f>
        <v>0</v>
      </c>
      <c r="X42" s="26">
        <f>'TE BE'!$AB$42*'TE BF'!$X$49</f>
        <v>0</v>
      </c>
      <c r="Y42" s="26">
        <f>SUM($X$42:$X$42)</f>
        <v>0</v>
      </c>
      <c r="Z42" s="26">
        <f>'TE BE'!$Z$42*'TE BF'!$Z$49</f>
        <v>0</v>
      </c>
      <c r="AA42" s="26">
        <f>SUM($Z$42:$Z$42)</f>
        <v>0</v>
      </c>
      <c r="AB42" s="26">
        <f>SUMIF($L$4:$AA$4,"SUBTOTAL",$L$42:$AA$42)</f>
        <v>0</v>
      </c>
    </row>
    <row r="44" spans="1:28" ht="11.25" customHeight="1" x14ac:dyDescent="0.25">
      <c r="K44" s="31" t="s">
        <v>510</v>
      </c>
      <c r="L44" s="26">
        <f t="shared" ref="L44:AB44" si="0">SUMPRODUCT($I$5:$I$42,L$5:L$42)</f>
        <v>0</v>
      </c>
      <c r="M44" s="26">
        <f t="shared" si="0"/>
        <v>0</v>
      </c>
      <c r="N44" s="26">
        <f t="shared" si="0"/>
        <v>0</v>
      </c>
      <c r="O44" s="26">
        <f t="shared" si="0"/>
        <v>0</v>
      </c>
      <c r="P44" s="26">
        <f t="shared" si="0"/>
        <v>0</v>
      </c>
      <c r="Q44" s="26">
        <f t="shared" si="0"/>
        <v>0</v>
      </c>
      <c r="R44" s="26">
        <f t="shared" si="0"/>
        <v>0</v>
      </c>
      <c r="S44" s="26">
        <f t="shared" si="0"/>
        <v>0</v>
      </c>
      <c r="T44" s="26">
        <f t="shared" si="0"/>
        <v>0</v>
      </c>
      <c r="U44" s="26">
        <f t="shared" si="0"/>
        <v>0</v>
      </c>
      <c r="V44" s="26">
        <f t="shared" si="0"/>
        <v>0</v>
      </c>
      <c r="W44" s="26">
        <f t="shared" si="0"/>
        <v>0</v>
      </c>
      <c r="X44" s="26">
        <f t="shared" si="0"/>
        <v>0</v>
      </c>
      <c r="Y44" s="26">
        <f t="shared" si="0"/>
        <v>0</v>
      </c>
      <c r="Z44" s="26">
        <f t="shared" si="0"/>
        <v>0</v>
      </c>
      <c r="AA44" s="26">
        <f t="shared" si="0"/>
        <v>0</v>
      </c>
      <c r="AB44" s="26">
        <f t="shared" si="0"/>
        <v>0</v>
      </c>
    </row>
    <row r="45" spans="1:28" ht="11.25" customHeight="1" x14ac:dyDescent="0.25">
      <c r="K45" s="31" t="s">
        <v>429</v>
      </c>
      <c r="L45" s="26">
        <f>CUSTOS!$D$30</f>
        <v>0</v>
      </c>
      <c r="M45" s="26">
        <f>CUSTOS!$D$31</f>
        <v>1761723.1356897787</v>
      </c>
      <c r="N45" s="26">
        <f>CUSTOS!$D$32</f>
        <v>0</v>
      </c>
      <c r="O45" s="26">
        <f>CUSTOS!$D$33</f>
        <v>0</v>
      </c>
      <c r="P45" s="26">
        <f>CUSTOS!$D$34</f>
        <v>-1060000</v>
      </c>
      <c r="Q45" s="26">
        <f>CUSTOS!$D$35</f>
        <v>701723.13568977872</v>
      </c>
      <c r="R45" s="26">
        <f>CUSTOS!$D$36</f>
        <v>11862097.911139071</v>
      </c>
      <c r="S45" s="26">
        <f>CUSTOS!$D$37</f>
        <v>11862097.911139071</v>
      </c>
      <c r="T45" s="26">
        <f>CUSTOS!$D$38</f>
        <v>0</v>
      </c>
      <c r="U45" s="26">
        <f>CUSTOS!$D$39</f>
        <v>0</v>
      </c>
      <c r="V45" s="26">
        <f>CUSTOS!$D$40</f>
        <v>0</v>
      </c>
      <c r="W45" s="26">
        <f>CUSTOS!$D$41</f>
        <v>0</v>
      </c>
      <c r="X45" s="26">
        <f>CUSTOS!$D$42</f>
        <v>0</v>
      </c>
      <c r="Y45" s="26">
        <f>CUSTOS!$D$43</f>
        <v>0</v>
      </c>
      <c r="Z45" s="26">
        <f>CUSTOS!$D$44</f>
        <v>416130.09490527812</v>
      </c>
      <c r="AA45" s="26">
        <f>CUSTOS!$D$45</f>
        <v>416130.09490527812</v>
      </c>
      <c r="AB45" s="26">
        <f>CUSTOS!$D$46</f>
        <v>12979951.141734127</v>
      </c>
    </row>
    <row r="46" spans="1:28" ht="11.25" customHeight="1" x14ac:dyDescent="0.25">
      <c r="K46" s="31" t="s">
        <v>430</v>
      </c>
      <c r="L46" s="26">
        <f>CUSTOS!$E$30</f>
        <v>0</v>
      </c>
      <c r="M46" s="26">
        <f>CUSTOS!$E$31</f>
        <v>103119.10171779385</v>
      </c>
      <c r="N46" s="26">
        <f>CUSTOS!$E$32</f>
        <v>0</v>
      </c>
      <c r="O46" s="26">
        <f>CUSTOS!$E$33</f>
        <v>0</v>
      </c>
      <c r="P46" s="26">
        <f>CUSTOS!$E$34</f>
        <v>0</v>
      </c>
      <c r="Q46" s="26">
        <f>CUSTOS!$E$35</f>
        <v>103119.10171779385</v>
      </c>
      <c r="R46" s="26">
        <f>CUSTOS!$E$36</f>
        <v>961530.9006738991</v>
      </c>
      <c r="S46" s="26">
        <f>CUSTOS!$E$37</f>
        <v>961530.9006738991</v>
      </c>
      <c r="T46" s="26">
        <f>CUSTOS!$E$38</f>
        <v>0</v>
      </c>
      <c r="U46" s="26">
        <f>CUSTOS!$E$39</f>
        <v>0</v>
      </c>
      <c r="V46" s="26">
        <f>CUSTOS!$E$40</f>
        <v>0</v>
      </c>
      <c r="W46" s="26">
        <f>CUSTOS!$E$41</f>
        <v>0</v>
      </c>
      <c r="X46" s="26">
        <f>CUSTOS!$E$42</f>
        <v>0</v>
      </c>
      <c r="Y46" s="26">
        <f>CUSTOS!$E$43</f>
        <v>0</v>
      </c>
      <c r="Z46" s="26">
        <f>CUSTOS!$E$44</f>
        <v>33731.128165453243</v>
      </c>
      <c r="AA46" s="26">
        <f>CUSTOS!$E$45</f>
        <v>33731.128165453243</v>
      </c>
      <c r="AB46" s="26">
        <f>CUSTOS!$E$46</f>
        <v>1098381.1305571462</v>
      </c>
    </row>
    <row r="47" spans="1:28" ht="11.25" customHeight="1" x14ac:dyDescent="0.25">
      <c r="K47" s="31" t="s">
        <v>431</v>
      </c>
      <c r="L47" s="26">
        <f>CUSTOS!$F$30</f>
        <v>0</v>
      </c>
      <c r="M47" s="26">
        <f>CUSTOS!$F$31</f>
        <v>0</v>
      </c>
      <c r="N47" s="26">
        <f>CUSTOS!$F$32</f>
        <v>0</v>
      </c>
      <c r="O47" s="26">
        <f>CUSTOS!$F$33</f>
        <v>0</v>
      </c>
      <c r="P47" s="26">
        <f>CUSTOS!$F$34</f>
        <v>0</v>
      </c>
      <c r="Q47" s="26">
        <f>CUSTOS!$F$35</f>
        <v>0</v>
      </c>
      <c r="R47" s="26">
        <f>CUSTOS!$F$36</f>
        <v>0</v>
      </c>
      <c r="S47" s="26">
        <f>CUSTOS!$F$37</f>
        <v>0</v>
      </c>
      <c r="T47" s="26">
        <f>CUSTOS!$F$38</f>
        <v>0</v>
      </c>
      <c r="U47" s="26">
        <f>CUSTOS!$F$39</f>
        <v>0</v>
      </c>
      <c r="V47" s="26">
        <f>CUSTOS!$F$40</f>
        <v>0</v>
      </c>
      <c r="W47" s="26">
        <f>CUSTOS!$F$41</f>
        <v>0</v>
      </c>
      <c r="X47" s="26">
        <f>CUSTOS!$F$42</f>
        <v>0</v>
      </c>
      <c r="Y47" s="26">
        <f>CUSTOS!$F$43</f>
        <v>0</v>
      </c>
      <c r="Z47" s="26">
        <f>CUSTOS!$F$44</f>
        <v>0</v>
      </c>
      <c r="AA47" s="26">
        <f>CUSTOS!$F$45</f>
        <v>0</v>
      </c>
      <c r="AB47" s="26">
        <f>CUSTOS!$F$46</f>
        <v>0</v>
      </c>
    </row>
    <row r="48" spans="1:28" ht="11.25" customHeight="1" x14ac:dyDescent="0.25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11:28" ht="11.25" customHeight="1" x14ac:dyDescent="0.25"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8:F10"/>
    <mergeCell ref="B11:B15"/>
    <mergeCell ref="C11:C15"/>
    <mergeCell ref="B16:B20"/>
    <mergeCell ref="C16:C20"/>
    <mergeCell ref="A8:A20"/>
    <mergeCell ref="B8:B10"/>
    <mergeCell ref="C8:C10"/>
    <mergeCell ref="D8:D10"/>
    <mergeCell ref="E8:E10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E36:E38"/>
    <mergeCell ref="F36:F38"/>
    <mergeCell ref="A41:A42"/>
    <mergeCell ref="B41:B42"/>
    <mergeCell ref="C41:C42"/>
    <mergeCell ref="D36:D38"/>
  </mergeCells>
  <conditionalFormatting sqref="L44">
    <cfRule type="cellIs" dxfId="730" priority="33" operator="notEqual">
      <formula>$L$47</formula>
    </cfRule>
    <cfRule type="cellIs" dxfId="729" priority="34" operator="equal">
      <formula>$L$47</formula>
    </cfRule>
  </conditionalFormatting>
  <conditionalFormatting sqref="M44">
    <cfRule type="cellIs" dxfId="728" priority="31" operator="notEqual">
      <formula>$M$47</formula>
    </cfRule>
    <cfRule type="cellIs" dxfId="727" priority="32" operator="equal">
      <formula>$M$47</formula>
    </cfRule>
  </conditionalFormatting>
  <conditionalFormatting sqref="N44">
    <cfRule type="cellIs" dxfId="726" priority="29" operator="notEqual">
      <formula>$N$47</formula>
    </cfRule>
    <cfRule type="cellIs" dxfId="725" priority="30" operator="equal">
      <formula>$N$47</formula>
    </cfRule>
  </conditionalFormatting>
  <conditionalFormatting sqref="O44">
    <cfRule type="cellIs" dxfId="724" priority="27" operator="notEqual">
      <formula>$O$47</formula>
    </cfRule>
    <cfRule type="cellIs" dxfId="723" priority="28" operator="equal">
      <formula>$O$47</formula>
    </cfRule>
  </conditionalFormatting>
  <conditionalFormatting sqref="P44">
    <cfRule type="cellIs" dxfId="722" priority="25" operator="notEqual">
      <formula>$P$47</formula>
    </cfRule>
    <cfRule type="cellIs" dxfId="721" priority="26" operator="equal">
      <formula>$P$47</formula>
    </cfRule>
  </conditionalFormatting>
  <conditionalFormatting sqref="Q44">
    <cfRule type="cellIs" dxfId="720" priority="23" operator="notEqual">
      <formula>$Q$47</formula>
    </cfRule>
    <cfRule type="cellIs" dxfId="719" priority="24" operator="equal">
      <formula>$Q$47</formula>
    </cfRule>
  </conditionalFormatting>
  <conditionalFormatting sqref="R44">
    <cfRule type="cellIs" dxfId="718" priority="21" operator="notEqual">
      <formula>$R$47</formula>
    </cfRule>
    <cfRule type="cellIs" dxfId="717" priority="22" operator="equal">
      <formula>$R$47</formula>
    </cfRule>
  </conditionalFormatting>
  <conditionalFormatting sqref="S44">
    <cfRule type="cellIs" dxfId="716" priority="19" operator="notEqual">
      <formula>$S$47</formula>
    </cfRule>
    <cfRule type="cellIs" dxfId="715" priority="20" operator="equal">
      <formula>$S$47</formula>
    </cfRule>
  </conditionalFormatting>
  <conditionalFormatting sqref="T44">
    <cfRule type="cellIs" dxfId="714" priority="17" operator="notEqual">
      <formula>$T$47</formula>
    </cfRule>
    <cfRule type="cellIs" dxfId="713" priority="18" operator="equal">
      <formula>$T$47</formula>
    </cfRule>
  </conditionalFormatting>
  <conditionalFormatting sqref="U44">
    <cfRule type="cellIs" dxfId="712" priority="15" operator="notEqual">
      <formula>$U$47</formula>
    </cfRule>
    <cfRule type="cellIs" dxfId="711" priority="16" operator="equal">
      <formula>$U$47</formula>
    </cfRule>
  </conditionalFormatting>
  <conditionalFormatting sqref="V44">
    <cfRule type="cellIs" dxfId="710" priority="13" operator="notEqual">
      <formula>$V$47</formula>
    </cfRule>
    <cfRule type="cellIs" dxfId="709" priority="14" operator="equal">
      <formula>$V$47</formula>
    </cfRule>
  </conditionalFormatting>
  <conditionalFormatting sqref="W44">
    <cfRule type="cellIs" dxfId="708" priority="11" operator="notEqual">
      <formula>$W$47</formula>
    </cfRule>
    <cfRule type="cellIs" dxfId="707" priority="12" operator="equal">
      <formula>$W$47</formula>
    </cfRule>
  </conditionalFormatting>
  <conditionalFormatting sqref="X44">
    <cfRule type="cellIs" dxfId="706" priority="9" operator="notEqual">
      <formula>$X$47</formula>
    </cfRule>
    <cfRule type="cellIs" dxfId="705" priority="10" operator="equal">
      <formula>$X$47</formula>
    </cfRule>
  </conditionalFormatting>
  <conditionalFormatting sqref="Y44">
    <cfRule type="cellIs" dxfId="704" priority="7" operator="notEqual">
      <formula>$Y$47</formula>
    </cfRule>
    <cfRule type="cellIs" dxfId="703" priority="8" operator="equal">
      <formula>$Y$47</formula>
    </cfRule>
  </conditionalFormatting>
  <conditionalFormatting sqref="Z44">
    <cfRule type="cellIs" dxfId="702" priority="5" operator="notEqual">
      <formula>$Z$47</formula>
    </cfRule>
    <cfRule type="cellIs" dxfId="701" priority="6" operator="equal">
      <formula>$Z$47</formula>
    </cfRule>
  </conditionalFormatting>
  <conditionalFormatting sqref="AA44">
    <cfRule type="cellIs" dxfId="700" priority="3" operator="notEqual">
      <formula>$AA$47</formula>
    </cfRule>
    <cfRule type="cellIs" dxfId="699" priority="4" operator="equal">
      <formula>$AA$47</formula>
    </cfRule>
  </conditionalFormatting>
  <conditionalFormatting sqref="AB44">
    <cfRule type="cellIs" dxfId="698" priority="1" operator="notEqual">
      <formula>$AB$47</formula>
    </cfRule>
    <cfRule type="cellIs" dxfId="697" priority="2" operator="equal">
      <formula>$AB$47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F49A-75F3-4DA2-A879-9C9523BD0696}">
  <dimension ref="A1:AV545"/>
  <sheetViews>
    <sheetView showGridLines="0" tabSelected="1" topLeftCell="AH1" workbookViewId="0">
      <selection activeCell="AQ15" sqref="AQ15"/>
    </sheetView>
  </sheetViews>
  <sheetFormatPr defaultRowHeight="11.25" customHeight="1" x14ac:dyDescent="0.25"/>
  <cols>
    <col min="1" max="1" width="19.140625" style="3" bestFit="1" customWidth="1"/>
    <col min="2" max="2" width="13.28515625" style="3" bestFit="1" customWidth="1"/>
    <col min="3" max="3" width="14.57031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7" width="27.140625" style="3" bestFit="1" customWidth="1"/>
    <col min="8" max="8" width="10.28515625" style="3" bestFit="1" customWidth="1"/>
    <col min="9" max="9" width="12.140625" style="6" bestFit="1" customWidth="1"/>
    <col min="10" max="10" width="7" style="4" bestFit="1" customWidth="1"/>
    <col min="11" max="11" width="7.85546875" style="4" bestFit="1" customWidth="1"/>
    <col min="12" max="12" width="11.28515625" style="4" bestFit="1" customWidth="1"/>
    <col min="13" max="13" width="12.5703125" style="4" bestFit="1" customWidth="1"/>
    <col min="14" max="14" width="9.140625" style="4" bestFit="1" customWidth="1"/>
    <col min="15" max="15" width="10.42578125" style="4" bestFit="1" customWidth="1"/>
    <col min="16" max="16" width="7.7109375" style="4" bestFit="1" customWidth="1"/>
    <col min="17" max="17" width="11.140625" style="3" bestFit="1" customWidth="1"/>
    <col min="18" max="18" width="13.140625" style="3" bestFit="1" customWidth="1"/>
    <col min="19" max="19" width="23" style="3" bestFit="1" customWidth="1"/>
    <col min="20" max="20" width="24.42578125" style="3" bestFit="1" customWidth="1"/>
    <col min="21" max="21" width="22.28515625" style="3" bestFit="1" customWidth="1"/>
    <col min="22" max="22" width="15.85546875" style="3" bestFit="1" customWidth="1"/>
    <col min="23" max="23" width="17.28515625" style="3" bestFit="1" customWidth="1"/>
    <col min="24" max="24" width="15.140625" style="3" bestFit="1" customWidth="1"/>
    <col min="25" max="25" width="20.85546875" style="3" bestFit="1" customWidth="1"/>
    <col min="26" max="26" width="22.42578125" style="3" bestFit="1" customWidth="1"/>
    <col min="27" max="27" width="20.140625" style="3" bestFit="1" customWidth="1"/>
    <col min="28" max="28" width="23.28515625" style="3" bestFit="1" customWidth="1"/>
    <col min="29" max="29" width="24.7109375" style="3" bestFit="1" customWidth="1"/>
    <col min="30" max="30" width="22.5703125" style="3" bestFit="1" customWidth="1"/>
    <col min="31" max="31" width="24.140625" style="3" bestFit="1" customWidth="1"/>
    <col min="32" max="32" width="25.5703125" style="3" bestFit="1" customWidth="1"/>
    <col min="33" max="33" width="23.42578125" style="3" bestFit="1" customWidth="1"/>
    <col min="34" max="34" width="9.140625" style="3"/>
    <col min="35" max="35" width="9.28515625" style="3" bestFit="1" customWidth="1"/>
    <col min="36" max="36" width="14.5703125" style="3" bestFit="1" customWidth="1"/>
    <col min="37" max="37" width="15.42578125" style="3" bestFit="1" customWidth="1"/>
    <col min="38" max="38" width="9.28515625" style="3" bestFit="1" customWidth="1"/>
    <col min="39" max="39" width="9.140625" style="3"/>
    <col min="40" max="40" width="9.28515625" style="3" bestFit="1" customWidth="1"/>
    <col min="41" max="41" width="12.28515625" style="3" bestFit="1" customWidth="1"/>
    <col min="42" max="42" width="13.28515625" style="3" bestFit="1" customWidth="1"/>
    <col min="43" max="43" width="9.28515625" style="3" bestFit="1" customWidth="1"/>
    <col min="44" max="44" width="9.140625" style="3"/>
    <col min="45" max="45" width="9.28515625" style="3" bestFit="1" customWidth="1"/>
    <col min="46" max="46" width="10.85546875" style="3" bestFit="1" customWidth="1"/>
    <col min="47" max="47" width="15.7109375" style="3" bestFit="1" customWidth="1"/>
    <col min="48" max="48" width="9.28515625" style="3" bestFit="1" customWidth="1"/>
    <col min="49" max="16384" width="9.140625" style="3"/>
  </cols>
  <sheetData>
    <row r="1" spans="1:48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537</v>
      </c>
      <c r="W1" s="1" t="s">
        <v>538</v>
      </c>
      <c r="X1" s="1" t="s">
        <v>539</v>
      </c>
      <c r="Y1" s="1" t="s">
        <v>540</v>
      </c>
      <c r="Z1" s="1" t="s">
        <v>541</v>
      </c>
      <c r="AA1" s="1" t="s">
        <v>542</v>
      </c>
      <c r="AB1" s="1" t="s">
        <v>558</v>
      </c>
      <c r="AC1" s="1" t="s">
        <v>559</v>
      </c>
      <c r="AD1" s="1" t="s">
        <v>560</v>
      </c>
      <c r="AE1" s="1" t="s">
        <v>561</v>
      </c>
      <c r="AF1" s="1" t="s">
        <v>562</v>
      </c>
      <c r="AG1" s="1" t="s">
        <v>563</v>
      </c>
      <c r="AI1" s="40" t="s">
        <v>63</v>
      </c>
      <c r="AJ1" s="40" t="s">
        <v>564</v>
      </c>
      <c r="AK1" s="40" t="s">
        <v>565</v>
      </c>
      <c r="AL1" s="40" t="s">
        <v>566</v>
      </c>
      <c r="AN1" s="40" t="s">
        <v>63</v>
      </c>
      <c r="AO1" s="40" t="s">
        <v>567</v>
      </c>
      <c r="AP1" s="40" t="s">
        <v>568</v>
      </c>
      <c r="AQ1" s="40" t="s">
        <v>566</v>
      </c>
      <c r="AS1" s="40" t="s">
        <v>63</v>
      </c>
      <c r="AT1" s="40" t="s">
        <v>569</v>
      </c>
      <c r="AU1" s="40" t="s">
        <v>570</v>
      </c>
      <c r="AV1" s="40" t="s">
        <v>566</v>
      </c>
    </row>
    <row r="2" spans="1:48" ht="11.25" customHeight="1" x14ac:dyDescent="0.25">
      <c r="A2" s="3" t="s">
        <v>21</v>
      </c>
      <c r="B2" s="3" t="s">
        <v>35</v>
      </c>
      <c r="C2" s="3" t="s">
        <v>36</v>
      </c>
      <c r="D2" s="3" t="s">
        <v>34</v>
      </c>
      <c r="E2" s="3" t="s">
        <v>25</v>
      </c>
      <c r="F2" s="3" t="s">
        <v>25</v>
      </c>
      <c r="G2" s="3" t="s">
        <v>25</v>
      </c>
      <c r="H2" s="3" t="s">
        <v>38</v>
      </c>
      <c r="I2" s="6">
        <v>44378</v>
      </c>
      <c r="J2" s="4">
        <v>4694</v>
      </c>
      <c r="K2" s="4">
        <v>4694</v>
      </c>
      <c r="L2" s="4">
        <v>1879.4090000000001</v>
      </c>
      <c r="M2" s="4">
        <v>1879.4090000000001</v>
      </c>
      <c r="N2" s="4">
        <v>1879.4090000000001</v>
      </c>
      <c r="O2" s="4">
        <v>1879.4090000000001</v>
      </c>
      <c r="P2" s="4">
        <v>0</v>
      </c>
      <c r="Q2" s="3" t="s">
        <v>26</v>
      </c>
      <c r="R2" s="3">
        <v>0</v>
      </c>
      <c r="S2" s="4">
        <v>12</v>
      </c>
      <c r="T2" s="4">
        <v>19</v>
      </c>
      <c r="U2" s="4">
        <v>48</v>
      </c>
      <c r="V2" s="4">
        <f>IF(ISERROR(VLOOKUP($S$2,'TAR FIN'!$A$1:$O$86,15,0)),0,VLOOKUP($S$2,'TAR FIN'!$A$1:$O$86,15,0))</f>
        <v>38.520000000000003</v>
      </c>
      <c r="W2" s="4">
        <f>IF(ISERROR(VLOOKUP($T$2,'TAR FIN'!$A$1:$O$86,15,0)),0,VLOOKUP($T$2,'TAR FIN'!$A$1:$O$86,15,0))</f>
        <v>68.55</v>
      </c>
      <c r="X2" s="4">
        <f>IF(ISERROR(VLOOKUP($U$2,'TAR FIN'!$A$1:$O$86,15,0)),0,VLOOKUP($U$2,'TAR FIN'!$A$1:$O$86,15,0))</f>
        <v>211.54</v>
      </c>
      <c r="Y2" s="4">
        <f ca="1">('TUSD BE'!$AM$6+'TUSD BF'!$AM$6+'TUSD CVA'!$AM$6)*1</f>
        <v>44.255213546385811</v>
      </c>
      <c r="Z2" s="4">
        <f ca="1">('TUSD BE'!$AM$7+'TUSD BF'!$AM$7+'TUSD CVA'!$AM$7)*1</f>
        <v>96.693682586652571</v>
      </c>
      <c r="AA2" s="4">
        <f>('TE BE'!$AB$6+'TE BF'!$AB$6+'TE CVA'!$AB$6)*1</f>
        <v>196.56876174373542</v>
      </c>
      <c r="AB2" s="4">
        <f>$K$2*$V$2</f>
        <v>180812.88</v>
      </c>
      <c r="AC2" s="4">
        <f>$M$2*$W$2</f>
        <v>128833.48695000001</v>
      </c>
      <c r="AD2" s="4">
        <f>$O$2*$X$2</f>
        <v>397570.17986000003</v>
      </c>
      <c r="AE2" s="4">
        <f ca="1">$K$2*$Y$2</f>
        <v>207733.972386735</v>
      </c>
      <c r="AF2" s="4">
        <f ca="1">$M$2*$Z$2</f>
        <v>181726.97729649814</v>
      </c>
      <c r="AG2" s="4">
        <f>$O$2*$AA$2</f>
        <v>369433.09994003206</v>
      </c>
      <c r="AI2" s="41" t="s">
        <v>35</v>
      </c>
      <c r="AJ2" s="42">
        <f>SUMIF($B$2:$B$545,AI2,$AB$2:$AB$545)+SUMIF($B$2:$B$545,AI2,$AC$2:$AC$545)</f>
        <v>14070321.278044995</v>
      </c>
      <c r="AK2" s="42">
        <f ca="1">SUMIF($B$2:$B$545,AI2,$AE$2:$AE$545)+SUMIF($B$2:$B$545,AI2,$AF$2:$AF$545)</f>
        <v>16464224.169468313</v>
      </c>
      <c r="AL2" s="43">
        <f t="shared" ref="AL2:AL9" ca="1" si="0">IF(AJ2&lt;&gt;0,AK2/AJ2-1,0)</f>
        <v>0.1701384669274546</v>
      </c>
      <c r="AN2" s="41" t="s">
        <v>35</v>
      </c>
      <c r="AO2" s="42">
        <f>SUMIF($B$2:$B$545,AN2,$AD$2:$AD$545)</f>
        <v>8746634.5679635964</v>
      </c>
      <c r="AP2" s="42">
        <f>SUMIF($B$2:$B$545,AN2,$AG$2:$AG$545)</f>
        <v>8130163.6393145341</v>
      </c>
      <c r="AQ2" s="43">
        <f t="shared" ref="AQ2:AQ9" si="1">IF(AO2&lt;&gt;0,AP2/AO2-1,0)</f>
        <v>-7.0480928848567381E-2</v>
      </c>
      <c r="AS2" s="41" t="s">
        <v>35</v>
      </c>
      <c r="AT2" s="42">
        <f>SUMIF($B$2:$B$545,AS2,$AB$2:$AB$545)+SUMIF($B$2:$B$545,AS2,$AC$2:$AC$545)+SUMIF($B$2:$B$545,AS2,$AD$2:$AD$545)</f>
        <v>22816955.846008591</v>
      </c>
      <c r="AU2" s="42">
        <f ca="1">SUMIF($B$2:$B$545,AS2,$AE$2:$AE$545)+SUMIF($B$2:$B$545,AS2,$AF$2:$AF$545)+SUMIF($B$2:$B$545,AS2,$AG$2:$AG$545)</f>
        <v>24594387.808782846</v>
      </c>
      <c r="AV2" s="43">
        <f t="shared" ref="AV2:AV9" ca="1" si="2">IF(AT2&lt;&gt;0,AU2/AT2-1,0)</f>
        <v>7.7899610043080436E-2</v>
      </c>
    </row>
    <row r="3" spans="1:48" ht="11.25" customHeight="1" x14ac:dyDescent="0.25">
      <c r="A3" s="3" t="s">
        <v>21</v>
      </c>
      <c r="B3" s="3" t="s">
        <v>35</v>
      </c>
      <c r="C3" s="3" t="s">
        <v>36</v>
      </c>
      <c r="D3" s="3" t="s">
        <v>34</v>
      </c>
      <c r="E3" s="3" t="s">
        <v>25</v>
      </c>
      <c r="F3" s="3" t="s">
        <v>25</v>
      </c>
      <c r="G3" s="3" t="s">
        <v>25</v>
      </c>
      <c r="H3" s="3" t="s">
        <v>38</v>
      </c>
      <c r="I3" s="6">
        <v>44409</v>
      </c>
      <c r="J3" s="4">
        <v>4729</v>
      </c>
      <c r="K3" s="4">
        <v>4729</v>
      </c>
      <c r="L3" s="4">
        <v>1895.8910000000001</v>
      </c>
      <c r="M3" s="4">
        <v>1895.8910000000001</v>
      </c>
      <c r="N3" s="4">
        <v>1895.8910000000001</v>
      </c>
      <c r="O3" s="4">
        <v>1895.8910000000001</v>
      </c>
      <c r="P3" s="4">
        <v>0</v>
      </c>
      <c r="Q3" s="3" t="s">
        <v>26</v>
      </c>
      <c r="R3" s="3">
        <v>0</v>
      </c>
      <c r="S3" s="4">
        <v>12</v>
      </c>
      <c r="T3" s="4">
        <v>19</v>
      </c>
      <c r="U3" s="4">
        <v>48</v>
      </c>
      <c r="V3" s="4">
        <f>IF(ISERROR(VLOOKUP($S$3,'TAR FIN'!$A$1:$O$86,15,0)),0,VLOOKUP($S$3,'TAR FIN'!$A$1:$O$86,15,0))</f>
        <v>38.520000000000003</v>
      </c>
      <c r="W3" s="4">
        <f>IF(ISERROR(VLOOKUP($T$3,'TAR FIN'!$A$1:$O$86,15,0)),0,VLOOKUP($T$3,'TAR FIN'!$A$1:$O$86,15,0))</f>
        <v>68.55</v>
      </c>
      <c r="X3" s="4">
        <f>IF(ISERROR(VLOOKUP($U$3,'TAR FIN'!$A$1:$O$86,15,0)),0,VLOOKUP($U$3,'TAR FIN'!$A$1:$O$86,15,0))</f>
        <v>211.54</v>
      </c>
      <c r="Y3" s="4">
        <f ca="1">('TUSD BE'!$AM$6+'TUSD BF'!$AM$6+'TUSD CVA'!$AM$6)*1</f>
        <v>44.255213546385811</v>
      </c>
      <c r="Z3" s="4">
        <f ca="1">('TUSD BE'!$AM$7+'TUSD BF'!$AM$7+'TUSD CVA'!$AM$7)*1</f>
        <v>96.693682586652571</v>
      </c>
      <c r="AA3" s="4">
        <f>('TE BE'!$AB$6+'TE BF'!$AB$6+'TE CVA'!$AB$6)*1</f>
        <v>196.56876174373542</v>
      </c>
      <c r="AB3" s="4">
        <f>$K$3*$V$3</f>
        <v>182161.08000000002</v>
      </c>
      <c r="AC3" s="4">
        <f>$M$3*$W$3</f>
        <v>129963.32805</v>
      </c>
      <c r="AD3" s="4">
        <f>$O$3*$X$3</f>
        <v>401056.78214000002</v>
      </c>
      <c r="AE3" s="4">
        <f ca="1">$K$3*$Y$3</f>
        <v>209282.90486085849</v>
      </c>
      <c r="AF3" s="4">
        <f ca="1">$M$3*$Z$3</f>
        <v>183320.68257289132</v>
      </c>
      <c r="AG3" s="4">
        <f>$O$3*$AA$3</f>
        <v>372672.94627109228</v>
      </c>
      <c r="AI3" s="41" t="s">
        <v>22</v>
      </c>
      <c r="AJ3" s="42">
        <f>SUMIF($B$2:$B$545,AI3,$AB$2:$AB$545)+SUMIF($B$2:$B$545,AI3,$AC$2:$AC$545)</f>
        <v>2385396.0525099984</v>
      </c>
      <c r="AK3" s="42">
        <f ca="1">SUMIF($B$2:$B$545,AI3,$AE$2:$AE$545)+SUMIF($B$2:$B$545,AI3,$AF$2:$AF$545)</f>
        <v>2782362.5170904687</v>
      </c>
      <c r="AL3" s="43">
        <f t="shared" ca="1" si="0"/>
        <v>0.16641532720018049</v>
      </c>
      <c r="AN3" s="41" t="s">
        <v>22</v>
      </c>
      <c r="AO3" s="42">
        <f>SUMIF($B$2:$B$545,AN3,$AD$2:$AD$545)</f>
        <v>1034290.2021900001</v>
      </c>
      <c r="AP3" s="42">
        <f>SUMIF($B$2:$B$545,AN3,$AG$2:$AG$545)</f>
        <v>961090.33013154496</v>
      </c>
      <c r="AQ3" s="43">
        <f t="shared" si="1"/>
        <v>-7.0773049868849358E-2</v>
      </c>
      <c r="AS3" s="41" t="s">
        <v>22</v>
      </c>
      <c r="AT3" s="42">
        <f>SUMIF($B$2:$B$545,AS3,$AB$2:$AB$545)+SUMIF($B$2:$B$545,AS3,$AC$2:$AC$545)+SUMIF($B$2:$B$545,AS3,$AD$2:$AD$545)</f>
        <v>3419686.2546999985</v>
      </c>
      <c r="AU3" s="42">
        <f ca="1">SUMIF($B$2:$B$545,AS3,$AE$2:$AE$545)+SUMIF($B$2:$B$545,AS3,$AF$2:$AF$545)+SUMIF($B$2:$B$545,AS3,$AG$2:$AG$545)</f>
        <v>3743452.8472220134</v>
      </c>
      <c r="AV3" s="43">
        <f t="shared" ca="1" si="2"/>
        <v>9.46772798460771E-2</v>
      </c>
    </row>
    <row r="4" spans="1:48" ht="11.25" customHeight="1" x14ac:dyDescent="0.25">
      <c r="A4" s="3" t="s">
        <v>21</v>
      </c>
      <c r="B4" s="3" t="s">
        <v>35</v>
      </c>
      <c r="C4" s="3" t="s">
        <v>36</v>
      </c>
      <c r="D4" s="3" t="s">
        <v>34</v>
      </c>
      <c r="E4" s="3" t="s">
        <v>25</v>
      </c>
      <c r="F4" s="3" t="s">
        <v>25</v>
      </c>
      <c r="G4" s="3" t="s">
        <v>25</v>
      </c>
      <c r="H4" s="3" t="s">
        <v>38</v>
      </c>
      <c r="I4" s="6">
        <v>44440</v>
      </c>
      <c r="J4" s="4">
        <v>4934</v>
      </c>
      <c r="K4" s="4">
        <v>4934</v>
      </c>
      <c r="L4" s="4">
        <v>1901.1320000000001</v>
      </c>
      <c r="M4" s="4">
        <v>1901.1320000000001</v>
      </c>
      <c r="N4" s="4">
        <v>1901.1320000000001</v>
      </c>
      <c r="O4" s="4">
        <v>1901.1320000000001</v>
      </c>
      <c r="P4" s="4">
        <v>0</v>
      </c>
      <c r="Q4" s="3" t="s">
        <v>26</v>
      </c>
      <c r="R4" s="3">
        <v>0</v>
      </c>
      <c r="S4" s="4">
        <v>12</v>
      </c>
      <c r="T4" s="4">
        <v>19</v>
      </c>
      <c r="U4" s="4">
        <v>48</v>
      </c>
      <c r="V4" s="4">
        <f>IF(ISERROR(VLOOKUP($S$4,'TAR FIN'!$A$1:$O$86,15,0)),0,VLOOKUP($S$4,'TAR FIN'!$A$1:$O$86,15,0))</f>
        <v>38.520000000000003</v>
      </c>
      <c r="W4" s="4">
        <f>IF(ISERROR(VLOOKUP($T$4,'TAR FIN'!$A$1:$O$86,15,0)),0,VLOOKUP($T$4,'TAR FIN'!$A$1:$O$86,15,0))</f>
        <v>68.55</v>
      </c>
      <c r="X4" s="4">
        <f>IF(ISERROR(VLOOKUP($U$4,'TAR FIN'!$A$1:$O$86,15,0)),0,VLOOKUP($U$4,'TAR FIN'!$A$1:$O$86,15,0))</f>
        <v>211.54</v>
      </c>
      <c r="Y4" s="4">
        <f ca="1">('TUSD BE'!$AM$6+'TUSD BF'!$AM$6+'TUSD CVA'!$AM$6)*1</f>
        <v>44.255213546385811</v>
      </c>
      <c r="Z4" s="4">
        <f ca="1">('TUSD BE'!$AM$7+'TUSD BF'!$AM$7+'TUSD CVA'!$AM$7)*1</f>
        <v>96.693682586652571</v>
      </c>
      <c r="AA4" s="4">
        <f>('TE BE'!$AB$6+'TE BF'!$AB$6+'TE CVA'!$AB$6)*1</f>
        <v>196.56876174373542</v>
      </c>
      <c r="AB4" s="4">
        <f>$K$4*$V$4</f>
        <v>190057.68000000002</v>
      </c>
      <c r="AC4" s="4">
        <f>$M$4*$W$4</f>
        <v>130322.5986</v>
      </c>
      <c r="AD4" s="4">
        <f>$O$4*$X$4</f>
        <v>402165.46328000003</v>
      </c>
      <c r="AE4" s="4">
        <f ca="1">$K$4*$Y$4</f>
        <v>218355.2236378676</v>
      </c>
      <c r="AF4" s="4">
        <f ca="1">$M$4*$Z$4</f>
        <v>183827.45416332799</v>
      </c>
      <c r="AG4" s="4">
        <f>$O$4*$AA$4</f>
        <v>373703.1631513912</v>
      </c>
      <c r="AI4" s="41" t="s">
        <v>41</v>
      </c>
      <c r="AJ4" s="42">
        <f>SUMIF($B$2:$B$545,AI4,$AB$2:$AB$545)+SUMIF($B$2:$B$545,AI4,$AC$2:$AC$545)</f>
        <v>9111278.1238139998</v>
      </c>
      <c r="AK4" s="42">
        <f ca="1">SUMIF($B$2:$B$545,AI4,$AE$2:$AE$545)+SUMIF($B$2:$B$545,AI4,$AF$2:$AF$545)</f>
        <v>11364081.454716783</v>
      </c>
      <c r="AL4" s="43">
        <f t="shared" ca="1" si="0"/>
        <v>0.24725436983584848</v>
      </c>
      <c r="AN4" s="41" t="s">
        <v>41</v>
      </c>
      <c r="AO4" s="42">
        <f>SUMIF($B$2:$B$545,AN4,$AD$2:$AD$545)</f>
        <v>3942232.6168160005</v>
      </c>
      <c r="AP4" s="42">
        <f>SUMIF($B$2:$B$545,AN4,$AG$2:$AG$545)</f>
        <v>3912895.3424671777</v>
      </c>
      <c r="AQ4" s="43">
        <f t="shared" si="1"/>
        <v>-7.4417917967807279E-3</v>
      </c>
      <c r="AS4" s="41" t="s">
        <v>41</v>
      </c>
      <c r="AT4" s="42">
        <f>SUMIF($B$2:$B$545,AS4,$AB$2:$AB$545)+SUMIF($B$2:$B$545,AS4,$AC$2:$AC$545)+SUMIF($B$2:$B$545,AS4,$AD$2:$AD$545)</f>
        <v>13053510.740630001</v>
      </c>
      <c r="AU4" s="42">
        <f ca="1">SUMIF($B$2:$B$545,AS4,$AE$2:$AE$545)+SUMIF($B$2:$B$545,AS4,$AF$2:$AF$545)+SUMIF($B$2:$B$545,AS4,$AG$2:$AG$545)</f>
        <v>15276976.797183961</v>
      </c>
      <c r="AV4" s="43">
        <f t="shared" ca="1" si="2"/>
        <v>0.17033471689981905</v>
      </c>
    </row>
    <row r="5" spans="1:48" ht="11.25" customHeight="1" x14ac:dyDescent="0.25">
      <c r="A5" s="3" t="s">
        <v>21</v>
      </c>
      <c r="B5" s="3" t="s">
        <v>35</v>
      </c>
      <c r="C5" s="3" t="s">
        <v>36</v>
      </c>
      <c r="D5" s="3" t="s">
        <v>34</v>
      </c>
      <c r="E5" s="3" t="s">
        <v>25</v>
      </c>
      <c r="F5" s="3" t="s">
        <v>25</v>
      </c>
      <c r="G5" s="3" t="s">
        <v>25</v>
      </c>
      <c r="H5" s="3" t="s">
        <v>38</v>
      </c>
      <c r="I5" s="6">
        <v>44470</v>
      </c>
      <c r="J5" s="4">
        <v>4844</v>
      </c>
      <c r="K5" s="4">
        <v>4844</v>
      </c>
      <c r="L5" s="4">
        <v>1952.5340000000001</v>
      </c>
      <c r="M5" s="4">
        <v>1952.5340000000001</v>
      </c>
      <c r="N5" s="4">
        <v>1952.5340000000001</v>
      </c>
      <c r="O5" s="4">
        <v>1952.5340000000001</v>
      </c>
      <c r="P5" s="4">
        <v>0</v>
      </c>
      <c r="Q5" s="3" t="s">
        <v>26</v>
      </c>
      <c r="R5" s="3">
        <v>0</v>
      </c>
      <c r="S5" s="4">
        <v>12</v>
      </c>
      <c r="T5" s="4">
        <v>19</v>
      </c>
      <c r="U5" s="4">
        <v>48</v>
      </c>
      <c r="V5" s="4">
        <f>IF(ISERROR(VLOOKUP($S$5,'TAR FIN'!$A$1:$O$86,15,0)),0,VLOOKUP($S$5,'TAR FIN'!$A$1:$O$86,15,0))</f>
        <v>38.520000000000003</v>
      </c>
      <c r="W5" s="4">
        <f>IF(ISERROR(VLOOKUP($T$5,'TAR FIN'!$A$1:$O$86,15,0)),0,VLOOKUP($T$5,'TAR FIN'!$A$1:$O$86,15,0))</f>
        <v>68.55</v>
      </c>
      <c r="X5" s="4">
        <f>IF(ISERROR(VLOOKUP($U$5,'TAR FIN'!$A$1:$O$86,15,0)),0,VLOOKUP($U$5,'TAR FIN'!$A$1:$O$86,15,0))</f>
        <v>211.54</v>
      </c>
      <c r="Y5" s="4">
        <f ca="1">('TUSD BE'!$AM$6+'TUSD BF'!$AM$6+'TUSD CVA'!$AM$6)*1</f>
        <v>44.255213546385811</v>
      </c>
      <c r="Z5" s="4">
        <f ca="1">('TUSD BE'!$AM$7+'TUSD BF'!$AM$7+'TUSD CVA'!$AM$7)*1</f>
        <v>96.693682586652571</v>
      </c>
      <c r="AA5" s="4">
        <f>('TE BE'!$AB$6+'TE BF'!$AB$6+'TE CVA'!$AB$6)*1</f>
        <v>196.56876174373542</v>
      </c>
      <c r="AB5" s="4">
        <f>$K$5*$V$5</f>
        <v>186590.88</v>
      </c>
      <c r="AC5" s="4">
        <f>$M$5*$W$5</f>
        <v>133846.20569999999</v>
      </c>
      <c r="AD5" s="4">
        <f>$O$5*$X$5</f>
        <v>413039.04236000002</v>
      </c>
      <c r="AE5" s="4">
        <f ca="1">$K$5*$Y$5</f>
        <v>214372.25441869287</v>
      </c>
      <c r="AF5" s="4">
        <f ca="1">$M$5*$Z$5</f>
        <v>188797.7028356471</v>
      </c>
      <c r="AG5" s="4">
        <f>$O$5*$AA$5</f>
        <v>383807.19064254273</v>
      </c>
      <c r="AI5" s="41" t="s">
        <v>33</v>
      </c>
      <c r="AJ5" s="42">
        <f>SUMIF($B$2:$B$545,AI5,$AB$2:$AB$545)+SUMIF($B$2:$B$545,AI5,$AC$2:$AC$545)</f>
        <v>1539124.2168060001</v>
      </c>
      <c r="AK5" s="42">
        <f ca="1">SUMIF($B$2:$B$545,AI5,$AE$2:$AE$545)+SUMIF($B$2:$B$545,AI5,$AF$2:$AF$545)</f>
        <v>1801069.3600163786</v>
      </c>
      <c r="AL5" s="43">
        <f t="shared" ca="1" si="0"/>
        <v>0.17019103484315812</v>
      </c>
      <c r="AN5" s="41" t="s">
        <v>33</v>
      </c>
      <c r="AO5" s="42">
        <f>SUMIF($B$2:$B$545,AN5,$AD$2:$AD$545)</f>
        <v>665779.88430799998</v>
      </c>
      <c r="AP5" s="42">
        <f>SUMIF($B$2:$B$545,AN5,$AG$2:$AG$545)</f>
        <v>620146.55019419349</v>
      </c>
      <c r="AQ5" s="43">
        <f t="shared" si="1"/>
        <v>-6.8541172825065111E-2</v>
      </c>
      <c r="AS5" s="41" t="s">
        <v>33</v>
      </c>
      <c r="AT5" s="42">
        <f>SUMIF($B$2:$B$545,AS5,$AB$2:$AB$545)+SUMIF($B$2:$B$545,AS5,$AC$2:$AC$545)+SUMIF($B$2:$B$545,AS5,$AD$2:$AD$545)</f>
        <v>2204904.1011140002</v>
      </c>
      <c r="AU5" s="42">
        <f ca="1">SUMIF($B$2:$B$545,AS5,$AE$2:$AE$545)+SUMIF($B$2:$B$545,AS5,$AF$2:$AF$545)+SUMIF($B$2:$B$545,AS5,$AG$2:$AG$545)</f>
        <v>2421215.9102105722</v>
      </c>
      <c r="AV5" s="43">
        <f t="shared" ca="1" si="2"/>
        <v>9.8104860427844942E-2</v>
      </c>
    </row>
    <row r="6" spans="1:48" ht="11.25" customHeight="1" x14ac:dyDescent="0.25">
      <c r="A6" s="3" t="s">
        <v>21</v>
      </c>
      <c r="B6" s="3" t="s">
        <v>35</v>
      </c>
      <c r="C6" s="3" t="s">
        <v>36</v>
      </c>
      <c r="D6" s="3" t="s">
        <v>34</v>
      </c>
      <c r="E6" s="3" t="s">
        <v>25</v>
      </c>
      <c r="F6" s="3" t="s">
        <v>25</v>
      </c>
      <c r="G6" s="3" t="s">
        <v>25</v>
      </c>
      <c r="H6" s="3" t="s">
        <v>38</v>
      </c>
      <c r="I6" s="6">
        <v>44501</v>
      </c>
      <c r="J6" s="4">
        <v>5085</v>
      </c>
      <c r="K6" s="4">
        <v>5085</v>
      </c>
      <c r="L6" s="4">
        <v>1953.104</v>
      </c>
      <c r="M6" s="4">
        <v>1953.104</v>
      </c>
      <c r="N6" s="4">
        <v>1953.104</v>
      </c>
      <c r="O6" s="4">
        <v>1953.104</v>
      </c>
      <c r="P6" s="4">
        <v>0</v>
      </c>
      <c r="Q6" s="3" t="s">
        <v>26</v>
      </c>
      <c r="R6" s="3">
        <v>0</v>
      </c>
      <c r="S6" s="4">
        <v>12</v>
      </c>
      <c r="T6" s="4">
        <v>19</v>
      </c>
      <c r="U6" s="4">
        <v>48</v>
      </c>
      <c r="V6" s="4">
        <f>IF(ISERROR(VLOOKUP($S$6,'TAR FIN'!$A$1:$O$86,15,0)),0,VLOOKUP($S$6,'TAR FIN'!$A$1:$O$86,15,0))</f>
        <v>38.520000000000003</v>
      </c>
      <c r="W6" s="4">
        <f>IF(ISERROR(VLOOKUP($T$6,'TAR FIN'!$A$1:$O$86,15,0)),0,VLOOKUP($T$6,'TAR FIN'!$A$1:$O$86,15,0))</f>
        <v>68.55</v>
      </c>
      <c r="X6" s="4">
        <f>IF(ISERROR(VLOOKUP($U$6,'TAR FIN'!$A$1:$O$86,15,0)),0,VLOOKUP($U$6,'TAR FIN'!$A$1:$O$86,15,0))</f>
        <v>211.54</v>
      </c>
      <c r="Y6" s="4">
        <f ca="1">('TUSD BE'!$AM$6+'TUSD BF'!$AM$6+'TUSD CVA'!$AM$6)*1</f>
        <v>44.255213546385811</v>
      </c>
      <c r="Z6" s="4">
        <f ca="1">('TUSD BE'!$AM$7+'TUSD BF'!$AM$7+'TUSD CVA'!$AM$7)*1</f>
        <v>96.693682586652571</v>
      </c>
      <c r="AA6" s="4">
        <f>('TE BE'!$AB$6+'TE BF'!$AB$6+'TE CVA'!$AB$6)*1</f>
        <v>196.56876174373542</v>
      </c>
      <c r="AB6" s="4">
        <f>$K$6*$V$6</f>
        <v>195874.2</v>
      </c>
      <c r="AC6" s="4">
        <f>$M$6*$W$6</f>
        <v>133885.27919999999</v>
      </c>
      <c r="AD6" s="4">
        <f>$O$6*$X$6</f>
        <v>413159.62015999999</v>
      </c>
      <c r="AE6" s="4">
        <f ca="1">$K$6*$Y$6</f>
        <v>225037.76088337184</v>
      </c>
      <c r="AF6" s="4">
        <f ca="1">$M$6*$Z$6</f>
        <v>188852.81823472149</v>
      </c>
      <c r="AG6" s="4">
        <f>$O$6*$AA$6</f>
        <v>383919.23483673664</v>
      </c>
      <c r="AI6" s="41" t="s">
        <v>44</v>
      </c>
      <c r="AJ6" s="42">
        <f>SUMIF($B$2:$B$545,AI6,$AB$2:$AB$545)+SUMIF($B$2:$B$545,AI6,$AC$2:$AC$545)</f>
        <v>243649.43316999997</v>
      </c>
      <c r="AK6" s="42">
        <f ca="1">SUMIF($B$2:$B$545,AI6,$AE$2:$AE$545)+SUMIF($B$2:$B$545,AI6,$AF$2:$AF$545)</f>
        <v>284429.64529643609</v>
      </c>
      <c r="AL6" s="43">
        <f t="shared" ca="1" si="0"/>
        <v>0.1673724892188968</v>
      </c>
      <c r="AN6" s="41" t="s">
        <v>44</v>
      </c>
      <c r="AO6" s="42">
        <f>SUMIF($B$2:$B$545,AN6,$AD$2:$AD$545)</f>
        <v>105396.92734999998</v>
      </c>
      <c r="AP6" s="42">
        <f>SUMIF($B$2:$B$545,AN6,$AG$2:$AG$545)</f>
        <v>97935.186295068081</v>
      </c>
      <c r="AQ6" s="43">
        <f t="shared" si="1"/>
        <v>-7.0796571043794332E-2</v>
      </c>
      <c r="AS6" s="41" t="s">
        <v>44</v>
      </c>
      <c r="AT6" s="42">
        <f>SUMIF($B$2:$B$545,AS6,$AB$2:$AB$545)+SUMIF($B$2:$B$545,AS6,$AC$2:$AC$545)+SUMIF($B$2:$B$545,AS6,$AD$2:$AD$545)</f>
        <v>349046.36051999999</v>
      </c>
      <c r="AU6" s="42">
        <f ca="1">SUMIF($B$2:$B$545,AS6,$AE$2:$AE$545)+SUMIF($B$2:$B$545,AS6,$AF$2:$AF$545)+SUMIF($B$2:$B$545,AS6,$AG$2:$AG$545)</f>
        <v>382364.83159150416</v>
      </c>
      <c r="AV6" s="43">
        <f t="shared" ca="1" si="2"/>
        <v>9.5455718323111061E-2</v>
      </c>
    </row>
    <row r="7" spans="1:48" ht="11.25" customHeight="1" x14ac:dyDescent="0.25">
      <c r="A7" s="3" t="s">
        <v>21</v>
      </c>
      <c r="B7" s="3" t="s">
        <v>35</v>
      </c>
      <c r="C7" s="3" t="s">
        <v>36</v>
      </c>
      <c r="D7" s="3" t="s">
        <v>34</v>
      </c>
      <c r="E7" s="3" t="s">
        <v>25</v>
      </c>
      <c r="F7" s="3" t="s">
        <v>25</v>
      </c>
      <c r="G7" s="3" t="s">
        <v>25</v>
      </c>
      <c r="H7" s="3" t="s">
        <v>38</v>
      </c>
      <c r="I7" s="6">
        <v>44531</v>
      </c>
      <c r="J7" s="4">
        <v>5098</v>
      </c>
      <c r="K7" s="4">
        <v>5098</v>
      </c>
      <c r="L7" s="4">
        <v>1934.24</v>
      </c>
      <c r="M7" s="4">
        <v>1934.24</v>
      </c>
      <c r="N7" s="4">
        <v>1934.24</v>
      </c>
      <c r="O7" s="4">
        <v>1934.24</v>
      </c>
      <c r="P7" s="4">
        <v>0</v>
      </c>
      <c r="Q7" s="3" t="s">
        <v>26</v>
      </c>
      <c r="R7" s="3">
        <v>0</v>
      </c>
      <c r="S7" s="4">
        <v>12</v>
      </c>
      <c r="T7" s="4">
        <v>19</v>
      </c>
      <c r="U7" s="4">
        <v>48</v>
      </c>
      <c r="V7" s="4">
        <f>IF(ISERROR(VLOOKUP($S$7,'TAR FIN'!$A$1:$O$86,15,0)),0,VLOOKUP($S$7,'TAR FIN'!$A$1:$O$86,15,0))</f>
        <v>38.520000000000003</v>
      </c>
      <c r="W7" s="4">
        <f>IF(ISERROR(VLOOKUP($T$7,'TAR FIN'!$A$1:$O$86,15,0)),0,VLOOKUP($T$7,'TAR FIN'!$A$1:$O$86,15,0))</f>
        <v>68.55</v>
      </c>
      <c r="X7" s="4">
        <f>IF(ISERROR(VLOOKUP($U$7,'TAR FIN'!$A$1:$O$86,15,0)),0,VLOOKUP($U$7,'TAR FIN'!$A$1:$O$86,15,0))</f>
        <v>211.54</v>
      </c>
      <c r="Y7" s="4">
        <f ca="1">('TUSD BE'!$AM$6+'TUSD BF'!$AM$6+'TUSD CVA'!$AM$6)*1</f>
        <v>44.255213546385811</v>
      </c>
      <c r="Z7" s="4">
        <f ca="1">('TUSD BE'!$AM$7+'TUSD BF'!$AM$7+'TUSD CVA'!$AM$7)*1</f>
        <v>96.693682586652571</v>
      </c>
      <c r="AA7" s="4">
        <f>('TE BE'!$AB$6+'TE BF'!$AB$6+'TE CVA'!$AB$6)*1</f>
        <v>196.56876174373542</v>
      </c>
      <c r="AB7" s="4">
        <f>$K$7*$V$7</f>
        <v>196374.96000000002</v>
      </c>
      <c r="AC7" s="4">
        <f>$M$7*$W$7</f>
        <v>132592.152</v>
      </c>
      <c r="AD7" s="4">
        <f>$O$7*$X$7</f>
        <v>409169.12959999999</v>
      </c>
      <c r="AE7" s="4">
        <f ca="1">$K$7*$Y$7</f>
        <v>225613.07865947485</v>
      </c>
      <c r="AF7" s="4">
        <f ca="1">$M$7*$Z$7</f>
        <v>187028.78860640686</v>
      </c>
      <c r="AG7" s="4">
        <f>$O$7*$AA$7</f>
        <v>380211.16171520279</v>
      </c>
      <c r="AI7" s="41" t="s">
        <v>571</v>
      </c>
      <c r="AJ7" s="42">
        <f>+$AJ$2</f>
        <v>14070321.278044995</v>
      </c>
      <c r="AK7" s="42">
        <f ca="1">+$AK$2</f>
        <v>16464224.169468313</v>
      </c>
      <c r="AL7" s="43">
        <f t="shared" ca="1" si="0"/>
        <v>0.1701384669274546</v>
      </c>
      <c r="AN7" s="41" t="s">
        <v>571</v>
      </c>
      <c r="AO7" s="42">
        <f>+$AO$2</f>
        <v>8746634.5679635964</v>
      </c>
      <c r="AP7" s="42">
        <f>+$AP$2</f>
        <v>8130163.6393145341</v>
      </c>
      <c r="AQ7" s="43">
        <f t="shared" si="1"/>
        <v>-7.0480928848567381E-2</v>
      </c>
      <c r="AS7" s="41" t="s">
        <v>571</v>
      </c>
      <c r="AT7" s="42">
        <f>+$AT$2</f>
        <v>22816955.846008591</v>
      </c>
      <c r="AU7" s="42">
        <f ca="1">+$AU$2</f>
        <v>24594387.808782846</v>
      </c>
      <c r="AV7" s="43">
        <f t="shared" ca="1" si="2"/>
        <v>7.7899610043080436E-2</v>
      </c>
    </row>
    <row r="8" spans="1:48" ht="11.25" customHeight="1" x14ac:dyDescent="0.25">
      <c r="A8" s="3" t="s">
        <v>21</v>
      </c>
      <c r="B8" s="3" t="s">
        <v>35</v>
      </c>
      <c r="C8" s="3" t="s">
        <v>36</v>
      </c>
      <c r="D8" s="3" t="s">
        <v>34</v>
      </c>
      <c r="E8" s="3" t="s">
        <v>25</v>
      </c>
      <c r="F8" s="3" t="s">
        <v>25</v>
      </c>
      <c r="G8" s="3" t="s">
        <v>25</v>
      </c>
      <c r="H8" s="3" t="s">
        <v>38</v>
      </c>
      <c r="I8" s="6">
        <v>44562</v>
      </c>
      <c r="J8" s="4">
        <v>5078</v>
      </c>
      <c r="K8" s="4">
        <v>5078</v>
      </c>
      <c r="L8" s="4">
        <v>1989.569</v>
      </c>
      <c r="M8" s="4">
        <v>1989.569</v>
      </c>
      <c r="N8" s="4">
        <v>1989.569</v>
      </c>
      <c r="O8" s="4">
        <v>1989.569</v>
      </c>
      <c r="P8" s="4">
        <v>0</v>
      </c>
      <c r="Q8" s="3" t="s">
        <v>26</v>
      </c>
      <c r="R8" s="3">
        <v>0</v>
      </c>
      <c r="S8" s="4">
        <v>12</v>
      </c>
      <c r="T8" s="4">
        <v>19</v>
      </c>
      <c r="U8" s="4">
        <v>48</v>
      </c>
      <c r="V8" s="4">
        <f>IF(ISERROR(VLOOKUP($S$8,'TAR FIN'!$A$1:$O$86,15,0)),0,VLOOKUP($S$8,'TAR FIN'!$A$1:$O$86,15,0))</f>
        <v>38.520000000000003</v>
      </c>
      <c r="W8" s="4">
        <f>IF(ISERROR(VLOOKUP($T$8,'TAR FIN'!$A$1:$O$86,15,0)),0,VLOOKUP($T$8,'TAR FIN'!$A$1:$O$86,15,0))</f>
        <v>68.55</v>
      </c>
      <c r="X8" s="4">
        <f>IF(ISERROR(VLOOKUP($U$8,'TAR FIN'!$A$1:$O$86,15,0)),0,VLOOKUP($U$8,'TAR FIN'!$A$1:$O$86,15,0))</f>
        <v>211.54</v>
      </c>
      <c r="Y8" s="4">
        <f ca="1">('TUSD BE'!$AM$6+'TUSD BF'!$AM$6+'TUSD CVA'!$AM$6)*1</f>
        <v>44.255213546385811</v>
      </c>
      <c r="Z8" s="4">
        <f ca="1">('TUSD BE'!$AM$7+'TUSD BF'!$AM$7+'TUSD CVA'!$AM$7)*1</f>
        <v>96.693682586652571</v>
      </c>
      <c r="AA8" s="4">
        <f>('TE BE'!$AB$6+'TE BF'!$AB$6+'TE CVA'!$AB$6)*1</f>
        <v>196.56876174373542</v>
      </c>
      <c r="AB8" s="4">
        <f>$K$8*$V$8</f>
        <v>195604.56000000003</v>
      </c>
      <c r="AC8" s="4">
        <f>$M$8*$W$8</f>
        <v>136384.95494999998</v>
      </c>
      <c r="AD8" s="4">
        <f>$O$8*$X$8</f>
        <v>420873.42625999998</v>
      </c>
      <c r="AE8" s="4">
        <f ca="1">$K$8*$Y$8</f>
        <v>224727.97438854715</v>
      </c>
      <c r="AF8" s="4">
        <f ca="1">$M$8*$Z$8</f>
        <v>192378.75337024376</v>
      </c>
      <c r="AG8" s="4">
        <f>$O$8*$AA$8</f>
        <v>391087.11473372194</v>
      </c>
      <c r="AI8" s="41" t="s">
        <v>82</v>
      </c>
      <c r="AJ8" s="42">
        <f>+$AJ$3+$AJ$4+$AJ$5+$AJ$6</f>
        <v>13279447.826299999</v>
      </c>
      <c r="AK8" s="42">
        <f ca="1">+$AK$3+$AK$4+$AK$5+$AK$6</f>
        <v>16231942.977120068</v>
      </c>
      <c r="AL8" s="43">
        <f t="shared" ca="1" si="0"/>
        <v>0.22233568665201875</v>
      </c>
      <c r="AN8" s="41" t="s">
        <v>82</v>
      </c>
      <c r="AO8" s="42">
        <f>+$AO$3+$AO$4+$AO$5+$AO$6</f>
        <v>5747699.6306640003</v>
      </c>
      <c r="AP8" s="42">
        <f>+$AP$3+$AP$4+$AP$5+$AP$6</f>
        <v>5592067.4090879839</v>
      </c>
      <c r="AQ8" s="43">
        <f t="shared" si="1"/>
        <v>-2.7077305979198663E-2</v>
      </c>
      <c r="AS8" s="41" t="s">
        <v>82</v>
      </c>
      <c r="AT8" s="42">
        <f>+$AT$3+$AT$4+$AT$5+$AT$6</f>
        <v>19027147.456964001</v>
      </c>
      <c r="AU8" s="42">
        <f ca="1">+$AU$3+$AU$4+$AU$5+$AU$6</f>
        <v>21824010.386208054</v>
      </c>
      <c r="AV8" s="43">
        <f t="shared" ca="1" si="2"/>
        <v>0.14699328607034001</v>
      </c>
    </row>
    <row r="9" spans="1:48" ht="11.25" customHeight="1" x14ac:dyDescent="0.25">
      <c r="A9" s="3" t="s">
        <v>21</v>
      </c>
      <c r="B9" s="3" t="s">
        <v>35</v>
      </c>
      <c r="C9" s="3" t="s">
        <v>36</v>
      </c>
      <c r="D9" s="3" t="s">
        <v>34</v>
      </c>
      <c r="E9" s="3" t="s">
        <v>25</v>
      </c>
      <c r="F9" s="3" t="s">
        <v>25</v>
      </c>
      <c r="G9" s="3" t="s">
        <v>25</v>
      </c>
      <c r="H9" s="3" t="s">
        <v>38</v>
      </c>
      <c r="I9" s="6">
        <v>44593</v>
      </c>
      <c r="J9" s="4">
        <v>5048</v>
      </c>
      <c r="K9" s="4">
        <v>5048</v>
      </c>
      <c r="L9" s="4">
        <v>2034.4</v>
      </c>
      <c r="M9" s="4">
        <v>2034.4</v>
      </c>
      <c r="N9" s="4">
        <v>2034.4</v>
      </c>
      <c r="O9" s="4">
        <v>2034.4</v>
      </c>
      <c r="P9" s="4">
        <v>0</v>
      </c>
      <c r="Q9" s="3" t="s">
        <v>26</v>
      </c>
      <c r="R9" s="3">
        <v>0</v>
      </c>
      <c r="S9" s="4">
        <v>12</v>
      </c>
      <c r="T9" s="4">
        <v>19</v>
      </c>
      <c r="U9" s="4">
        <v>48</v>
      </c>
      <c r="V9" s="4">
        <f>IF(ISERROR(VLOOKUP($S$9,'TAR FIN'!$A$1:$O$86,15,0)),0,VLOOKUP($S$9,'TAR FIN'!$A$1:$O$86,15,0))</f>
        <v>38.520000000000003</v>
      </c>
      <c r="W9" s="4">
        <f>IF(ISERROR(VLOOKUP($T$9,'TAR FIN'!$A$1:$O$86,15,0)),0,VLOOKUP($T$9,'TAR FIN'!$A$1:$O$86,15,0))</f>
        <v>68.55</v>
      </c>
      <c r="X9" s="4">
        <f>IF(ISERROR(VLOOKUP($U$9,'TAR FIN'!$A$1:$O$86,15,0)),0,VLOOKUP($U$9,'TAR FIN'!$A$1:$O$86,15,0))</f>
        <v>211.54</v>
      </c>
      <c r="Y9" s="4">
        <f ca="1">('TUSD BE'!$AM$6+'TUSD BF'!$AM$6+'TUSD CVA'!$AM$6)*1</f>
        <v>44.255213546385811</v>
      </c>
      <c r="Z9" s="4">
        <f ca="1">('TUSD BE'!$AM$7+'TUSD BF'!$AM$7+'TUSD CVA'!$AM$7)*1</f>
        <v>96.693682586652571</v>
      </c>
      <c r="AA9" s="4">
        <f>('TE BE'!$AB$6+'TE BF'!$AB$6+'TE CVA'!$AB$6)*1</f>
        <v>196.56876174373542</v>
      </c>
      <c r="AB9" s="4">
        <f>$K$9*$V$9</f>
        <v>194448.96000000002</v>
      </c>
      <c r="AC9" s="4">
        <f>$M$9*$W$9</f>
        <v>139458.12</v>
      </c>
      <c r="AD9" s="4">
        <f>$O$9*$X$9</f>
        <v>430356.97600000002</v>
      </c>
      <c r="AE9" s="4">
        <f ca="1">$K$9*$Y$9</f>
        <v>223400.31798215557</v>
      </c>
      <c r="AF9" s="4">
        <f ca="1">$M$9*$Z$9</f>
        <v>196713.62785428599</v>
      </c>
      <c r="AG9" s="4">
        <f>$O$9*$AA$9</f>
        <v>399899.48889145534</v>
      </c>
      <c r="AI9" s="41" t="s">
        <v>572</v>
      </c>
      <c r="AJ9" s="42">
        <f>AJ8+AJ7</f>
        <v>27349769.104344994</v>
      </c>
      <c r="AK9" s="42">
        <f ca="1">AK8+AK7</f>
        <v>32696167.146588381</v>
      </c>
      <c r="AL9" s="43">
        <f t="shared" ca="1" si="0"/>
        <v>0.19548238311796262</v>
      </c>
      <c r="AN9" s="41" t="s">
        <v>572</v>
      </c>
      <c r="AO9" s="42">
        <f>AO8+AO7</f>
        <v>14494334.198627597</v>
      </c>
      <c r="AP9" s="42">
        <f>AP8+AP7</f>
        <v>13722231.048402518</v>
      </c>
      <c r="AQ9" s="43">
        <f t="shared" si="1"/>
        <v>-5.3269307830516643E-2</v>
      </c>
      <c r="AS9" s="41" t="s">
        <v>572</v>
      </c>
      <c r="AT9" s="42">
        <f>AT8+AT7</f>
        <v>41844103.302972592</v>
      </c>
      <c r="AU9" s="42">
        <f ca="1">AU8+AU7</f>
        <v>46418398.194990903</v>
      </c>
      <c r="AV9" s="43">
        <f t="shared" ca="1" si="2"/>
        <v>0.10931755088400608</v>
      </c>
    </row>
    <row r="10" spans="1:48" ht="11.25" customHeight="1" x14ac:dyDescent="0.25">
      <c r="A10" s="3" t="s">
        <v>21</v>
      </c>
      <c r="B10" s="3" t="s">
        <v>35</v>
      </c>
      <c r="C10" s="3" t="s">
        <v>36</v>
      </c>
      <c r="D10" s="3" t="s">
        <v>34</v>
      </c>
      <c r="E10" s="3" t="s">
        <v>25</v>
      </c>
      <c r="F10" s="3" t="s">
        <v>25</v>
      </c>
      <c r="G10" s="3" t="s">
        <v>25</v>
      </c>
      <c r="H10" s="3" t="s">
        <v>38</v>
      </c>
      <c r="I10" s="6">
        <v>44621</v>
      </c>
      <c r="J10" s="4">
        <v>6637</v>
      </c>
      <c r="K10" s="4">
        <v>6637</v>
      </c>
      <c r="L10" s="4">
        <v>2236.8580000000002</v>
      </c>
      <c r="M10" s="4">
        <v>2236.8580000000002</v>
      </c>
      <c r="N10" s="4">
        <v>2236.8580000000002</v>
      </c>
      <c r="O10" s="4">
        <v>2236.8580000000002</v>
      </c>
      <c r="P10" s="4">
        <v>0</v>
      </c>
      <c r="Q10" s="3" t="s">
        <v>26</v>
      </c>
      <c r="R10" s="3">
        <v>0</v>
      </c>
      <c r="S10" s="4">
        <v>12</v>
      </c>
      <c r="T10" s="4">
        <v>19</v>
      </c>
      <c r="U10" s="4">
        <v>48</v>
      </c>
      <c r="V10" s="4">
        <f>IF(ISERROR(VLOOKUP($S$10,'TAR FIN'!$A$1:$O$86,15,0)),0,VLOOKUP($S$10,'TAR FIN'!$A$1:$O$86,15,0))</f>
        <v>38.520000000000003</v>
      </c>
      <c r="W10" s="4">
        <f>IF(ISERROR(VLOOKUP($T$10,'TAR FIN'!$A$1:$O$86,15,0)),0,VLOOKUP($T$10,'TAR FIN'!$A$1:$O$86,15,0))</f>
        <v>68.55</v>
      </c>
      <c r="X10" s="4">
        <f>IF(ISERROR(VLOOKUP($U$10,'TAR FIN'!$A$1:$O$86,15,0)),0,VLOOKUP($U$10,'TAR FIN'!$A$1:$O$86,15,0))</f>
        <v>211.54</v>
      </c>
      <c r="Y10" s="4">
        <f ca="1">('TUSD BE'!$AM$6+'TUSD BF'!$AM$6+'TUSD CVA'!$AM$6)*1</f>
        <v>44.255213546385811</v>
      </c>
      <c r="Z10" s="4">
        <f ca="1">('TUSD BE'!$AM$7+'TUSD BF'!$AM$7+'TUSD CVA'!$AM$7)*1</f>
        <v>96.693682586652571</v>
      </c>
      <c r="AA10" s="4">
        <f>('TE BE'!$AB$6+'TE BF'!$AB$6+'TE CVA'!$AB$6)*1</f>
        <v>196.56876174373542</v>
      </c>
      <c r="AB10" s="4">
        <f>$K$10*$V$10</f>
        <v>255657.24000000002</v>
      </c>
      <c r="AC10" s="4">
        <f>$M$10*$W$10</f>
        <v>153336.6159</v>
      </c>
      <c r="AD10" s="4">
        <f>$O$10*$X$10</f>
        <v>473184.94132000004</v>
      </c>
      <c r="AE10" s="4">
        <f ca="1">$K$10*$Y$10</f>
        <v>293721.8523073626</v>
      </c>
      <c r="AF10" s="4">
        <f ca="1">$M$10*$Z$10</f>
        <v>216290.03744341451</v>
      </c>
      <c r="AG10" s="4">
        <f>$O$10*$AA$10</f>
        <v>439696.40725656855</v>
      </c>
    </row>
    <row r="11" spans="1:48" ht="11.25" customHeight="1" x14ac:dyDescent="0.25">
      <c r="A11" s="3" t="s">
        <v>21</v>
      </c>
      <c r="B11" s="3" t="s">
        <v>35</v>
      </c>
      <c r="C11" s="3" t="s">
        <v>36</v>
      </c>
      <c r="D11" s="3" t="s">
        <v>34</v>
      </c>
      <c r="E11" s="3" t="s">
        <v>25</v>
      </c>
      <c r="F11" s="3" t="s">
        <v>25</v>
      </c>
      <c r="G11" s="3" t="s">
        <v>25</v>
      </c>
      <c r="H11" s="3" t="s">
        <v>38</v>
      </c>
      <c r="I11" s="6">
        <v>44652</v>
      </c>
      <c r="J11" s="4">
        <v>6612</v>
      </c>
      <c r="K11" s="4">
        <v>6612</v>
      </c>
      <c r="L11" s="4">
        <v>1715.6410000000001</v>
      </c>
      <c r="M11" s="4">
        <v>1715.6410000000001</v>
      </c>
      <c r="N11" s="4">
        <v>1715.6410000000001</v>
      </c>
      <c r="O11" s="4">
        <v>1715.6410000000001</v>
      </c>
      <c r="P11" s="4">
        <v>0</v>
      </c>
      <c r="Q11" s="3" t="s">
        <v>26</v>
      </c>
      <c r="R11" s="3">
        <v>0</v>
      </c>
      <c r="S11" s="4">
        <v>12</v>
      </c>
      <c r="T11" s="4">
        <v>19</v>
      </c>
      <c r="U11" s="4">
        <v>48</v>
      </c>
      <c r="V11" s="4">
        <f>IF(ISERROR(VLOOKUP($S$11,'TAR FIN'!$A$1:$O$86,15,0)),0,VLOOKUP($S$11,'TAR FIN'!$A$1:$O$86,15,0))</f>
        <v>38.520000000000003</v>
      </c>
      <c r="W11" s="4">
        <f>IF(ISERROR(VLOOKUP($T$11,'TAR FIN'!$A$1:$O$86,15,0)),0,VLOOKUP($T$11,'TAR FIN'!$A$1:$O$86,15,0))</f>
        <v>68.55</v>
      </c>
      <c r="X11" s="4">
        <f>IF(ISERROR(VLOOKUP($U$11,'TAR FIN'!$A$1:$O$86,15,0)),0,VLOOKUP($U$11,'TAR FIN'!$A$1:$O$86,15,0))</f>
        <v>211.54</v>
      </c>
      <c r="Y11" s="4">
        <f ca="1">('TUSD BE'!$AM$6+'TUSD BF'!$AM$6+'TUSD CVA'!$AM$6)*1</f>
        <v>44.255213546385811</v>
      </c>
      <c r="Z11" s="4">
        <f ca="1">('TUSD BE'!$AM$7+'TUSD BF'!$AM$7+'TUSD CVA'!$AM$7)*1</f>
        <v>96.693682586652571</v>
      </c>
      <c r="AA11" s="4">
        <f>('TE BE'!$AB$6+'TE BF'!$AB$6+'TE CVA'!$AB$6)*1</f>
        <v>196.56876174373542</v>
      </c>
      <c r="AB11" s="4">
        <f>$K$11*$V$11</f>
        <v>254694.24000000002</v>
      </c>
      <c r="AC11" s="4">
        <f>$M$11*$W$11</f>
        <v>117607.19055</v>
      </c>
      <c r="AD11" s="4">
        <f>$O$11*$X$11</f>
        <v>362926.69714</v>
      </c>
      <c r="AE11" s="4">
        <f ca="1">$K$11*$Y$11</f>
        <v>292615.47196870297</v>
      </c>
      <c r="AF11" s="4">
        <f ca="1">$M$11*$Z$11</f>
        <v>165891.64628664721</v>
      </c>
      <c r="AG11" s="4">
        <f>$O$11*$AA$11</f>
        <v>337241.426966784</v>
      </c>
    </row>
    <row r="12" spans="1:48" ht="11.25" customHeight="1" x14ac:dyDescent="0.25">
      <c r="A12" s="3" t="s">
        <v>21</v>
      </c>
      <c r="B12" s="3" t="s">
        <v>35</v>
      </c>
      <c r="C12" s="3" t="s">
        <v>36</v>
      </c>
      <c r="D12" s="3" t="s">
        <v>34</v>
      </c>
      <c r="E12" s="3" t="s">
        <v>25</v>
      </c>
      <c r="F12" s="3" t="s">
        <v>25</v>
      </c>
      <c r="G12" s="3" t="s">
        <v>25</v>
      </c>
      <c r="H12" s="3" t="s">
        <v>38</v>
      </c>
      <c r="I12" s="6">
        <v>44682</v>
      </c>
      <c r="J12" s="4">
        <v>6610</v>
      </c>
      <c r="K12" s="4">
        <v>6610</v>
      </c>
      <c r="L12" s="4">
        <v>1888.7560000000001</v>
      </c>
      <c r="M12" s="4">
        <v>1888.7560000000001</v>
      </c>
      <c r="N12" s="4">
        <v>1888.7560000000001</v>
      </c>
      <c r="O12" s="4">
        <v>1888.7560000000001</v>
      </c>
      <c r="P12" s="4">
        <v>0</v>
      </c>
      <c r="Q12" s="3" t="s">
        <v>26</v>
      </c>
      <c r="R12" s="3">
        <v>0</v>
      </c>
      <c r="S12" s="4">
        <v>12</v>
      </c>
      <c r="T12" s="4">
        <v>19</v>
      </c>
      <c r="U12" s="4">
        <v>48</v>
      </c>
      <c r="V12" s="4">
        <f>IF(ISERROR(VLOOKUP($S$12,'TAR FIN'!$A$1:$O$86,15,0)),0,VLOOKUP($S$12,'TAR FIN'!$A$1:$O$86,15,0))</f>
        <v>38.520000000000003</v>
      </c>
      <c r="W12" s="4">
        <f>IF(ISERROR(VLOOKUP($T$12,'TAR FIN'!$A$1:$O$86,15,0)),0,VLOOKUP($T$12,'TAR FIN'!$A$1:$O$86,15,0))</f>
        <v>68.55</v>
      </c>
      <c r="X12" s="4">
        <f>IF(ISERROR(VLOOKUP($U$12,'TAR FIN'!$A$1:$O$86,15,0)),0,VLOOKUP($U$12,'TAR FIN'!$A$1:$O$86,15,0))</f>
        <v>211.54</v>
      </c>
      <c r="Y12" s="4">
        <f ca="1">('TUSD BE'!$AM$6+'TUSD BF'!$AM$6+'TUSD CVA'!$AM$6)*1</f>
        <v>44.255213546385811</v>
      </c>
      <c r="Z12" s="4">
        <f ca="1">('TUSD BE'!$AM$7+'TUSD BF'!$AM$7+'TUSD CVA'!$AM$7)*1</f>
        <v>96.693682586652571</v>
      </c>
      <c r="AA12" s="4">
        <f>('TE BE'!$AB$6+'TE BF'!$AB$6+'TE CVA'!$AB$6)*1</f>
        <v>196.56876174373542</v>
      </c>
      <c r="AB12" s="4">
        <f>$K$12*$V$12</f>
        <v>254617.2</v>
      </c>
      <c r="AC12" s="4">
        <f>$M$12*$W$12</f>
        <v>129474.22380000001</v>
      </c>
      <c r="AD12" s="4">
        <f>$O$12*$X$12</f>
        <v>399547.44423999998</v>
      </c>
      <c r="AE12" s="4">
        <f ca="1">$K$12*$Y$12</f>
        <v>292526.96154161019</v>
      </c>
      <c r="AF12" s="4">
        <f ca="1">$M$12*$Z$12</f>
        <v>182630.77314763557</v>
      </c>
      <c r="AG12" s="4">
        <f>$O$12*$AA$12</f>
        <v>371270.42815605074</v>
      </c>
      <c r="AU12" s="64">
        <f ca="1">AU9+SUBSIDIO!AJ3+SUBSIDIO!AJ5+SUBSIDIO!AJ6+SUBSIDIO!AJ7+SUBSIDIO!AJ8</f>
        <v>47779584.023352072</v>
      </c>
    </row>
    <row r="13" spans="1:48" ht="11.25" customHeight="1" x14ac:dyDescent="0.25">
      <c r="A13" s="3" t="s">
        <v>21</v>
      </c>
      <c r="B13" s="3" t="s">
        <v>35</v>
      </c>
      <c r="C13" s="3" t="s">
        <v>36</v>
      </c>
      <c r="D13" s="3" t="s">
        <v>34</v>
      </c>
      <c r="E13" s="3" t="s">
        <v>25</v>
      </c>
      <c r="F13" s="3" t="s">
        <v>25</v>
      </c>
      <c r="G13" s="3" t="s">
        <v>25</v>
      </c>
      <c r="H13" s="3" t="s">
        <v>38</v>
      </c>
      <c r="I13" s="6">
        <v>44713</v>
      </c>
      <c r="J13" s="4">
        <v>6610</v>
      </c>
      <c r="K13" s="4">
        <v>6610</v>
      </c>
      <c r="L13" s="4">
        <v>1772.796</v>
      </c>
      <c r="M13" s="4">
        <v>1772.796</v>
      </c>
      <c r="N13" s="4">
        <v>1772.796</v>
      </c>
      <c r="O13" s="4">
        <v>1772.796</v>
      </c>
      <c r="P13" s="4">
        <v>0</v>
      </c>
      <c r="Q13" s="3" t="s">
        <v>26</v>
      </c>
      <c r="R13" s="3">
        <v>0</v>
      </c>
      <c r="S13" s="4">
        <v>12</v>
      </c>
      <c r="T13" s="4">
        <v>19</v>
      </c>
      <c r="U13" s="4">
        <v>48</v>
      </c>
      <c r="V13" s="4">
        <f>IF(ISERROR(VLOOKUP($S$13,'TAR FIN'!$A$1:$O$86,15,0)),0,VLOOKUP($S$13,'TAR FIN'!$A$1:$O$86,15,0))</f>
        <v>38.520000000000003</v>
      </c>
      <c r="W13" s="4">
        <f>IF(ISERROR(VLOOKUP($T$13,'TAR FIN'!$A$1:$O$86,15,0)),0,VLOOKUP($T$13,'TAR FIN'!$A$1:$O$86,15,0))</f>
        <v>68.55</v>
      </c>
      <c r="X13" s="4">
        <f>IF(ISERROR(VLOOKUP($U$13,'TAR FIN'!$A$1:$O$86,15,0)),0,VLOOKUP($U$13,'TAR FIN'!$A$1:$O$86,15,0))</f>
        <v>211.54</v>
      </c>
      <c r="Y13" s="4">
        <f ca="1">('TUSD BE'!$AM$6+'TUSD BF'!$AM$6+'TUSD CVA'!$AM$6)*1</f>
        <v>44.255213546385811</v>
      </c>
      <c r="Z13" s="4">
        <f ca="1">('TUSD BE'!$AM$7+'TUSD BF'!$AM$7+'TUSD CVA'!$AM$7)*1</f>
        <v>96.693682586652571</v>
      </c>
      <c r="AA13" s="4">
        <f>('TE BE'!$AB$6+'TE BF'!$AB$6+'TE CVA'!$AB$6)*1</f>
        <v>196.56876174373542</v>
      </c>
      <c r="AB13" s="4">
        <f>$K$13*$V$13</f>
        <v>254617.2</v>
      </c>
      <c r="AC13" s="4">
        <f>$M$13*$W$13</f>
        <v>121525.1658</v>
      </c>
      <c r="AD13" s="4">
        <f>$O$13*$X$13</f>
        <v>375017.26584000001</v>
      </c>
      <c r="AE13" s="4">
        <f ca="1">$K$13*$Y$13</f>
        <v>292526.96154161019</v>
      </c>
      <c r="AF13" s="4">
        <f ca="1">$M$13*$Z$13</f>
        <v>171418.17371488732</v>
      </c>
      <c r="AG13" s="4">
        <f>$O$13*$AA$13</f>
        <v>348476.31454424717</v>
      </c>
      <c r="AU13" s="64">
        <f ca="1">CUSTOS!D48+CUSTOS!E48</f>
        <v>47779584.023352414</v>
      </c>
    </row>
    <row r="14" spans="1:48" ht="11.25" customHeight="1" x14ac:dyDescent="0.25">
      <c r="A14" s="3" t="s">
        <v>21</v>
      </c>
      <c r="B14" s="3" t="s">
        <v>35</v>
      </c>
      <c r="C14" s="3" t="s">
        <v>36</v>
      </c>
      <c r="D14" s="3" t="s">
        <v>34</v>
      </c>
      <c r="E14" s="3" t="s">
        <v>25</v>
      </c>
      <c r="F14" s="3" t="s">
        <v>25</v>
      </c>
      <c r="G14" s="3" t="s">
        <v>25</v>
      </c>
      <c r="H14" s="3" t="s">
        <v>37</v>
      </c>
      <c r="I14" s="6">
        <v>44378</v>
      </c>
      <c r="J14" s="4">
        <v>4240</v>
      </c>
      <c r="K14" s="4">
        <v>4240</v>
      </c>
      <c r="L14" s="4">
        <v>228.905</v>
      </c>
      <c r="M14" s="4">
        <v>228.905</v>
      </c>
      <c r="N14" s="4">
        <v>228.905</v>
      </c>
      <c r="O14" s="4">
        <v>228.905</v>
      </c>
      <c r="P14" s="4">
        <v>0</v>
      </c>
      <c r="Q14" s="3" t="s">
        <v>26</v>
      </c>
      <c r="R14" s="3">
        <v>0</v>
      </c>
      <c r="S14" s="4">
        <v>5</v>
      </c>
      <c r="T14" s="4">
        <v>19</v>
      </c>
      <c r="U14" s="4">
        <v>24</v>
      </c>
      <c r="V14" s="4">
        <f>IF(ISERROR(VLOOKUP($S$14,'TAR FIN'!$A$1:$O$86,15,0)),0,VLOOKUP($S$14,'TAR FIN'!$A$1:$O$86,15,0))</f>
        <v>85.11</v>
      </c>
      <c r="W14" s="4">
        <f>IF(ISERROR(VLOOKUP($T$14,'TAR FIN'!$A$1:$O$86,15,0)),0,VLOOKUP($T$14,'TAR FIN'!$A$1:$O$86,15,0))</f>
        <v>68.55</v>
      </c>
      <c r="X14" s="4">
        <f>IF(ISERROR(VLOOKUP($U$14,'TAR FIN'!$A$1:$O$86,15,0)),0,VLOOKUP($U$14,'TAR FIN'!$A$1:$O$86,15,0))</f>
        <v>211.54</v>
      </c>
      <c r="Y14" s="4">
        <f ca="1">('TUSD BE'!$AM$5+'TUSD BF'!$AM$5+'TUSD CVA'!$AM$5)*1</f>
        <v>90.957179261343782</v>
      </c>
      <c r="Z14" s="4">
        <f ca="1">('TUSD BE'!$AM$7+'TUSD BF'!$AM$7+'TUSD CVA'!$AM$7)*1</f>
        <v>96.693682586652571</v>
      </c>
      <c r="AA14" s="4">
        <f>('TE BE'!$AB$5+'TE BF'!$AB$5+'TE CVA'!$AB$5)*1</f>
        <v>196.56876174373542</v>
      </c>
      <c r="AB14" s="4">
        <f>$K$14*$V$14</f>
        <v>360866.4</v>
      </c>
      <c r="AC14" s="4">
        <f>$M$14*$W$14</f>
        <v>15691.437749999999</v>
      </c>
      <c r="AD14" s="4">
        <f>$O$14*$X$14</f>
        <v>48422.563699999999</v>
      </c>
      <c r="AE14" s="4">
        <f ca="1">$K$14*$Y$14</f>
        <v>385658.44006809761</v>
      </c>
      <c r="AF14" s="4">
        <f ca="1">$M$14*$Z$14</f>
        <v>22133.667412497707</v>
      </c>
      <c r="AG14" s="4">
        <f>$O$14*$AA$14</f>
        <v>44995.572406949759</v>
      </c>
    </row>
    <row r="15" spans="1:48" ht="11.25" customHeight="1" x14ac:dyDescent="0.25">
      <c r="A15" s="3" t="s">
        <v>21</v>
      </c>
      <c r="B15" s="3" t="s">
        <v>35</v>
      </c>
      <c r="C15" s="3" t="s">
        <v>36</v>
      </c>
      <c r="D15" s="3" t="s">
        <v>34</v>
      </c>
      <c r="E15" s="3" t="s">
        <v>25</v>
      </c>
      <c r="F15" s="3" t="s">
        <v>25</v>
      </c>
      <c r="G15" s="3" t="s">
        <v>25</v>
      </c>
      <c r="H15" s="3" t="s">
        <v>37</v>
      </c>
      <c r="I15" s="6">
        <v>44409</v>
      </c>
      <c r="J15" s="4">
        <v>4287</v>
      </c>
      <c r="K15" s="4">
        <v>4287</v>
      </c>
      <c r="L15" s="4">
        <v>240.565</v>
      </c>
      <c r="M15" s="4">
        <v>240.565</v>
      </c>
      <c r="N15" s="4">
        <v>240.565</v>
      </c>
      <c r="O15" s="4">
        <v>240.565</v>
      </c>
      <c r="P15" s="4">
        <v>0</v>
      </c>
      <c r="Q15" s="3" t="s">
        <v>26</v>
      </c>
      <c r="R15" s="3">
        <v>0</v>
      </c>
      <c r="S15" s="4">
        <v>5</v>
      </c>
      <c r="T15" s="4">
        <v>19</v>
      </c>
      <c r="U15" s="4">
        <v>24</v>
      </c>
      <c r="V15" s="4">
        <f>IF(ISERROR(VLOOKUP($S$15,'TAR FIN'!$A$1:$O$86,15,0)),0,VLOOKUP($S$15,'TAR FIN'!$A$1:$O$86,15,0))</f>
        <v>85.11</v>
      </c>
      <c r="W15" s="4">
        <f>IF(ISERROR(VLOOKUP($T$15,'TAR FIN'!$A$1:$O$86,15,0)),0,VLOOKUP($T$15,'TAR FIN'!$A$1:$O$86,15,0))</f>
        <v>68.55</v>
      </c>
      <c r="X15" s="4">
        <f>IF(ISERROR(VLOOKUP($U$15,'TAR FIN'!$A$1:$O$86,15,0)),0,VLOOKUP($U$15,'TAR FIN'!$A$1:$O$86,15,0))</f>
        <v>211.54</v>
      </c>
      <c r="Y15" s="4">
        <f ca="1">('TUSD BE'!$AM$5+'TUSD BF'!$AM$5+'TUSD CVA'!$AM$5)*1</f>
        <v>90.957179261343782</v>
      </c>
      <c r="Z15" s="4">
        <f ca="1">('TUSD BE'!$AM$7+'TUSD BF'!$AM$7+'TUSD CVA'!$AM$7)*1</f>
        <v>96.693682586652571</v>
      </c>
      <c r="AA15" s="4">
        <f>('TE BE'!$AB$5+'TE BF'!$AB$5+'TE CVA'!$AB$5)*1</f>
        <v>196.56876174373542</v>
      </c>
      <c r="AB15" s="4">
        <f>$K$15*$V$15</f>
        <v>364866.57</v>
      </c>
      <c r="AC15" s="4">
        <f>$M$15*$W$15</f>
        <v>16490.730749999999</v>
      </c>
      <c r="AD15" s="4">
        <f>$O$15*$X$15</f>
        <v>50889.1201</v>
      </c>
      <c r="AE15" s="4">
        <f ca="1">$K$15*$Y$15</f>
        <v>389933.42749338079</v>
      </c>
      <c r="AF15" s="4">
        <f ca="1">$M$15*$Z$15</f>
        <v>23261.115751458077</v>
      </c>
      <c r="AG15" s="4">
        <f>$O$15*$AA$15</f>
        <v>47287.564168881712</v>
      </c>
    </row>
    <row r="16" spans="1:48" ht="11.25" customHeight="1" x14ac:dyDescent="0.25">
      <c r="A16" s="3" t="s">
        <v>21</v>
      </c>
      <c r="B16" s="3" t="s">
        <v>35</v>
      </c>
      <c r="C16" s="3" t="s">
        <v>36</v>
      </c>
      <c r="D16" s="3" t="s">
        <v>34</v>
      </c>
      <c r="E16" s="3" t="s">
        <v>25</v>
      </c>
      <c r="F16" s="3" t="s">
        <v>25</v>
      </c>
      <c r="G16" s="3" t="s">
        <v>25</v>
      </c>
      <c r="H16" s="3" t="s">
        <v>37</v>
      </c>
      <c r="I16" s="6">
        <v>44440</v>
      </c>
      <c r="J16" s="4">
        <v>4615</v>
      </c>
      <c r="K16" s="4">
        <v>4615</v>
      </c>
      <c r="L16" s="4">
        <v>235.898</v>
      </c>
      <c r="M16" s="4">
        <v>235.898</v>
      </c>
      <c r="N16" s="4">
        <v>235.898</v>
      </c>
      <c r="O16" s="4">
        <v>235.898</v>
      </c>
      <c r="P16" s="4">
        <v>0</v>
      </c>
      <c r="Q16" s="3" t="s">
        <v>26</v>
      </c>
      <c r="R16" s="3">
        <v>0</v>
      </c>
      <c r="S16" s="4">
        <v>5</v>
      </c>
      <c r="T16" s="4">
        <v>19</v>
      </c>
      <c r="U16" s="4">
        <v>24</v>
      </c>
      <c r="V16" s="4">
        <f>IF(ISERROR(VLOOKUP($S$16,'TAR FIN'!$A$1:$O$86,15,0)),0,VLOOKUP($S$16,'TAR FIN'!$A$1:$O$86,15,0))</f>
        <v>85.11</v>
      </c>
      <c r="W16" s="4">
        <f>IF(ISERROR(VLOOKUP($T$16,'TAR FIN'!$A$1:$O$86,15,0)),0,VLOOKUP($T$16,'TAR FIN'!$A$1:$O$86,15,0))</f>
        <v>68.55</v>
      </c>
      <c r="X16" s="4">
        <f>IF(ISERROR(VLOOKUP($U$16,'TAR FIN'!$A$1:$O$86,15,0)),0,VLOOKUP($U$16,'TAR FIN'!$A$1:$O$86,15,0))</f>
        <v>211.54</v>
      </c>
      <c r="Y16" s="4">
        <f ca="1">('TUSD BE'!$AM$5+'TUSD BF'!$AM$5+'TUSD CVA'!$AM$5)*1</f>
        <v>90.957179261343782</v>
      </c>
      <c r="Z16" s="4">
        <f ca="1">('TUSD BE'!$AM$7+'TUSD BF'!$AM$7+'TUSD CVA'!$AM$7)*1</f>
        <v>96.693682586652571</v>
      </c>
      <c r="AA16" s="4">
        <f>('TE BE'!$AB$5+'TE BF'!$AB$5+'TE CVA'!$AB$5)*1</f>
        <v>196.56876174373542</v>
      </c>
      <c r="AB16" s="4">
        <f>$K$16*$V$16</f>
        <v>392782.65</v>
      </c>
      <c r="AC16" s="4">
        <f>$M$16*$W$16</f>
        <v>16170.8079</v>
      </c>
      <c r="AD16" s="4">
        <f>$O$16*$X$16</f>
        <v>49901.86292</v>
      </c>
      <c r="AE16" s="4">
        <f ca="1">$K$16*$Y$16</f>
        <v>419767.38229110156</v>
      </c>
      <c r="AF16" s="4">
        <f ca="1">$M$16*$Z$16</f>
        <v>22809.846334826168</v>
      </c>
      <c r="AG16" s="4">
        <f>$O$16*$AA$16</f>
        <v>46370.177757823694</v>
      </c>
    </row>
    <row r="17" spans="1:33" ht="11.25" customHeight="1" x14ac:dyDescent="0.25">
      <c r="A17" s="3" t="s">
        <v>21</v>
      </c>
      <c r="B17" s="3" t="s">
        <v>35</v>
      </c>
      <c r="C17" s="3" t="s">
        <v>36</v>
      </c>
      <c r="D17" s="3" t="s">
        <v>34</v>
      </c>
      <c r="E17" s="3" t="s">
        <v>25</v>
      </c>
      <c r="F17" s="3" t="s">
        <v>25</v>
      </c>
      <c r="G17" s="3" t="s">
        <v>25</v>
      </c>
      <c r="H17" s="3" t="s">
        <v>37</v>
      </c>
      <c r="I17" s="6">
        <v>44470</v>
      </c>
      <c r="J17" s="4">
        <v>4361</v>
      </c>
      <c r="K17" s="4">
        <v>4361</v>
      </c>
      <c r="L17" s="4">
        <v>228.53299999999999</v>
      </c>
      <c r="M17" s="4">
        <v>228.53299999999999</v>
      </c>
      <c r="N17" s="4">
        <v>228.53299999999999</v>
      </c>
      <c r="O17" s="4">
        <v>228.53299999999999</v>
      </c>
      <c r="P17" s="4">
        <v>0</v>
      </c>
      <c r="Q17" s="3" t="s">
        <v>26</v>
      </c>
      <c r="R17" s="3">
        <v>0</v>
      </c>
      <c r="S17" s="4">
        <v>5</v>
      </c>
      <c r="T17" s="4">
        <v>19</v>
      </c>
      <c r="U17" s="4">
        <v>24</v>
      </c>
      <c r="V17" s="4">
        <f>IF(ISERROR(VLOOKUP($S$17,'TAR FIN'!$A$1:$O$86,15,0)),0,VLOOKUP($S$17,'TAR FIN'!$A$1:$O$86,15,0))</f>
        <v>85.11</v>
      </c>
      <c r="W17" s="4">
        <f>IF(ISERROR(VLOOKUP($T$17,'TAR FIN'!$A$1:$O$86,15,0)),0,VLOOKUP($T$17,'TAR FIN'!$A$1:$O$86,15,0))</f>
        <v>68.55</v>
      </c>
      <c r="X17" s="4">
        <f>IF(ISERROR(VLOOKUP($U$17,'TAR FIN'!$A$1:$O$86,15,0)),0,VLOOKUP($U$17,'TAR FIN'!$A$1:$O$86,15,0))</f>
        <v>211.54</v>
      </c>
      <c r="Y17" s="4">
        <f ca="1">('TUSD BE'!$AM$5+'TUSD BF'!$AM$5+'TUSD CVA'!$AM$5)*1</f>
        <v>90.957179261343782</v>
      </c>
      <c r="Z17" s="4">
        <f ca="1">('TUSD BE'!$AM$7+'TUSD BF'!$AM$7+'TUSD CVA'!$AM$7)*1</f>
        <v>96.693682586652571</v>
      </c>
      <c r="AA17" s="4">
        <f>('TE BE'!$AB$5+'TE BF'!$AB$5+'TE CVA'!$AB$5)*1</f>
        <v>196.56876174373542</v>
      </c>
      <c r="AB17" s="4">
        <f>$K$17*$V$17</f>
        <v>371164.71</v>
      </c>
      <c r="AC17" s="4">
        <f>$M$17*$W$17</f>
        <v>15665.937149999998</v>
      </c>
      <c r="AD17" s="4">
        <f>$O$17*$X$17</f>
        <v>48343.870819999996</v>
      </c>
      <c r="AE17" s="4">
        <f ca="1">$K$17*$Y$17</f>
        <v>396664.25875872024</v>
      </c>
      <c r="AF17" s="4">
        <f ca="1">$M$17*$Z$17</f>
        <v>22097.697362575469</v>
      </c>
      <c r="AG17" s="4">
        <f>$O$17*$AA$17</f>
        <v>44922.448827581087</v>
      </c>
    </row>
    <row r="18" spans="1:33" ht="11.25" customHeight="1" x14ac:dyDescent="0.25">
      <c r="A18" s="3" t="s">
        <v>21</v>
      </c>
      <c r="B18" s="3" t="s">
        <v>35</v>
      </c>
      <c r="C18" s="3" t="s">
        <v>36</v>
      </c>
      <c r="D18" s="3" t="s">
        <v>34</v>
      </c>
      <c r="E18" s="3" t="s">
        <v>25</v>
      </c>
      <c r="F18" s="3" t="s">
        <v>25</v>
      </c>
      <c r="G18" s="3" t="s">
        <v>25</v>
      </c>
      <c r="H18" s="3" t="s">
        <v>37</v>
      </c>
      <c r="I18" s="6">
        <v>44501</v>
      </c>
      <c r="J18" s="4">
        <v>4416</v>
      </c>
      <c r="K18" s="4">
        <v>4416</v>
      </c>
      <c r="L18" s="4">
        <v>223.90700000000001</v>
      </c>
      <c r="M18" s="4">
        <v>223.90700000000001</v>
      </c>
      <c r="N18" s="4">
        <v>223.90700000000001</v>
      </c>
      <c r="O18" s="4">
        <v>223.90700000000001</v>
      </c>
      <c r="P18" s="4">
        <v>0</v>
      </c>
      <c r="Q18" s="3" t="s">
        <v>26</v>
      </c>
      <c r="R18" s="3">
        <v>0</v>
      </c>
      <c r="S18" s="4">
        <v>5</v>
      </c>
      <c r="T18" s="4">
        <v>19</v>
      </c>
      <c r="U18" s="4">
        <v>24</v>
      </c>
      <c r="V18" s="4">
        <f>IF(ISERROR(VLOOKUP($S$18,'TAR FIN'!$A$1:$O$86,15,0)),0,VLOOKUP($S$18,'TAR FIN'!$A$1:$O$86,15,0))</f>
        <v>85.11</v>
      </c>
      <c r="W18" s="4">
        <f>IF(ISERROR(VLOOKUP($T$18,'TAR FIN'!$A$1:$O$86,15,0)),0,VLOOKUP($T$18,'TAR FIN'!$A$1:$O$86,15,0))</f>
        <v>68.55</v>
      </c>
      <c r="X18" s="4">
        <f>IF(ISERROR(VLOOKUP($U$18,'TAR FIN'!$A$1:$O$86,15,0)),0,VLOOKUP($U$18,'TAR FIN'!$A$1:$O$86,15,0))</f>
        <v>211.54</v>
      </c>
      <c r="Y18" s="4">
        <f ca="1">('TUSD BE'!$AM$5+'TUSD BF'!$AM$5+'TUSD CVA'!$AM$5)*1</f>
        <v>90.957179261343782</v>
      </c>
      <c r="Z18" s="4">
        <f ca="1">('TUSD BE'!$AM$7+'TUSD BF'!$AM$7+'TUSD CVA'!$AM$7)*1</f>
        <v>96.693682586652571</v>
      </c>
      <c r="AA18" s="4">
        <f>('TE BE'!$AB$5+'TE BF'!$AB$5+'TE CVA'!$AB$5)*1</f>
        <v>196.56876174373542</v>
      </c>
      <c r="AB18" s="4">
        <f>$K$18*$V$18</f>
        <v>375845.76</v>
      </c>
      <c r="AC18" s="4">
        <f>$M$18*$W$18</f>
        <v>15348.824850000001</v>
      </c>
      <c r="AD18" s="4">
        <f>$O$18*$X$18</f>
        <v>47365.286780000002</v>
      </c>
      <c r="AE18" s="4">
        <f ca="1">$K$18*$Y$18</f>
        <v>401666.90361809416</v>
      </c>
      <c r="AF18" s="4">
        <f ca="1">$M$18*$Z$18</f>
        <v>21650.39238692962</v>
      </c>
      <c r="AG18" s="4">
        <f>$O$18*$AA$18</f>
        <v>44013.121735754568</v>
      </c>
    </row>
    <row r="19" spans="1:33" ht="11.25" customHeight="1" x14ac:dyDescent="0.25">
      <c r="A19" s="3" t="s">
        <v>21</v>
      </c>
      <c r="B19" s="3" t="s">
        <v>35</v>
      </c>
      <c r="C19" s="3" t="s">
        <v>36</v>
      </c>
      <c r="D19" s="3" t="s">
        <v>34</v>
      </c>
      <c r="E19" s="3" t="s">
        <v>25</v>
      </c>
      <c r="F19" s="3" t="s">
        <v>25</v>
      </c>
      <c r="G19" s="3" t="s">
        <v>25</v>
      </c>
      <c r="H19" s="3" t="s">
        <v>37</v>
      </c>
      <c r="I19" s="6">
        <v>44531</v>
      </c>
      <c r="J19" s="4">
        <v>4282</v>
      </c>
      <c r="K19" s="4">
        <v>4282</v>
      </c>
      <c r="L19" s="4">
        <v>240.1</v>
      </c>
      <c r="M19" s="4">
        <v>240.1</v>
      </c>
      <c r="N19" s="4">
        <v>240.1</v>
      </c>
      <c r="O19" s="4">
        <v>240.1</v>
      </c>
      <c r="P19" s="4">
        <v>0</v>
      </c>
      <c r="Q19" s="3" t="s">
        <v>26</v>
      </c>
      <c r="R19" s="3">
        <v>0</v>
      </c>
      <c r="S19" s="4">
        <v>5</v>
      </c>
      <c r="T19" s="4">
        <v>19</v>
      </c>
      <c r="U19" s="4">
        <v>24</v>
      </c>
      <c r="V19" s="4">
        <f>IF(ISERROR(VLOOKUP($S$19,'TAR FIN'!$A$1:$O$86,15,0)),0,VLOOKUP($S$19,'TAR FIN'!$A$1:$O$86,15,0))</f>
        <v>85.11</v>
      </c>
      <c r="W19" s="4">
        <f>IF(ISERROR(VLOOKUP($T$19,'TAR FIN'!$A$1:$O$86,15,0)),0,VLOOKUP($T$19,'TAR FIN'!$A$1:$O$86,15,0))</f>
        <v>68.55</v>
      </c>
      <c r="X19" s="4">
        <f>IF(ISERROR(VLOOKUP($U$19,'TAR FIN'!$A$1:$O$86,15,0)),0,VLOOKUP($U$19,'TAR FIN'!$A$1:$O$86,15,0))</f>
        <v>211.54</v>
      </c>
      <c r="Y19" s="4">
        <f ca="1">('TUSD BE'!$AM$5+'TUSD BF'!$AM$5+'TUSD CVA'!$AM$5)*1</f>
        <v>90.957179261343782</v>
      </c>
      <c r="Z19" s="4">
        <f ca="1">('TUSD BE'!$AM$7+'TUSD BF'!$AM$7+'TUSD CVA'!$AM$7)*1</f>
        <v>96.693682586652571</v>
      </c>
      <c r="AA19" s="4">
        <f>('TE BE'!$AB$5+'TE BF'!$AB$5+'TE CVA'!$AB$5)*1</f>
        <v>196.56876174373542</v>
      </c>
      <c r="AB19" s="4">
        <f>$K$19*$V$19</f>
        <v>364441.02</v>
      </c>
      <c r="AC19" s="4">
        <f>$M$19*$W$19</f>
        <v>16458.855</v>
      </c>
      <c r="AD19" s="4">
        <f>$O$19*$X$19</f>
        <v>50790.753999999994</v>
      </c>
      <c r="AE19" s="4">
        <f ca="1">$K$19*$Y$19</f>
        <v>389478.64159707405</v>
      </c>
      <c r="AF19" s="4">
        <f ca="1">$M$19*$Z$19</f>
        <v>23216.153189055283</v>
      </c>
      <c r="AG19" s="4">
        <f>$O$19*$AA$19</f>
        <v>47196.159694670874</v>
      </c>
    </row>
    <row r="20" spans="1:33" ht="11.25" customHeight="1" x14ac:dyDescent="0.25">
      <c r="A20" s="3" t="s">
        <v>21</v>
      </c>
      <c r="B20" s="3" t="s">
        <v>35</v>
      </c>
      <c r="C20" s="3" t="s">
        <v>36</v>
      </c>
      <c r="D20" s="3" t="s">
        <v>34</v>
      </c>
      <c r="E20" s="3" t="s">
        <v>25</v>
      </c>
      <c r="F20" s="3" t="s">
        <v>25</v>
      </c>
      <c r="G20" s="3" t="s">
        <v>25</v>
      </c>
      <c r="H20" s="3" t="s">
        <v>37</v>
      </c>
      <c r="I20" s="6">
        <v>44562</v>
      </c>
      <c r="J20" s="4">
        <v>4384</v>
      </c>
      <c r="K20" s="4">
        <v>4384</v>
      </c>
      <c r="L20" s="4">
        <v>231.27500000000001</v>
      </c>
      <c r="M20" s="4">
        <v>231.27500000000001</v>
      </c>
      <c r="N20" s="4">
        <v>231.27500000000001</v>
      </c>
      <c r="O20" s="4">
        <v>231.27500000000001</v>
      </c>
      <c r="P20" s="4">
        <v>0</v>
      </c>
      <c r="Q20" s="3" t="s">
        <v>26</v>
      </c>
      <c r="R20" s="3">
        <v>0</v>
      </c>
      <c r="S20" s="4">
        <v>5</v>
      </c>
      <c r="T20" s="4">
        <v>19</v>
      </c>
      <c r="U20" s="4">
        <v>24</v>
      </c>
      <c r="V20" s="4">
        <f>IF(ISERROR(VLOOKUP($S$20,'TAR FIN'!$A$1:$O$86,15,0)),0,VLOOKUP($S$20,'TAR FIN'!$A$1:$O$86,15,0))</f>
        <v>85.11</v>
      </c>
      <c r="W20" s="4">
        <f>IF(ISERROR(VLOOKUP($T$20,'TAR FIN'!$A$1:$O$86,15,0)),0,VLOOKUP($T$20,'TAR FIN'!$A$1:$O$86,15,0))</f>
        <v>68.55</v>
      </c>
      <c r="X20" s="4">
        <f>IF(ISERROR(VLOOKUP($U$20,'TAR FIN'!$A$1:$O$86,15,0)),0,VLOOKUP($U$20,'TAR FIN'!$A$1:$O$86,15,0))</f>
        <v>211.54</v>
      </c>
      <c r="Y20" s="4">
        <f ca="1">('TUSD BE'!$AM$5+'TUSD BF'!$AM$5+'TUSD CVA'!$AM$5)*1</f>
        <v>90.957179261343782</v>
      </c>
      <c r="Z20" s="4">
        <f ca="1">('TUSD BE'!$AM$7+'TUSD BF'!$AM$7+'TUSD CVA'!$AM$7)*1</f>
        <v>96.693682586652571</v>
      </c>
      <c r="AA20" s="4">
        <f>('TE BE'!$AB$5+'TE BF'!$AB$5+'TE CVA'!$AB$5)*1</f>
        <v>196.56876174373542</v>
      </c>
      <c r="AB20" s="4">
        <f>$K$20*$V$20</f>
        <v>373122.24</v>
      </c>
      <c r="AC20" s="4">
        <f>$M$20*$W$20</f>
        <v>15853.901249999999</v>
      </c>
      <c r="AD20" s="4">
        <f>$O$20*$X$20</f>
        <v>48923.913500000002</v>
      </c>
      <c r="AE20" s="4">
        <f ca="1">$K$20*$Y$20</f>
        <v>398756.27388173115</v>
      </c>
      <c r="AF20" s="4">
        <f ca="1">$M$20*$Z$20</f>
        <v>22362.831440228074</v>
      </c>
      <c r="AG20" s="4">
        <f>$O$20*$AA$20</f>
        <v>45461.440372282414</v>
      </c>
    </row>
    <row r="21" spans="1:33" ht="11.25" customHeight="1" x14ac:dyDescent="0.25">
      <c r="A21" s="3" t="s">
        <v>21</v>
      </c>
      <c r="B21" s="3" t="s">
        <v>35</v>
      </c>
      <c r="C21" s="3" t="s">
        <v>36</v>
      </c>
      <c r="D21" s="3" t="s">
        <v>34</v>
      </c>
      <c r="E21" s="3" t="s">
        <v>25</v>
      </c>
      <c r="F21" s="3" t="s">
        <v>25</v>
      </c>
      <c r="G21" s="3" t="s">
        <v>25</v>
      </c>
      <c r="H21" s="3" t="s">
        <v>37</v>
      </c>
      <c r="I21" s="6">
        <v>44593</v>
      </c>
      <c r="J21" s="4">
        <v>4420</v>
      </c>
      <c r="K21" s="4">
        <v>4420</v>
      </c>
      <c r="L21" s="4">
        <v>243.70099999999999</v>
      </c>
      <c r="M21" s="4">
        <v>243.70099999999999</v>
      </c>
      <c r="N21" s="4">
        <v>243.70099999999999</v>
      </c>
      <c r="O21" s="4">
        <v>243.70099999999999</v>
      </c>
      <c r="P21" s="4">
        <v>0</v>
      </c>
      <c r="Q21" s="3" t="s">
        <v>26</v>
      </c>
      <c r="R21" s="3">
        <v>0</v>
      </c>
      <c r="S21" s="4">
        <v>5</v>
      </c>
      <c r="T21" s="4">
        <v>19</v>
      </c>
      <c r="U21" s="4">
        <v>24</v>
      </c>
      <c r="V21" s="4">
        <f>IF(ISERROR(VLOOKUP($S$21,'TAR FIN'!$A$1:$O$86,15,0)),0,VLOOKUP($S$21,'TAR FIN'!$A$1:$O$86,15,0))</f>
        <v>85.11</v>
      </c>
      <c r="W21" s="4">
        <f>IF(ISERROR(VLOOKUP($T$21,'TAR FIN'!$A$1:$O$86,15,0)),0,VLOOKUP($T$21,'TAR FIN'!$A$1:$O$86,15,0))</f>
        <v>68.55</v>
      </c>
      <c r="X21" s="4">
        <f>IF(ISERROR(VLOOKUP($U$21,'TAR FIN'!$A$1:$O$86,15,0)),0,VLOOKUP($U$21,'TAR FIN'!$A$1:$O$86,15,0))</f>
        <v>211.54</v>
      </c>
      <c r="Y21" s="4">
        <f ca="1">('TUSD BE'!$AM$5+'TUSD BF'!$AM$5+'TUSD CVA'!$AM$5)*1</f>
        <v>90.957179261343782</v>
      </c>
      <c r="Z21" s="4">
        <f ca="1">('TUSD BE'!$AM$7+'TUSD BF'!$AM$7+'TUSD CVA'!$AM$7)*1</f>
        <v>96.693682586652571</v>
      </c>
      <c r="AA21" s="4">
        <f>('TE BE'!$AB$5+'TE BF'!$AB$5+'TE CVA'!$AB$5)*1</f>
        <v>196.56876174373542</v>
      </c>
      <c r="AB21" s="4">
        <f>$K$21*$V$21</f>
        <v>376186.2</v>
      </c>
      <c r="AC21" s="4">
        <f>$M$21*$W$21</f>
        <v>16705.703549999998</v>
      </c>
      <c r="AD21" s="4">
        <f>$O$21*$X$21</f>
        <v>51552.509539999999</v>
      </c>
      <c r="AE21" s="4">
        <f ca="1">$K$21*$Y$21</f>
        <v>402030.73233513953</v>
      </c>
      <c r="AF21" s="4">
        <f ca="1">$M$21*$Z$21</f>
        <v>23564.347140049817</v>
      </c>
      <c r="AG21" s="4">
        <f>$O$21*$AA$21</f>
        <v>47904.003805710068</v>
      </c>
    </row>
    <row r="22" spans="1:33" ht="11.25" customHeight="1" x14ac:dyDescent="0.25">
      <c r="A22" s="3" t="s">
        <v>21</v>
      </c>
      <c r="B22" s="3" t="s">
        <v>35</v>
      </c>
      <c r="C22" s="3" t="s">
        <v>36</v>
      </c>
      <c r="D22" s="3" t="s">
        <v>34</v>
      </c>
      <c r="E22" s="3" t="s">
        <v>25</v>
      </c>
      <c r="F22" s="3" t="s">
        <v>25</v>
      </c>
      <c r="G22" s="3" t="s">
        <v>25</v>
      </c>
      <c r="H22" s="3" t="s">
        <v>37</v>
      </c>
      <c r="I22" s="6">
        <v>44621</v>
      </c>
      <c r="J22" s="4">
        <v>6340</v>
      </c>
      <c r="K22" s="4">
        <v>6340</v>
      </c>
      <c r="L22" s="4">
        <v>279.63400000000001</v>
      </c>
      <c r="M22" s="4">
        <v>279.63400000000001</v>
      </c>
      <c r="N22" s="4">
        <v>279.63400000000001</v>
      </c>
      <c r="O22" s="4">
        <v>279.63400000000001</v>
      </c>
      <c r="P22" s="4">
        <v>0</v>
      </c>
      <c r="Q22" s="3" t="s">
        <v>26</v>
      </c>
      <c r="R22" s="3">
        <v>0</v>
      </c>
      <c r="S22" s="4">
        <v>5</v>
      </c>
      <c r="T22" s="4">
        <v>19</v>
      </c>
      <c r="U22" s="4">
        <v>24</v>
      </c>
      <c r="V22" s="4">
        <f>IF(ISERROR(VLOOKUP($S$22,'TAR FIN'!$A$1:$O$86,15,0)),0,VLOOKUP($S$22,'TAR FIN'!$A$1:$O$86,15,0))</f>
        <v>85.11</v>
      </c>
      <c r="W22" s="4">
        <f>IF(ISERROR(VLOOKUP($T$22,'TAR FIN'!$A$1:$O$86,15,0)),0,VLOOKUP($T$22,'TAR FIN'!$A$1:$O$86,15,0))</f>
        <v>68.55</v>
      </c>
      <c r="X22" s="4">
        <f>IF(ISERROR(VLOOKUP($U$22,'TAR FIN'!$A$1:$O$86,15,0)),0,VLOOKUP($U$22,'TAR FIN'!$A$1:$O$86,15,0))</f>
        <v>211.54</v>
      </c>
      <c r="Y22" s="4">
        <f ca="1">('TUSD BE'!$AM$5+'TUSD BF'!$AM$5+'TUSD CVA'!$AM$5)*1</f>
        <v>90.957179261343782</v>
      </c>
      <c r="Z22" s="4">
        <f ca="1">('TUSD BE'!$AM$7+'TUSD BF'!$AM$7+'TUSD CVA'!$AM$7)*1</f>
        <v>96.693682586652571</v>
      </c>
      <c r="AA22" s="4">
        <f>('TE BE'!$AB$5+'TE BF'!$AB$5+'TE CVA'!$AB$5)*1</f>
        <v>196.56876174373542</v>
      </c>
      <c r="AB22" s="4">
        <f>$K$22*$V$22</f>
        <v>539597.4</v>
      </c>
      <c r="AC22" s="4">
        <f>$M$22*$W$22</f>
        <v>19168.9107</v>
      </c>
      <c r="AD22" s="4">
        <f>$O$22*$X$22</f>
        <v>59153.776360000003</v>
      </c>
      <c r="AE22" s="4">
        <f ca="1">$K$22*$Y$22</f>
        <v>576668.5165169196</v>
      </c>
      <c r="AF22" s="4">
        <f ca="1">$M$22*$Z$22</f>
        <v>27038.841236436005</v>
      </c>
      <c r="AG22" s="4">
        <f>$O$22*$AA$22</f>
        <v>54967.309121447717</v>
      </c>
    </row>
    <row r="23" spans="1:33" ht="11.25" customHeight="1" x14ac:dyDescent="0.25">
      <c r="A23" s="3" t="s">
        <v>21</v>
      </c>
      <c r="B23" s="3" t="s">
        <v>35</v>
      </c>
      <c r="C23" s="3" t="s">
        <v>36</v>
      </c>
      <c r="D23" s="3" t="s">
        <v>34</v>
      </c>
      <c r="E23" s="3" t="s">
        <v>25</v>
      </c>
      <c r="F23" s="3" t="s">
        <v>25</v>
      </c>
      <c r="G23" s="3" t="s">
        <v>25</v>
      </c>
      <c r="H23" s="3" t="s">
        <v>37</v>
      </c>
      <c r="I23" s="6">
        <v>44652</v>
      </c>
      <c r="J23" s="4">
        <v>6340</v>
      </c>
      <c r="K23" s="4">
        <v>6340</v>
      </c>
      <c r="L23" s="4">
        <v>202.45400000000001</v>
      </c>
      <c r="M23" s="4">
        <v>202.45400000000001</v>
      </c>
      <c r="N23" s="4">
        <v>202.45400000000001</v>
      </c>
      <c r="O23" s="4">
        <v>202.45400000000001</v>
      </c>
      <c r="P23" s="4">
        <v>0</v>
      </c>
      <c r="Q23" s="3" t="s">
        <v>26</v>
      </c>
      <c r="R23" s="3">
        <v>0</v>
      </c>
      <c r="S23" s="4">
        <v>5</v>
      </c>
      <c r="T23" s="4">
        <v>19</v>
      </c>
      <c r="U23" s="4">
        <v>24</v>
      </c>
      <c r="V23" s="4">
        <f>IF(ISERROR(VLOOKUP($S$23,'TAR FIN'!$A$1:$O$86,15,0)),0,VLOOKUP($S$23,'TAR FIN'!$A$1:$O$86,15,0))</f>
        <v>85.11</v>
      </c>
      <c r="W23" s="4">
        <f>IF(ISERROR(VLOOKUP($T$23,'TAR FIN'!$A$1:$O$86,15,0)),0,VLOOKUP($T$23,'TAR FIN'!$A$1:$O$86,15,0))</f>
        <v>68.55</v>
      </c>
      <c r="X23" s="4">
        <f>IF(ISERROR(VLOOKUP($U$23,'TAR FIN'!$A$1:$O$86,15,0)),0,VLOOKUP($U$23,'TAR FIN'!$A$1:$O$86,15,0))</f>
        <v>211.54</v>
      </c>
      <c r="Y23" s="4">
        <f ca="1">('TUSD BE'!$AM$5+'TUSD BF'!$AM$5+'TUSD CVA'!$AM$5)*1</f>
        <v>90.957179261343782</v>
      </c>
      <c r="Z23" s="4">
        <f ca="1">('TUSD BE'!$AM$7+'TUSD BF'!$AM$7+'TUSD CVA'!$AM$7)*1</f>
        <v>96.693682586652571</v>
      </c>
      <c r="AA23" s="4">
        <f>('TE BE'!$AB$5+'TE BF'!$AB$5+'TE CVA'!$AB$5)*1</f>
        <v>196.56876174373542</v>
      </c>
      <c r="AB23" s="4">
        <f>$K$23*$V$23</f>
        <v>539597.4</v>
      </c>
      <c r="AC23" s="4">
        <f>$M$23*$W$23</f>
        <v>13878.2217</v>
      </c>
      <c r="AD23" s="4">
        <f>$O$23*$X$23</f>
        <v>42827.119160000002</v>
      </c>
      <c r="AE23" s="4">
        <f ca="1">$K$23*$Y$23</f>
        <v>576668.5165169196</v>
      </c>
      <c r="AF23" s="4">
        <f ca="1">$M$23*$Z$23</f>
        <v>19576.022814398159</v>
      </c>
      <c r="AG23" s="4">
        <f>$O$23*$AA$23</f>
        <v>39796.13209006621</v>
      </c>
    </row>
    <row r="24" spans="1:33" ht="11.25" customHeight="1" x14ac:dyDescent="0.25">
      <c r="A24" s="3" t="s">
        <v>21</v>
      </c>
      <c r="B24" s="3" t="s">
        <v>35</v>
      </c>
      <c r="C24" s="3" t="s">
        <v>36</v>
      </c>
      <c r="D24" s="3" t="s">
        <v>34</v>
      </c>
      <c r="E24" s="3" t="s">
        <v>25</v>
      </c>
      <c r="F24" s="3" t="s">
        <v>25</v>
      </c>
      <c r="G24" s="3" t="s">
        <v>25</v>
      </c>
      <c r="H24" s="3" t="s">
        <v>37</v>
      </c>
      <c r="I24" s="6">
        <v>44682</v>
      </c>
      <c r="J24" s="4">
        <v>6340</v>
      </c>
      <c r="K24" s="4">
        <v>6340</v>
      </c>
      <c r="L24" s="4">
        <v>245.61699999999999</v>
      </c>
      <c r="M24" s="4">
        <v>245.61699999999999</v>
      </c>
      <c r="N24" s="4">
        <v>245.61699999999999</v>
      </c>
      <c r="O24" s="4">
        <v>245.61699999999999</v>
      </c>
      <c r="P24" s="4">
        <v>0</v>
      </c>
      <c r="Q24" s="3" t="s">
        <v>26</v>
      </c>
      <c r="R24" s="3">
        <v>0</v>
      </c>
      <c r="S24" s="4">
        <v>5</v>
      </c>
      <c r="T24" s="4">
        <v>19</v>
      </c>
      <c r="U24" s="4">
        <v>24</v>
      </c>
      <c r="V24" s="4">
        <f>IF(ISERROR(VLOOKUP($S$24,'TAR FIN'!$A$1:$O$86,15,0)),0,VLOOKUP($S$24,'TAR FIN'!$A$1:$O$86,15,0))</f>
        <v>85.11</v>
      </c>
      <c r="W24" s="4">
        <f>IF(ISERROR(VLOOKUP($T$24,'TAR FIN'!$A$1:$O$86,15,0)),0,VLOOKUP($T$24,'TAR FIN'!$A$1:$O$86,15,0))</f>
        <v>68.55</v>
      </c>
      <c r="X24" s="4">
        <f>IF(ISERROR(VLOOKUP($U$24,'TAR FIN'!$A$1:$O$86,15,0)),0,VLOOKUP($U$24,'TAR FIN'!$A$1:$O$86,15,0))</f>
        <v>211.54</v>
      </c>
      <c r="Y24" s="4">
        <f ca="1">('TUSD BE'!$AM$5+'TUSD BF'!$AM$5+'TUSD CVA'!$AM$5)*1</f>
        <v>90.957179261343782</v>
      </c>
      <c r="Z24" s="4">
        <f ca="1">('TUSD BE'!$AM$7+'TUSD BF'!$AM$7+'TUSD CVA'!$AM$7)*1</f>
        <v>96.693682586652571</v>
      </c>
      <c r="AA24" s="4">
        <f>('TE BE'!$AB$5+'TE BF'!$AB$5+'TE CVA'!$AB$5)*1</f>
        <v>196.56876174373542</v>
      </c>
      <c r="AB24" s="4">
        <f>$K$24*$V$24</f>
        <v>539597.4</v>
      </c>
      <c r="AC24" s="4">
        <f>$M$24*$W$24</f>
        <v>16837.04535</v>
      </c>
      <c r="AD24" s="4">
        <f>$O$24*$X$24</f>
        <v>51957.820179999995</v>
      </c>
      <c r="AE24" s="4">
        <f ca="1">$K$24*$Y$24</f>
        <v>576668.5165169196</v>
      </c>
      <c r="AF24" s="4">
        <f ca="1">$M$24*$Z$24</f>
        <v>23749.612235885845</v>
      </c>
      <c r="AG24" s="4">
        <f>$O$24*$AA$24</f>
        <v>48280.62955321106</v>
      </c>
    </row>
    <row r="25" spans="1:33" ht="11.25" customHeight="1" x14ac:dyDescent="0.25">
      <c r="A25" s="3" t="s">
        <v>21</v>
      </c>
      <c r="B25" s="3" t="s">
        <v>35</v>
      </c>
      <c r="C25" s="3" t="s">
        <v>36</v>
      </c>
      <c r="D25" s="3" t="s">
        <v>34</v>
      </c>
      <c r="E25" s="3" t="s">
        <v>25</v>
      </c>
      <c r="F25" s="3" t="s">
        <v>25</v>
      </c>
      <c r="G25" s="3" t="s">
        <v>25</v>
      </c>
      <c r="H25" s="3" t="s">
        <v>37</v>
      </c>
      <c r="I25" s="6">
        <v>44713</v>
      </c>
      <c r="J25" s="4">
        <v>6340</v>
      </c>
      <c r="K25" s="4">
        <v>6340</v>
      </c>
      <c r="L25" s="4">
        <v>224.995</v>
      </c>
      <c r="M25" s="4">
        <v>224.995</v>
      </c>
      <c r="N25" s="4">
        <v>224.995</v>
      </c>
      <c r="O25" s="4">
        <v>224.995</v>
      </c>
      <c r="P25" s="4">
        <v>0</v>
      </c>
      <c r="Q25" s="3" t="s">
        <v>26</v>
      </c>
      <c r="R25" s="3">
        <v>0</v>
      </c>
      <c r="S25" s="4">
        <v>5</v>
      </c>
      <c r="T25" s="4">
        <v>19</v>
      </c>
      <c r="U25" s="4">
        <v>24</v>
      </c>
      <c r="V25" s="4">
        <f>IF(ISERROR(VLOOKUP($S$25,'TAR FIN'!$A$1:$O$86,15,0)),0,VLOOKUP($S$25,'TAR FIN'!$A$1:$O$86,15,0))</f>
        <v>85.11</v>
      </c>
      <c r="W25" s="4">
        <f>IF(ISERROR(VLOOKUP($T$25,'TAR FIN'!$A$1:$O$86,15,0)),0,VLOOKUP($T$25,'TAR FIN'!$A$1:$O$86,15,0))</f>
        <v>68.55</v>
      </c>
      <c r="X25" s="4">
        <f>IF(ISERROR(VLOOKUP($U$25,'TAR FIN'!$A$1:$O$86,15,0)),0,VLOOKUP($U$25,'TAR FIN'!$A$1:$O$86,15,0))</f>
        <v>211.54</v>
      </c>
      <c r="Y25" s="4">
        <f ca="1">('TUSD BE'!$AM$5+'TUSD BF'!$AM$5+'TUSD CVA'!$AM$5)*1</f>
        <v>90.957179261343782</v>
      </c>
      <c r="Z25" s="4">
        <f ca="1">('TUSD BE'!$AM$7+'TUSD BF'!$AM$7+'TUSD CVA'!$AM$7)*1</f>
        <v>96.693682586652571</v>
      </c>
      <c r="AA25" s="4">
        <f>('TE BE'!$AB$5+'TE BF'!$AB$5+'TE CVA'!$AB$5)*1</f>
        <v>196.56876174373542</v>
      </c>
      <c r="AB25" s="4">
        <f>$K$25*$V$25</f>
        <v>539597.4</v>
      </c>
      <c r="AC25" s="4">
        <f>$M$25*$W$25</f>
        <v>15423.40725</v>
      </c>
      <c r="AD25" s="4">
        <f>$O$25*$X$25</f>
        <v>47595.442300000002</v>
      </c>
      <c r="AE25" s="4">
        <f ca="1">$K$25*$Y$25</f>
        <v>576668.5165169196</v>
      </c>
      <c r="AF25" s="4">
        <f ca="1">$M$25*$Z$25</f>
        <v>21755.595113583895</v>
      </c>
      <c r="AG25" s="4">
        <f>$O$25*$AA$25</f>
        <v>44226.98854853175</v>
      </c>
    </row>
    <row r="26" spans="1:33" ht="11.25" customHeight="1" x14ac:dyDescent="0.25">
      <c r="A26" s="3" t="s">
        <v>21</v>
      </c>
      <c r="B26" s="3" t="s">
        <v>35</v>
      </c>
      <c r="C26" s="3" t="s">
        <v>53</v>
      </c>
      <c r="D26" s="3" t="s">
        <v>25</v>
      </c>
      <c r="E26" s="3" t="s">
        <v>25</v>
      </c>
      <c r="F26" s="3" t="s">
        <v>25</v>
      </c>
      <c r="G26" s="3" t="s">
        <v>54</v>
      </c>
      <c r="H26" s="3" t="s">
        <v>25</v>
      </c>
      <c r="I26" s="6">
        <v>44378</v>
      </c>
      <c r="J26" s="4">
        <v>720</v>
      </c>
      <c r="K26" s="4">
        <v>360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3" t="s">
        <v>55</v>
      </c>
      <c r="R26" s="3">
        <v>15</v>
      </c>
      <c r="S26" s="4">
        <v>25</v>
      </c>
      <c r="T26" s="4">
        <v>0</v>
      </c>
      <c r="U26" s="4">
        <v>0</v>
      </c>
      <c r="V26" s="4">
        <f>IF(ISERROR(VLOOKUP($S$26,'TAR FIN'!$A$1:$O$86,15,0)),0,VLOOKUP($S$26,'TAR FIN'!$A$1:$O$86,15,0))</f>
        <v>9.1</v>
      </c>
      <c r="W26" s="4">
        <f>IF(ISERROR(VLOOKUP($T$26,'TAR FIN'!$A$1:$O$86,15,0)),0,VLOOKUP($T$26,'TAR FIN'!$A$1:$O$86,15,0))</f>
        <v>0</v>
      </c>
      <c r="X26" s="4">
        <f>IF(ISERROR(VLOOKUP($U$26,'TAR FIN'!$A$1:$O$86,15,0)),0,VLOOKUP($U$26,'TAR FIN'!$A$1:$O$86,15,0))</f>
        <v>0</v>
      </c>
      <c r="Y26" s="4">
        <f ca="1">('TUSD BE'!$AM$9+'TUSD BF'!$AM$9+'TUSD CVA'!$AM$9)*1</f>
        <v>12.091758575263867</v>
      </c>
      <c r="Z26" s="4"/>
      <c r="AA26" s="4"/>
      <c r="AB26" s="4">
        <f>$K$26*$V$26</f>
        <v>3276</v>
      </c>
      <c r="AC26" s="4">
        <f>$M$26*$W$26</f>
        <v>0</v>
      </c>
      <c r="AD26" s="4">
        <f>$O$26*$X$26</f>
        <v>0</v>
      </c>
      <c r="AE26" s="4">
        <f ca="1">$K$26*$Y$26</f>
        <v>4353.033087094992</v>
      </c>
      <c r="AF26" s="4">
        <f>$M$26*$Z$26</f>
        <v>0</v>
      </c>
      <c r="AG26" s="4">
        <f>$O$26*$AA$26</f>
        <v>0</v>
      </c>
    </row>
    <row r="27" spans="1:33" ht="11.25" customHeight="1" x14ac:dyDescent="0.25">
      <c r="A27" s="3" t="s">
        <v>21</v>
      </c>
      <c r="B27" s="3" t="s">
        <v>35</v>
      </c>
      <c r="C27" s="3" t="s">
        <v>53</v>
      </c>
      <c r="D27" s="3" t="s">
        <v>25</v>
      </c>
      <c r="E27" s="3" t="s">
        <v>25</v>
      </c>
      <c r="F27" s="3" t="s">
        <v>25</v>
      </c>
      <c r="G27" s="3" t="s">
        <v>56</v>
      </c>
      <c r="H27" s="3" t="s">
        <v>25</v>
      </c>
      <c r="I27" s="6">
        <v>44378</v>
      </c>
      <c r="J27" s="4">
        <v>1000</v>
      </c>
      <c r="K27" s="4">
        <v>500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3" t="s">
        <v>55</v>
      </c>
      <c r="R27" s="3">
        <v>28240</v>
      </c>
      <c r="S27" s="4">
        <v>25</v>
      </c>
      <c r="T27" s="4">
        <v>0</v>
      </c>
      <c r="U27" s="4">
        <v>0</v>
      </c>
      <c r="V27" s="4">
        <f>IF(ISERROR(VLOOKUP($S$27,'TAR FIN'!$A$1:$O$86,15,0)),0,VLOOKUP($S$27,'TAR FIN'!$A$1:$O$86,15,0))</f>
        <v>9.1</v>
      </c>
      <c r="W27" s="4">
        <f>IF(ISERROR(VLOOKUP($T$27,'TAR FIN'!$A$1:$O$86,15,0)),0,VLOOKUP($T$27,'TAR FIN'!$A$1:$O$86,15,0))</f>
        <v>0</v>
      </c>
      <c r="X27" s="4">
        <f>IF(ISERROR(VLOOKUP($U$27,'TAR FIN'!$A$1:$O$86,15,0)),0,VLOOKUP($U$27,'TAR FIN'!$A$1:$O$86,15,0))</f>
        <v>0</v>
      </c>
      <c r="Y27" s="4">
        <f ca="1">('TUSD BE'!$AM$9+'TUSD BF'!$AM$9+'TUSD CVA'!$AM$9)*1</f>
        <v>12.091758575263867</v>
      </c>
      <c r="Z27" s="4"/>
      <c r="AA27" s="4"/>
      <c r="AB27" s="4">
        <f>$K$27*$V$27</f>
        <v>4550</v>
      </c>
      <c r="AC27" s="4">
        <f>$M$27*$W$27</f>
        <v>0</v>
      </c>
      <c r="AD27" s="4">
        <f>$O$27*$X$27</f>
        <v>0</v>
      </c>
      <c r="AE27" s="4">
        <f ca="1">$K$27*$Y$27</f>
        <v>6045.8792876319339</v>
      </c>
      <c r="AF27" s="4">
        <f>$M$27*$Z$27</f>
        <v>0</v>
      </c>
      <c r="AG27" s="4">
        <f>$O$27*$AA$27</f>
        <v>0</v>
      </c>
    </row>
    <row r="28" spans="1:33" ht="11.25" customHeight="1" x14ac:dyDescent="0.25">
      <c r="A28" s="3" t="s">
        <v>21</v>
      </c>
      <c r="B28" s="3" t="s">
        <v>35</v>
      </c>
      <c r="C28" s="3" t="s">
        <v>53</v>
      </c>
      <c r="D28" s="3" t="s">
        <v>25</v>
      </c>
      <c r="E28" s="3" t="s">
        <v>25</v>
      </c>
      <c r="F28" s="3" t="s">
        <v>25</v>
      </c>
      <c r="G28" s="3" t="s">
        <v>54</v>
      </c>
      <c r="H28" s="3" t="s">
        <v>25</v>
      </c>
      <c r="I28" s="6">
        <v>44409</v>
      </c>
      <c r="J28" s="4">
        <v>720</v>
      </c>
      <c r="K28" s="4">
        <v>360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3" t="s">
        <v>55</v>
      </c>
      <c r="R28" s="3">
        <v>15</v>
      </c>
      <c r="S28" s="4">
        <v>25</v>
      </c>
      <c r="T28" s="4">
        <v>0</v>
      </c>
      <c r="U28" s="4">
        <v>0</v>
      </c>
      <c r="V28" s="4">
        <f>IF(ISERROR(VLOOKUP($S$28,'TAR FIN'!$A$1:$O$86,15,0)),0,VLOOKUP($S$28,'TAR FIN'!$A$1:$O$86,15,0))</f>
        <v>9.1</v>
      </c>
      <c r="W28" s="4">
        <f>IF(ISERROR(VLOOKUP($T$28,'TAR FIN'!$A$1:$O$86,15,0)),0,VLOOKUP($T$28,'TAR FIN'!$A$1:$O$86,15,0))</f>
        <v>0</v>
      </c>
      <c r="X28" s="4">
        <f>IF(ISERROR(VLOOKUP($U$28,'TAR FIN'!$A$1:$O$86,15,0)),0,VLOOKUP($U$28,'TAR FIN'!$A$1:$O$86,15,0))</f>
        <v>0</v>
      </c>
      <c r="Y28" s="4">
        <f ca="1">('TUSD BE'!$AM$9+'TUSD BF'!$AM$9+'TUSD CVA'!$AM$9)*1</f>
        <v>12.091758575263867</v>
      </c>
      <c r="Z28" s="4"/>
      <c r="AA28" s="4"/>
      <c r="AB28" s="4">
        <f>$K$28*$V$28</f>
        <v>3276</v>
      </c>
      <c r="AC28" s="4">
        <f>$M$28*$W$28</f>
        <v>0</v>
      </c>
      <c r="AD28" s="4">
        <f>$O$28*$X$28</f>
        <v>0</v>
      </c>
      <c r="AE28" s="4">
        <f ca="1">$K$28*$Y$28</f>
        <v>4353.033087094992</v>
      </c>
      <c r="AF28" s="4">
        <f>$M$28*$Z$28</f>
        <v>0</v>
      </c>
      <c r="AG28" s="4">
        <f>$O$28*$AA$28</f>
        <v>0</v>
      </c>
    </row>
    <row r="29" spans="1:33" ht="11.25" customHeight="1" x14ac:dyDescent="0.25">
      <c r="A29" s="3" t="s">
        <v>21</v>
      </c>
      <c r="B29" s="3" t="s">
        <v>35</v>
      </c>
      <c r="C29" s="3" t="s">
        <v>53</v>
      </c>
      <c r="D29" s="3" t="s">
        <v>25</v>
      </c>
      <c r="E29" s="3" t="s">
        <v>25</v>
      </c>
      <c r="F29" s="3" t="s">
        <v>25</v>
      </c>
      <c r="G29" s="3" t="s">
        <v>56</v>
      </c>
      <c r="H29" s="3" t="s">
        <v>25</v>
      </c>
      <c r="I29" s="6">
        <v>44409</v>
      </c>
      <c r="J29" s="4">
        <v>1000</v>
      </c>
      <c r="K29" s="4">
        <v>500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3" t="s">
        <v>55</v>
      </c>
      <c r="R29" s="3">
        <v>28240</v>
      </c>
      <c r="S29" s="4">
        <v>25</v>
      </c>
      <c r="T29" s="4">
        <v>0</v>
      </c>
      <c r="U29" s="4">
        <v>0</v>
      </c>
      <c r="V29" s="4">
        <f>IF(ISERROR(VLOOKUP($S$29,'TAR FIN'!$A$1:$O$86,15,0)),0,VLOOKUP($S$29,'TAR FIN'!$A$1:$O$86,15,0))</f>
        <v>9.1</v>
      </c>
      <c r="W29" s="4">
        <f>IF(ISERROR(VLOOKUP($T$29,'TAR FIN'!$A$1:$O$86,15,0)),0,VLOOKUP($T$29,'TAR FIN'!$A$1:$O$86,15,0))</f>
        <v>0</v>
      </c>
      <c r="X29" s="4">
        <f>IF(ISERROR(VLOOKUP($U$29,'TAR FIN'!$A$1:$O$86,15,0)),0,VLOOKUP($U$29,'TAR FIN'!$A$1:$O$86,15,0))</f>
        <v>0</v>
      </c>
      <c r="Y29" s="4">
        <f ca="1">('TUSD BE'!$AM$9+'TUSD BF'!$AM$9+'TUSD CVA'!$AM$9)*1</f>
        <v>12.091758575263867</v>
      </c>
      <c r="Z29" s="4"/>
      <c r="AA29" s="4"/>
      <c r="AB29" s="4">
        <f>$K$29*$V$29</f>
        <v>4550</v>
      </c>
      <c r="AC29" s="4">
        <f>$M$29*$W$29</f>
        <v>0</v>
      </c>
      <c r="AD29" s="4">
        <f>$O$29*$X$29</f>
        <v>0</v>
      </c>
      <c r="AE29" s="4">
        <f ca="1">$K$29*$Y$29</f>
        <v>6045.8792876319339</v>
      </c>
      <c r="AF29" s="4">
        <f>$M$29*$Z$29</f>
        <v>0</v>
      </c>
      <c r="AG29" s="4">
        <f>$O$29*$AA$29</f>
        <v>0</v>
      </c>
    </row>
    <row r="30" spans="1:33" ht="11.25" customHeight="1" x14ac:dyDescent="0.25">
      <c r="A30" s="3" t="s">
        <v>21</v>
      </c>
      <c r="B30" s="3" t="s">
        <v>35</v>
      </c>
      <c r="C30" s="3" t="s">
        <v>53</v>
      </c>
      <c r="D30" s="3" t="s">
        <v>25</v>
      </c>
      <c r="E30" s="3" t="s">
        <v>25</v>
      </c>
      <c r="F30" s="3" t="s">
        <v>25</v>
      </c>
      <c r="G30" s="3" t="s">
        <v>54</v>
      </c>
      <c r="H30" s="3" t="s">
        <v>25</v>
      </c>
      <c r="I30" s="6">
        <v>44440</v>
      </c>
      <c r="J30" s="4">
        <v>720</v>
      </c>
      <c r="K30" s="4">
        <v>360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3" t="s">
        <v>55</v>
      </c>
      <c r="R30" s="3">
        <v>15</v>
      </c>
      <c r="S30" s="4">
        <v>25</v>
      </c>
      <c r="T30" s="4">
        <v>0</v>
      </c>
      <c r="U30" s="4">
        <v>0</v>
      </c>
      <c r="V30" s="4">
        <f>IF(ISERROR(VLOOKUP($S$30,'TAR FIN'!$A$1:$O$86,15,0)),0,VLOOKUP($S$30,'TAR FIN'!$A$1:$O$86,15,0))</f>
        <v>9.1</v>
      </c>
      <c r="W30" s="4">
        <f>IF(ISERROR(VLOOKUP($T$30,'TAR FIN'!$A$1:$O$86,15,0)),0,VLOOKUP($T$30,'TAR FIN'!$A$1:$O$86,15,0))</f>
        <v>0</v>
      </c>
      <c r="X30" s="4">
        <f>IF(ISERROR(VLOOKUP($U$30,'TAR FIN'!$A$1:$O$86,15,0)),0,VLOOKUP($U$30,'TAR FIN'!$A$1:$O$86,15,0))</f>
        <v>0</v>
      </c>
      <c r="Y30" s="4">
        <f ca="1">('TUSD BE'!$AM$9+'TUSD BF'!$AM$9+'TUSD CVA'!$AM$9)*1</f>
        <v>12.091758575263867</v>
      </c>
      <c r="Z30" s="4"/>
      <c r="AA30" s="4"/>
      <c r="AB30" s="4">
        <f>$K$30*$V$30</f>
        <v>3276</v>
      </c>
      <c r="AC30" s="4">
        <f>$M$30*$W$30</f>
        <v>0</v>
      </c>
      <c r="AD30" s="4">
        <f>$O$30*$X$30</f>
        <v>0</v>
      </c>
      <c r="AE30" s="4">
        <f ca="1">$K$30*$Y$30</f>
        <v>4353.033087094992</v>
      </c>
      <c r="AF30" s="4">
        <f>$M$30*$Z$30</f>
        <v>0</v>
      </c>
      <c r="AG30" s="4">
        <f>$O$30*$AA$30</f>
        <v>0</v>
      </c>
    </row>
    <row r="31" spans="1:33" ht="11.25" customHeight="1" x14ac:dyDescent="0.25">
      <c r="A31" s="3" t="s">
        <v>21</v>
      </c>
      <c r="B31" s="3" t="s">
        <v>35</v>
      </c>
      <c r="C31" s="3" t="s">
        <v>53</v>
      </c>
      <c r="D31" s="3" t="s">
        <v>25</v>
      </c>
      <c r="E31" s="3" t="s">
        <v>25</v>
      </c>
      <c r="F31" s="3" t="s">
        <v>25</v>
      </c>
      <c r="G31" s="3" t="s">
        <v>56</v>
      </c>
      <c r="H31" s="3" t="s">
        <v>25</v>
      </c>
      <c r="I31" s="6">
        <v>44440</v>
      </c>
      <c r="J31" s="4">
        <v>1000</v>
      </c>
      <c r="K31" s="4">
        <v>500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3" t="s">
        <v>55</v>
      </c>
      <c r="R31" s="3">
        <v>28240</v>
      </c>
      <c r="S31" s="4">
        <v>25</v>
      </c>
      <c r="T31" s="4">
        <v>0</v>
      </c>
      <c r="U31" s="4">
        <v>0</v>
      </c>
      <c r="V31" s="4">
        <f>IF(ISERROR(VLOOKUP($S$31,'TAR FIN'!$A$1:$O$86,15,0)),0,VLOOKUP($S$31,'TAR FIN'!$A$1:$O$86,15,0))</f>
        <v>9.1</v>
      </c>
      <c r="W31" s="4">
        <f>IF(ISERROR(VLOOKUP($T$31,'TAR FIN'!$A$1:$O$86,15,0)),0,VLOOKUP($T$31,'TAR FIN'!$A$1:$O$86,15,0))</f>
        <v>0</v>
      </c>
      <c r="X31" s="4">
        <f>IF(ISERROR(VLOOKUP($U$31,'TAR FIN'!$A$1:$O$86,15,0)),0,VLOOKUP($U$31,'TAR FIN'!$A$1:$O$86,15,0))</f>
        <v>0</v>
      </c>
      <c r="Y31" s="4">
        <f ca="1">('TUSD BE'!$AM$9+'TUSD BF'!$AM$9+'TUSD CVA'!$AM$9)*1</f>
        <v>12.091758575263867</v>
      </c>
      <c r="Z31" s="4"/>
      <c r="AA31" s="4"/>
      <c r="AB31" s="4">
        <f>$K$31*$V$31</f>
        <v>4550</v>
      </c>
      <c r="AC31" s="4">
        <f>$M$31*$W$31</f>
        <v>0</v>
      </c>
      <c r="AD31" s="4">
        <f>$O$31*$X$31</f>
        <v>0</v>
      </c>
      <c r="AE31" s="4">
        <f ca="1">$K$31*$Y$31</f>
        <v>6045.8792876319339</v>
      </c>
      <c r="AF31" s="4">
        <f>$M$31*$Z$31</f>
        <v>0</v>
      </c>
      <c r="AG31" s="4">
        <f>$O$31*$AA$31</f>
        <v>0</v>
      </c>
    </row>
    <row r="32" spans="1:33" ht="11.25" customHeight="1" x14ac:dyDescent="0.25">
      <c r="A32" s="3" t="s">
        <v>21</v>
      </c>
      <c r="B32" s="3" t="s">
        <v>35</v>
      </c>
      <c r="C32" s="3" t="s">
        <v>53</v>
      </c>
      <c r="D32" s="3" t="s">
        <v>25</v>
      </c>
      <c r="E32" s="3" t="s">
        <v>25</v>
      </c>
      <c r="F32" s="3" t="s">
        <v>25</v>
      </c>
      <c r="G32" s="3" t="s">
        <v>54</v>
      </c>
      <c r="H32" s="3" t="s">
        <v>25</v>
      </c>
      <c r="I32" s="6">
        <v>44470</v>
      </c>
      <c r="J32" s="4">
        <v>720</v>
      </c>
      <c r="K32" s="4">
        <v>360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3" t="s">
        <v>55</v>
      </c>
      <c r="R32" s="3">
        <v>15</v>
      </c>
      <c r="S32" s="4">
        <v>25</v>
      </c>
      <c r="T32" s="4">
        <v>0</v>
      </c>
      <c r="U32" s="4">
        <v>0</v>
      </c>
      <c r="V32" s="4">
        <f>IF(ISERROR(VLOOKUP($S$32,'TAR FIN'!$A$1:$O$86,15,0)),0,VLOOKUP($S$32,'TAR FIN'!$A$1:$O$86,15,0))</f>
        <v>9.1</v>
      </c>
      <c r="W32" s="4">
        <f>IF(ISERROR(VLOOKUP($T$32,'TAR FIN'!$A$1:$O$86,15,0)),0,VLOOKUP($T$32,'TAR FIN'!$A$1:$O$86,15,0))</f>
        <v>0</v>
      </c>
      <c r="X32" s="4">
        <f>IF(ISERROR(VLOOKUP($U$32,'TAR FIN'!$A$1:$O$86,15,0)),0,VLOOKUP($U$32,'TAR FIN'!$A$1:$O$86,15,0))</f>
        <v>0</v>
      </c>
      <c r="Y32" s="4">
        <f ca="1">('TUSD BE'!$AM$9+'TUSD BF'!$AM$9+'TUSD CVA'!$AM$9)*1</f>
        <v>12.091758575263867</v>
      </c>
      <c r="Z32" s="4"/>
      <c r="AA32" s="4"/>
      <c r="AB32" s="4">
        <f>$K$32*$V$32</f>
        <v>3276</v>
      </c>
      <c r="AC32" s="4">
        <f>$M$32*$W$32</f>
        <v>0</v>
      </c>
      <c r="AD32" s="4">
        <f>$O$32*$X$32</f>
        <v>0</v>
      </c>
      <c r="AE32" s="4">
        <f ca="1">$K$32*$Y$32</f>
        <v>4353.033087094992</v>
      </c>
      <c r="AF32" s="4">
        <f>$M$32*$Z$32</f>
        <v>0</v>
      </c>
      <c r="AG32" s="4">
        <f>$O$32*$AA$32</f>
        <v>0</v>
      </c>
    </row>
    <row r="33" spans="1:33" ht="11.25" customHeight="1" x14ac:dyDescent="0.25">
      <c r="A33" s="3" t="s">
        <v>21</v>
      </c>
      <c r="B33" s="3" t="s">
        <v>35</v>
      </c>
      <c r="C33" s="3" t="s">
        <v>53</v>
      </c>
      <c r="D33" s="3" t="s">
        <v>25</v>
      </c>
      <c r="E33" s="3" t="s">
        <v>25</v>
      </c>
      <c r="F33" s="3" t="s">
        <v>25</v>
      </c>
      <c r="G33" s="3" t="s">
        <v>56</v>
      </c>
      <c r="H33" s="3" t="s">
        <v>25</v>
      </c>
      <c r="I33" s="6">
        <v>44470</v>
      </c>
      <c r="J33" s="4">
        <v>1000</v>
      </c>
      <c r="K33" s="4">
        <v>500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3" t="s">
        <v>55</v>
      </c>
      <c r="R33" s="3">
        <v>28240</v>
      </c>
      <c r="S33" s="4">
        <v>25</v>
      </c>
      <c r="T33" s="4">
        <v>0</v>
      </c>
      <c r="U33" s="4">
        <v>0</v>
      </c>
      <c r="V33" s="4">
        <f>IF(ISERROR(VLOOKUP($S$33,'TAR FIN'!$A$1:$O$86,15,0)),0,VLOOKUP($S$33,'TAR FIN'!$A$1:$O$86,15,0))</f>
        <v>9.1</v>
      </c>
      <c r="W33" s="4">
        <f>IF(ISERROR(VLOOKUP($T$33,'TAR FIN'!$A$1:$O$86,15,0)),0,VLOOKUP($T$33,'TAR FIN'!$A$1:$O$86,15,0))</f>
        <v>0</v>
      </c>
      <c r="X33" s="4">
        <f>IF(ISERROR(VLOOKUP($U$33,'TAR FIN'!$A$1:$O$86,15,0)),0,VLOOKUP($U$33,'TAR FIN'!$A$1:$O$86,15,0))</f>
        <v>0</v>
      </c>
      <c r="Y33" s="4">
        <f ca="1">('TUSD BE'!$AM$9+'TUSD BF'!$AM$9+'TUSD CVA'!$AM$9)*1</f>
        <v>12.091758575263867</v>
      </c>
      <c r="Z33" s="4"/>
      <c r="AA33" s="4"/>
      <c r="AB33" s="4">
        <f>$K$33*$V$33</f>
        <v>4550</v>
      </c>
      <c r="AC33" s="4">
        <f>$M$33*$W$33</f>
        <v>0</v>
      </c>
      <c r="AD33" s="4">
        <f>$O$33*$X$33</f>
        <v>0</v>
      </c>
      <c r="AE33" s="4">
        <f ca="1">$K$33*$Y$33</f>
        <v>6045.8792876319339</v>
      </c>
      <c r="AF33" s="4">
        <f>$M$33*$Z$33</f>
        <v>0</v>
      </c>
      <c r="AG33" s="4">
        <f>$O$33*$AA$33</f>
        <v>0</v>
      </c>
    </row>
    <row r="34" spans="1:33" ht="11.25" customHeight="1" x14ac:dyDescent="0.25">
      <c r="A34" s="3" t="s">
        <v>21</v>
      </c>
      <c r="B34" s="3" t="s">
        <v>35</v>
      </c>
      <c r="C34" s="3" t="s">
        <v>53</v>
      </c>
      <c r="D34" s="3" t="s">
        <v>25</v>
      </c>
      <c r="E34" s="3" t="s">
        <v>25</v>
      </c>
      <c r="F34" s="3" t="s">
        <v>25</v>
      </c>
      <c r="G34" s="3" t="s">
        <v>54</v>
      </c>
      <c r="H34" s="3" t="s">
        <v>25</v>
      </c>
      <c r="I34" s="6">
        <v>44501</v>
      </c>
      <c r="J34" s="4">
        <v>720</v>
      </c>
      <c r="K34" s="4">
        <v>360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3" t="s">
        <v>55</v>
      </c>
      <c r="R34" s="3">
        <v>15</v>
      </c>
      <c r="S34" s="4">
        <v>25</v>
      </c>
      <c r="T34" s="4">
        <v>0</v>
      </c>
      <c r="U34" s="4">
        <v>0</v>
      </c>
      <c r="V34" s="4">
        <f>IF(ISERROR(VLOOKUP($S$34,'TAR FIN'!$A$1:$O$86,15,0)),0,VLOOKUP($S$34,'TAR FIN'!$A$1:$O$86,15,0))</f>
        <v>9.1</v>
      </c>
      <c r="W34" s="4">
        <f>IF(ISERROR(VLOOKUP($T$34,'TAR FIN'!$A$1:$O$86,15,0)),0,VLOOKUP($T$34,'TAR FIN'!$A$1:$O$86,15,0))</f>
        <v>0</v>
      </c>
      <c r="X34" s="4">
        <f>IF(ISERROR(VLOOKUP($U$34,'TAR FIN'!$A$1:$O$86,15,0)),0,VLOOKUP($U$34,'TAR FIN'!$A$1:$O$86,15,0))</f>
        <v>0</v>
      </c>
      <c r="Y34" s="4">
        <f ca="1">('TUSD BE'!$AM$9+'TUSD BF'!$AM$9+'TUSD CVA'!$AM$9)*1</f>
        <v>12.091758575263867</v>
      </c>
      <c r="Z34" s="4"/>
      <c r="AA34" s="4"/>
      <c r="AB34" s="4">
        <f>$K$34*$V$34</f>
        <v>3276</v>
      </c>
      <c r="AC34" s="4">
        <f>$M$34*$W$34</f>
        <v>0</v>
      </c>
      <c r="AD34" s="4">
        <f>$O$34*$X$34</f>
        <v>0</v>
      </c>
      <c r="AE34" s="4">
        <f ca="1">$K$34*$Y$34</f>
        <v>4353.033087094992</v>
      </c>
      <c r="AF34" s="4">
        <f>$M$34*$Z$34</f>
        <v>0</v>
      </c>
      <c r="AG34" s="4">
        <f>$O$34*$AA$34</f>
        <v>0</v>
      </c>
    </row>
    <row r="35" spans="1:33" ht="11.25" customHeight="1" x14ac:dyDescent="0.25">
      <c r="A35" s="3" t="s">
        <v>21</v>
      </c>
      <c r="B35" s="3" t="s">
        <v>35</v>
      </c>
      <c r="C35" s="3" t="s">
        <v>53</v>
      </c>
      <c r="D35" s="3" t="s">
        <v>25</v>
      </c>
      <c r="E35" s="3" t="s">
        <v>25</v>
      </c>
      <c r="F35" s="3" t="s">
        <v>25</v>
      </c>
      <c r="G35" s="3" t="s">
        <v>56</v>
      </c>
      <c r="H35" s="3" t="s">
        <v>25</v>
      </c>
      <c r="I35" s="6">
        <v>44501</v>
      </c>
      <c r="J35" s="4">
        <v>1000</v>
      </c>
      <c r="K35" s="4">
        <v>500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3" t="s">
        <v>55</v>
      </c>
      <c r="R35" s="3">
        <v>28240</v>
      </c>
      <c r="S35" s="4">
        <v>25</v>
      </c>
      <c r="T35" s="4">
        <v>0</v>
      </c>
      <c r="U35" s="4">
        <v>0</v>
      </c>
      <c r="V35" s="4">
        <f>IF(ISERROR(VLOOKUP($S$35,'TAR FIN'!$A$1:$O$86,15,0)),0,VLOOKUP($S$35,'TAR FIN'!$A$1:$O$86,15,0))</f>
        <v>9.1</v>
      </c>
      <c r="W35" s="4">
        <f>IF(ISERROR(VLOOKUP($T$35,'TAR FIN'!$A$1:$O$86,15,0)),0,VLOOKUP($T$35,'TAR FIN'!$A$1:$O$86,15,0))</f>
        <v>0</v>
      </c>
      <c r="X35" s="4">
        <f>IF(ISERROR(VLOOKUP($U$35,'TAR FIN'!$A$1:$O$86,15,0)),0,VLOOKUP($U$35,'TAR FIN'!$A$1:$O$86,15,0))</f>
        <v>0</v>
      </c>
      <c r="Y35" s="4">
        <f ca="1">('TUSD BE'!$AM$9+'TUSD BF'!$AM$9+'TUSD CVA'!$AM$9)*1</f>
        <v>12.091758575263867</v>
      </c>
      <c r="Z35" s="4"/>
      <c r="AA35" s="4"/>
      <c r="AB35" s="4">
        <f>$K$35*$V$35</f>
        <v>4550</v>
      </c>
      <c r="AC35" s="4">
        <f>$M$35*$W$35</f>
        <v>0</v>
      </c>
      <c r="AD35" s="4">
        <f>$O$35*$X$35</f>
        <v>0</v>
      </c>
      <c r="AE35" s="4">
        <f ca="1">$K$35*$Y$35</f>
        <v>6045.8792876319339</v>
      </c>
      <c r="AF35" s="4">
        <f>$M$35*$Z$35</f>
        <v>0</v>
      </c>
      <c r="AG35" s="4">
        <f>$O$35*$AA$35</f>
        <v>0</v>
      </c>
    </row>
    <row r="36" spans="1:33" ht="11.25" customHeight="1" x14ac:dyDescent="0.25">
      <c r="A36" s="3" t="s">
        <v>21</v>
      </c>
      <c r="B36" s="3" t="s">
        <v>35</v>
      </c>
      <c r="C36" s="3" t="s">
        <v>53</v>
      </c>
      <c r="D36" s="3" t="s">
        <v>25</v>
      </c>
      <c r="E36" s="3" t="s">
        <v>25</v>
      </c>
      <c r="F36" s="3" t="s">
        <v>25</v>
      </c>
      <c r="G36" s="3" t="s">
        <v>54</v>
      </c>
      <c r="H36" s="3" t="s">
        <v>25</v>
      </c>
      <c r="I36" s="6">
        <v>44531</v>
      </c>
      <c r="J36" s="4">
        <v>720</v>
      </c>
      <c r="K36" s="4">
        <v>360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3" t="s">
        <v>55</v>
      </c>
      <c r="R36" s="3">
        <v>15</v>
      </c>
      <c r="S36" s="4">
        <v>25</v>
      </c>
      <c r="T36" s="4">
        <v>0</v>
      </c>
      <c r="U36" s="4">
        <v>0</v>
      </c>
      <c r="V36" s="4">
        <f>IF(ISERROR(VLOOKUP($S$36,'TAR FIN'!$A$1:$O$86,15,0)),0,VLOOKUP($S$36,'TAR FIN'!$A$1:$O$86,15,0))</f>
        <v>9.1</v>
      </c>
      <c r="W36" s="4">
        <f>IF(ISERROR(VLOOKUP($T$36,'TAR FIN'!$A$1:$O$86,15,0)),0,VLOOKUP($T$36,'TAR FIN'!$A$1:$O$86,15,0))</f>
        <v>0</v>
      </c>
      <c r="X36" s="4">
        <f>IF(ISERROR(VLOOKUP($U$36,'TAR FIN'!$A$1:$O$86,15,0)),0,VLOOKUP($U$36,'TAR FIN'!$A$1:$O$86,15,0))</f>
        <v>0</v>
      </c>
      <c r="Y36" s="4">
        <f ca="1">('TUSD BE'!$AM$9+'TUSD BF'!$AM$9+'TUSD CVA'!$AM$9)*1</f>
        <v>12.091758575263867</v>
      </c>
      <c r="Z36" s="4"/>
      <c r="AA36" s="4"/>
      <c r="AB36" s="4">
        <f>$K$36*$V$36</f>
        <v>3276</v>
      </c>
      <c r="AC36" s="4">
        <f>$M$36*$W$36</f>
        <v>0</v>
      </c>
      <c r="AD36" s="4">
        <f>$O$36*$X$36</f>
        <v>0</v>
      </c>
      <c r="AE36" s="4">
        <f ca="1">$K$36*$Y$36</f>
        <v>4353.033087094992</v>
      </c>
      <c r="AF36" s="4">
        <f>$M$36*$Z$36</f>
        <v>0</v>
      </c>
      <c r="AG36" s="4">
        <f>$O$36*$AA$36</f>
        <v>0</v>
      </c>
    </row>
    <row r="37" spans="1:33" ht="11.25" customHeight="1" x14ac:dyDescent="0.25">
      <c r="A37" s="3" t="s">
        <v>21</v>
      </c>
      <c r="B37" s="3" t="s">
        <v>35</v>
      </c>
      <c r="C37" s="3" t="s">
        <v>53</v>
      </c>
      <c r="D37" s="3" t="s">
        <v>25</v>
      </c>
      <c r="E37" s="3" t="s">
        <v>25</v>
      </c>
      <c r="F37" s="3" t="s">
        <v>25</v>
      </c>
      <c r="G37" s="3" t="s">
        <v>56</v>
      </c>
      <c r="H37" s="3" t="s">
        <v>25</v>
      </c>
      <c r="I37" s="6">
        <v>44531</v>
      </c>
      <c r="J37" s="4">
        <v>1000</v>
      </c>
      <c r="K37" s="4">
        <v>500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3" t="s">
        <v>55</v>
      </c>
      <c r="R37" s="3">
        <v>28240</v>
      </c>
      <c r="S37" s="4">
        <v>25</v>
      </c>
      <c r="T37" s="4">
        <v>0</v>
      </c>
      <c r="U37" s="4">
        <v>0</v>
      </c>
      <c r="V37" s="4">
        <f>IF(ISERROR(VLOOKUP($S$37,'TAR FIN'!$A$1:$O$86,15,0)),0,VLOOKUP($S$37,'TAR FIN'!$A$1:$O$86,15,0))</f>
        <v>9.1</v>
      </c>
      <c r="W37" s="4">
        <f>IF(ISERROR(VLOOKUP($T$37,'TAR FIN'!$A$1:$O$86,15,0)),0,VLOOKUP($T$37,'TAR FIN'!$A$1:$O$86,15,0))</f>
        <v>0</v>
      </c>
      <c r="X37" s="4">
        <f>IF(ISERROR(VLOOKUP($U$37,'TAR FIN'!$A$1:$O$86,15,0)),0,VLOOKUP($U$37,'TAR FIN'!$A$1:$O$86,15,0))</f>
        <v>0</v>
      </c>
      <c r="Y37" s="4">
        <f ca="1">('TUSD BE'!$AM$9+'TUSD BF'!$AM$9+'TUSD CVA'!$AM$9)*1</f>
        <v>12.091758575263867</v>
      </c>
      <c r="Z37" s="4"/>
      <c r="AA37" s="4"/>
      <c r="AB37" s="4">
        <f>$K$37*$V$37</f>
        <v>4550</v>
      </c>
      <c r="AC37" s="4">
        <f>$M$37*$W$37</f>
        <v>0</v>
      </c>
      <c r="AD37" s="4">
        <f>$O$37*$X$37</f>
        <v>0</v>
      </c>
      <c r="AE37" s="4">
        <f ca="1">$K$37*$Y$37</f>
        <v>6045.8792876319339</v>
      </c>
      <c r="AF37" s="4">
        <f>$M$37*$Z$37</f>
        <v>0</v>
      </c>
      <c r="AG37" s="4">
        <f>$O$37*$AA$37</f>
        <v>0</v>
      </c>
    </row>
    <row r="38" spans="1:33" ht="11.25" customHeight="1" x14ac:dyDescent="0.25">
      <c r="A38" s="3" t="s">
        <v>21</v>
      </c>
      <c r="B38" s="3" t="s">
        <v>35</v>
      </c>
      <c r="C38" s="3" t="s">
        <v>53</v>
      </c>
      <c r="D38" s="3" t="s">
        <v>25</v>
      </c>
      <c r="E38" s="3" t="s">
        <v>25</v>
      </c>
      <c r="F38" s="3" t="s">
        <v>25</v>
      </c>
      <c r="G38" s="3" t="s">
        <v>54</v>
      </c>
      <c r="H38" s="3" t="s">
        <v>25</v>
      </c>
      <c r="I38" s="6">
        <v>44562</v>
      </c>
      <c r="J38" s="4">
        <v>720</v>
      </c>
      <c r="K38" s="4">
        <v>360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3" t="s">
        <v>55</v>
      </c>
      <c r="R38" s="3">
        <v>15</v>
      </c>
      <c r="S38" s="4">
        <v>25</v>
      </c>
      <c r="T38" s="4">
        <v>0</v>
      </c>
      <c r="U38" s="4">
        <v>0</v>
      </c>
      <c r="V38" s="4">
        <f>IF(ISERROR(VLOOKUP($S$38,'TAR FIN'!$A$1:$O$86,15,0)),0,VLOOKUP($S$38,'TAR FIN'!$A$1:$O$86,15,0))</f>
        <v>9.1</v>
      </c>
      <c r="W38" s="4">
        <f>IF(ISERROR(VLOOKUP($T$38,'TAR FIN'!$A$1:$O$86,15,0)),0,VLOOKUP($T$38,'TAR FIN'!$A$1:$O$86,15,0))</f>
        <v>0</v>
      </c>
      <c r="X38" s="4">
        <f>IF(ISERROR(VLOOKUP($U$38,'TAR FIN'!$A$1:$O$86,15,0)),0,VLOOKUP($U$38,'TAR FIN'!$A$1:$O$86,15,0))</f>
        <v>0</v>
      </c>
      <c r="Y38" s="4">
        <f ca="1">('TUSD BE'!$AM$9+'TUSD BF'!$AM$9+'TUSD CVA'!$AM$9)*1</f>
        <v>12.091758575263867</v>
      </c>
      <c r="Z38" s="4"/>
      <c r="AA38" s="4"/>
      <c r="AB38" s="4">
        <f>$K$38*$V$38</f>
        <v>3276</v>
      </c>
      <c r="AC38" s="4">
        <f>$M$38*$W$38</f>
        <v>0</v>
      </c>
      <c r="AD38" s="4">
        <f>$O$38*$X$38</f>
        <v>0</v>
      </c>
      <c r="AE38" s="4">
        <f ca="1">$K$38*$Y$38</f>
        <v>4353.033087094992</v>
      </c>
      <c r="AF38" s="4">
        <f>$M$38*$Z$38</f>
        <v>0</v>
      </c>
      <c r="AG38" s="4">
        <f>$O$38*$AA$38</f>
        <v>0</v>
      </c>
    </row>
    <row r="39" spans="1:33" ht="11.25" customHeight="1" x14ac:dyDescent="0.25">
      <c r="A39" s="3" t="s">
        <v>21</v>
      </c>
      <c r="B39" s="3" t="s">
        <v>35</v>
      </c>
      <c r="C39" s="3" t="s">
        <v>53</v>
      </c>
      <c r="D39" s="3" t="s">
        <v>25</v>
      </c>
      <c r="E39" s="3" t="s">
        <v>25</v>
      </c>
      <c r="F39" s="3" t="s">
        <v>25</v>
      </c>
      <c r="G39" s="3" t="s">
        <v>56</v>
      </c>
      <c r="H39" s="3" t="s">
        <v>25</v>
      </c>
      <c r="I39" s="6">
        <v>44562</v>
      </c>
      <c r="J39" s="4">
        <v>1000</v>
      </c>
      <c r="K39" s="4">
        <v>500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3" t="s">
        <v>55</v>
      </c>
      <c r="R39" s="3">
        <v>28240</v>
      </c>
      <c r="S39" s="4">
        <v>25</v>
      </c>
      <c r="T39" s="4">
        <v>0</v>
      </c>
      <c r="U39" s="4">
        <v>0</v>
      </c>
      <c r="V39" s="4">
        <f>IF(ISERROR(VLOOKUP($S$39,'TAR FIN'!$A$1:$O$86,15,0)),0,VLOOKUP($S$39,'TAR FIN'!$A$1:$O$86,15,0))</f>
        <v>9.1</v>
      </c>
      <c r="W39" s="4">
        <f>IF(ISERROR(VLOOKUP($T$39,'TAR FIN'!$A$1:$O$86,15,0)),0,VLOOKUP($T$39,'TAR FIN'!$A$1:$O$86,15,0))</f>
        <v>0</v>
      </c>
      <c r="X39" s="4">
        <f>IF(ISERROR(VLOOKUP($U$39,'TAR FIN'!$A$1:$O$86,15,0)),0,VLOOKUP($U$39,'TAR FIN'!$A$1:$O$86,15,0))</f>
        <v>0</v>
      </c>
      <c r="Y39" s="4">
        <f ca="1">('TUSD BE'!$AM$9+'TUSD BF'!$AM$9+'TUSD CVA'!$AM$9)*1</f>
        <v>12.091758575263867</v>
      </c>
      <c r="Z39" s="4"/>
      <c r="AA39" s="4"/>
      <c r="AB39" s="4">
        <f>$K$39*$V$39</f>
        <v>4550</v>
      </c>
      <c r="AC39" s="4">
        <f>$M$39*$W$39</f>
        <v>0</v>
      </c>
      <c r="AD39" s="4">
        <f>$O$39*$X$39</f>
        <v>0</v>
      </c>
      <c r="AE39" s="4">
        <f ca="1">$K$39*$Y$39</f>
        <v>6045.8792876319339</v>
      </c>
      <c r="AF39" s="4">
        <f>$M$39*$Z$39</f>
        <v>0</v>
      </c>
      <c r="AG39" s="4">
        <f>$O$39*$AA$39</f>
        <v>0</v>
      </c>
    </row>
    <row r="40" spans="1:33" ht="11.25" customHeight="1" x14ac:dyDescent="0.25">
      <c r="A40" s="3" t="s">
        <v>21</v>
      </c>
      <c r="B40" s="3" t="s">
        <v>35</v>
      </c>
      <c r="C40" s="3" t="s">
        <v>53</v>
      </c>
      <c r="D40" s="3" t="s">
        <v>25</v>
      </c>
      <c r="E40" s="3" t="s">
        <v>25</v>
      </c>
      <c r="F40" s="3" t="s">
        <v>25</v>
      </c>
      <c r="G40" s="3" t="s">
        <v>54</v>
      </c>
      <c r="H40" s="3" t="s">
        <v>25</v>
      </c>
      <c r="I40" s="6">
        <v>44593</v>
      </c>
      <c r="J40" s="4">
        <v>720</v>
      </c>
      <c r="K40" s="4">
        <v>360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3" t="s">
        <v>55</v>
      </c>
      <c r="R40" s="3">
        <v>15</v>
      </c>
      <c r="S40" s="4">
        <v>25</v>
      </c>
      <c r="T40" s="4">
        <v>0</v>
      </c>
      <c r="U40" s="4">
        <v>0</v>
      </c>
      <c r="V40" s="4">
        <f>IF(ISERROR(VLOOKUP($S$40,'TAR FIN'!$A$1:$O$86,15,0)),0,VLOOKUP($S$40,'TAR FIN'!$A$1:$O$86,15,0))</f>
        <v>9.1</v>
      </c>
      <c r="W40" s="4">
        <f>IF(ISERROR(VLOOKUP($T$40,'TAR FIN'!$A$1:$O$86,15,0)),0,VLOOKUP($T$40,'TAR FIN'!$A$1:$O$86,15,0))</f>
        <v>0</v>
      </c>
      <c r="X40" s="4">
        <f>IF(ISERROR(VLOOKUP($U$40,'TAR FIN'!$A$1:$O$86,15,0)),0,VLOOKUP($U$40,'TAR FIN'!$A$1:$O$86,15,0))</f>
        <v>0</v>
      </c>
      <c r="Y40" s="4">
        <f ca="1">('TUSD BE'!$AM$9+'TUSD BF'!$AM$9+'TUSD CVA'!$AM$9)*1</f>
        <v>12.091758575263867</v>
      </c>
      <c r="Z40" s="4"/>
      <c r="AA40" s="4"/>
      <c r="AB40" s="4">
        <f>$K$40*$V$40</f>
        <v>3276</v>
      </c>
      <c r="AC40" s="4">
        <f>$M$40*$W$40</f>
        <v>0</v>
      </c>
      <c r="AD40" s="4">
        <f>$O$40*$X$40</f>
        <v>0</v>
      </c>
      <c r="AE40" s="4">
        <f ca="1">$K$40*$Y$40</f>
        <v>4353.033087094992</v>
      </c>
      <c r="AF40" s="4">
        <f>$M$40*$Z$40</f>
        <v>0</v>
      </c>
      <c r="AG40" s="4">
        <f>$O$40*$AA$40</f>
        <v>0</v>
      </c>
    </row>
    <row r="41" spans="1:33" ht="11.25" customHeight="1" x14ac:dyDescent="0.25">
      <c r="A41" s="3" t="s">
        <v>21</v>
      </c>
      <c r="B41" s="3" t="s">
        <v>35</v>
      </c>
      <c r="C41" s="3" t="s">
        <v>53</v>
      </c>
      <c r="D41" s="3" t="s">
        <v>25</v>
      </c>
      <c r="E41" s="3" t="s">
        <v>25</v>
      </c>
      <c r="F41" s="3" t="s">
        <v>25</v>
      </c>
      <c r="G41" s="3" t="s">
        <v>56</v>
      </c>
      <c r="H41" s="3" t="s">
        <v>25</v>
      </c>
      <c r="I41" s="6">
        <v>44593</v>
      </c>
      <c r="J41" s="4">
        <v>1000</v>
      </c>
      <c r="K41" s="4">
        <v>500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3" t="s">
        <v>55</v>
      </c>
      <c r="R41" s="3">
        <v>28240</v>
      </c>
      <c r="S41" s="4">
        <v>25</v>
      </c>
      <c r="T41" s="4">
        <v>0</v>
      </c>
      <c r="U41" s="4">
        <v>0</v>
      </c>
      <c r="V41" s="4">
        <f>IF(ISERROR(VLOOKUP($S$41,'TAR FIN'!$A$1:$O$86,15,0)),0,VLOOKUP($S$41,'TAR FIN'!$A$1:$O$86,15,0))</f>
        <v>9.1</v>
      </c>
      <c r="W41" s="4">
        <f>IF(ISERROR(VLOOKUP($T$41,'TAR FIN'!$A$1:$O$86,15,0)),0,VLOOKUP($T$41,'TAR FIN'!$A$1:$O$86,15,0))</f>
        <v>0</v>
      </c>
      <c r="X41" s="4">
        <f>IF(ISERROR(VLOOKUP($U$41,'TAR FIN'!$A$1:$O$86,15,0)),0,VLOOKUP($U$41,'TAR FIN'!$A$1:$O$86,15,0))</f>
        <v>0</v>
      </c>
      <c r="Y41" s="4">
        <f ca="1">('TUSD BE'!$AM$9+'TUSD BF'!$AM$9+'TUSD CVA'!$AM$9)*1</f>
        <v>12.091758575263867</v>
      </c>
      <c r="Z41" s="4"/>
      <c r="AA41" s="4"/>
      <c r="AB41" s="4">
        <f>$K$41*$V$41</f>
        <v>4550</v>
      </c>
      <c r="AC41" s="4">
        <f>$M$41*$W$41</f>
        <v>0</v>
      </c>
      <c r="AD41" s="4">
        <f>$O$41*$X$41</f>
        <v>0</v>
      </c>
      <c r="AE41" s="4">
        <f ca="1">$K$41*$Y$41</f>
        <v>6045.8792876319339</v>
      </c>
      <c r="AF41" s="4">
        <f>$M$41*$Z$41</f>
        <v>0</v>
      </c>
      <c r="AG41" s="4">
        <f>$O$41*$AA$41</f>
        <v>0</v>
      </c>
    </row>
    <row r="42" spans="1:33" ht="11.25" customHeight="1" x14ac:dyDescent="0.25">
      <c r="A42" s="3" t="s">
        <v>21</v>
      </c>
      <c r="B42" s="3" t="s">
        <v>35</v>
      </c>
      <c r="C42" s="3" t="s">
        <v>53</v>
      </c>
      <c r="D42" s="3" t="s">
        <v>25</v>
      </c>
      <c r="E42" s="3" t="s">
        <v>25</v>
      </c>
      <c r="F42" s="3" t="s">
        <v>25</v>
      </c>
      <c r="G42" s="3" t="s">
        <v>54</v>
      </c>
      <c r="H42" s="3" t="s">
        <v>25</v>
      </c>
      <c r="I42" s="6">
        <v>44621</v>
      </c>
      <c r="J42" s="4">
        <v>720</v>
      </c>
      <c r="K42" s="4">
        <v>360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3" t="s">
        <v>55</v>
      </c>
      <c r="R42" s="3">
        <v>15</v>
      </c>
      <c r="S42" s="4">
        <v>25</v>
      </c>
      <c r="T42" s="4">
        <v>0</v>
      </c>
      <c r="U42" s="4">
        <v>0</v>
      </c>
      <c r="V42" s="4">
        <f>IF(ISERROR(VLOOKUP($S$42,'TAR FIN'!$A$1:$O$86,15,0)),0,VLOOKUP($S$42,'TAR FIN'!$A$1:$O$86,15,0))</f>
        <v>9.1</v>
      </c>
      <c r="W42" s="4">
        <f>IF(ISERROR(VLOOKUP($T$42,'TAR FIN'!$A$1:$O$86,15,0)),0,VLOOKUP($T$42,'TAR FIN'!$A$1:$O$86,15,0))</f>
        <v>0</v>
      </c>
      <c r="X42" s="4">
        <f>IF(ISERROR(VLOOKUP($U$42,'TAR FIN'!$A$1:$O$86,15,0)),0,VLOOKUP($U$42,'TAR FIN'!$A$1:$O$86,15,0))</f>
        <v>0</v>
      </c>
      <c r="Y42" s="4">
        <f ca="1">('TUSD BE'!$AM$9+'TUSD BF'!$AM$9+'TUSD CVA'!$AM$9)*1</f>
        <v>12.091758575263867</v>
      </c>
      <c r="Z42" s="4"/>
      <c r="AA42" s="4"/>
      <c r="AB42" s="4">
        <f>$K$42*$V$42</f>
        <v>3276</v>
      </c>
      <c r="AC42" s="4">
        <f>$M$42*$W$42</f>
        <v>0</v>
      </c>
      <c r="AD42" s="4">
        <f>$O$42*$X$42</f>
        <v>0</v>
      </c>
      <c r="AE42" s="4">
        <f ca="1">$K$42*$Y$42</f>
        <v>4353.033087094992</v>
      </c>
      <c r="AF42" s="4">
        <f>$M$42*$Z$42</f>
        <v>0</v>
      </c>
      <c r="AG42" s="4">
        <f>$O$42*$AA$42</f>
        <v>0</v>
      </c>
    </row>
    <row r="43" spans="1:33" ht="11.25" customHeight="1" x14ac:dyDescent="0.25">
      <c r="A43" s="3" t="s">
        <v>21</v>
      </c>
      <c r="B43" s="3" t="s">
        <v>35</v>
      </c>
      <c r="C43" s="3" t="s">
        <v>53</v>
      </c>
      <c r="D43" s="3" t="s">
        <v>25</v>
      </c>
      <c r="E43" s="3" t="s">
        <v>25</v>
      </c>
      <c r="F43" s="3" t="s">
        <v>25</v>
      </c>
      <c r="G43" s="3" t="s">
        <v>56</v>
      </c>
      <c r="H43" s="3" t="s">
        <v>25</v>
      </c>
      <c r="I43" s="6">
        <v>44621</v>
      </c>
      <c r="J43" s="4">
        <v>1000</v>
      </c>
      <c r="K43" s="4">
        <v>500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3" t="s">
        <v>55</v>
      </c>
      <c r="R43" s="3">
        <v>28240</v>
      </c>
      <c r="S43" s="4">
        <v>25</v>
      </c>
      <c r="T43" s="4">
        <v>0</v>
      </c>
      <c r="U43" s="4">
        <v>0</v>
      </c>
      <c r="V43" s="4">
        <f>IF(ISERROR(VLOOKUP($S$43,'TAR FIN'!$A$1:$O$86,15,0)),0,VLOOKUP($S$43,'TAR FIN'!$A$1:$O$86,15,0))</f>
        <v>9.1</v>
      </c>
      <c r="W43" s="4">
        <f>IF(ISERROR(VLOOKUP($T$43,'TAR FIN'!$A$1:$O$86,15,0)),0,VLOOKUP($T$43,'TAR FIN'!$A$1:$O$86,15,0))</f>
        <v>0</v>
      </c>
      <c r="X43" s="4">
        <f>IF(ISERROR(VLOOKUP($U$43,'TAR FIN'!$A$1:$O$86,15,0)),0,VLOOKUP($U$43,'TAR FIN'!$A$1:$O$86,15,0))</f>
        <v>0</v>
      </c>
      <c r="Y43" s="4">
        <f ca="1">('TUSD BE'!$AM$9+'TUSD BF'!$AM$9+'TUSD CVA'!$AM$9)*1</f>
        <v>12.091758575263867</v>
      </c>
      <c r="Z43" s="4"/>
      <c r="AA43" s="4"/>
      <c r="AB43" s="4">
        <f>$K$43*$V$43</f>
        <v>4550</v>
      </c>
      <c r="AC43" s="4">
        <f>$M$43*$W$43</f>
        <v>0</v>
      </c>
      <c r="AD43" s="4">
        <f>$O$43*$X$43</f>
        <v>0</v>
      </c>
      <c r="AE43" s="4">
        <f ca="1">$K$43*$Y$43</f>
        <v>6045.8792876319339</v>
      </c>
      <c r="AF43" s="4">
        <f>$M$43*$Z$43</f>
        <v>0</v>
      </c>
      <c r="AG43" s="4">
        <f>$O$43*$AA$43</f>
        <v>0</v>
      </c>
    </row>
    <row r="44" spans="1:33" ht="11.25" customHeight="1" x14ac:dyDescent="0.25">
      <c r="A44" s="3" t="s">
        <v>21</v>
      </c>
      <c r="B44" s="3" t="s">
        <v>35</v>
      </c>
      <c r="C44" s="3" t="s">
        <v>53</v>
      </c>
      <c r="D44" s="3" t="s">
        <v>25</v>
      </c>
      <c r="E44" s="3" t="s">
        <v>25</v>
      </c>
      <c r="F44" s="3" t="s">
        <v>25</v>
      </c>
      <c r="G44" s="3" t="s">
        <v>54</v>
      </c>
      <c r="H44" s="3" t="s">
        <v>25</v>
      </c>
      <c r="I44" s="6">
        <v>44652</v>
      </c>
      <c r="J44" s="4">
        <v>720</v>
      </c>
      <c r="K44" s="4">
        <v>360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3" t="s">
        <v>55</v>
      </c>
      <c r="R44" s="3">
        <v>15</v>
      </c>
      <c r="S44" s="4">
        <v>25</v>
      </c>
      <c r="T44" s="4">
        <v>0</v>
      </c>
      <c r="U44" s="4">
        <v>0</v>
      </c>
      <c r="V44" s="4">
        <f>IF(ISERROR(VLOOKUP($S$44,'TAR FIN'!$A$1:$O$86,15,0)),0,VLOOKUP($S$44,'TAR FIN'!$A$1:$O$86,15,0))</f>
        <v>9.1</v>
      </c>
      <c r="W44" s="4">
        <f>IF(ISERROR(VLOOKUP($T$44,'TAR FIN'!$A$1:$O$86,15,0)),0,VLOOKUP($T$44,'TAR FIN'!$A$1:$O$86,15,0))</f>
        <v>0</v>
      </c>
      <c r="X44" s="4">
        <f>IF(ISERROR(VLOOKUP($U$44,'TAR FIN'!$A$1:$O$86,15,0)),0,VLOOKUP($U$44,'TAR FIN'!$A$1:$O$86,15,0))</f>
        <v>0</v>
      </c>
      <c r="Y44" s="4">
        <f ca="1">('TUSD BE'!$AM$9+'TUSD BF'!$AM$9+'TUSD CVA'!$AM$9)*1</f>
        <v>12.091758575263867</v>
      </c>
      <c r="Z44" s="4"/>
      <c r="AA44" s="4"/>
      <c r="AB44" s="4">
        <f>$K$44*$V$44</f>
        <v>3276</v>
      </c>
      <c r="AC44" s="4">
        <f>$M$44*$W$44</f>
        <v>0</v>
      </c>
      <c r="AD44" s="4">
        <f>$O$44*$X$44</f>
        <v>0</v>
      </c>
      <c r="AE44" s="4">
        <f ca="1">$K$44*$Y$44</f>
        <v>4353.033087094992</v>
      </c>
      <c r="AF44" s="4">
        <f>$M$44*$Z$44</f>
        <v>0</v>
      </c>
      <c r="AG44" s="4">
        <f>$O$44*$AA$44</f>
        <v>0</v>
      </c>
    </row>
    <row r="45" spans="1:33" ht="11.25" customHeight="1" x14ac:dyDescent="0.25">
      <c r="A45" s="3" t="s">
        <v>21</v>
      </c>
      <c r="B45" s="3" t="s">
        <v>35</v>
      </c>
      <c r="C45" s="3" t="s">
        <v>53</v>
      </c>
      <c r="D45" s="3" t="s">
        <v>25</v>
      </c>
      <c r="E45" s="3" t="s">
        <v>25</v>
      </c>
      <c r="F45" s="3" t="s">
        <v>25</v>
      </c>
      <c r="G45" s="3" t="s">
        <v>56</v>
      </c>
      <c r="H45" s="3" t="s">
        <v>25</v>
      </c>
      <c r="I45" s="6">
        <v>44652</v>
      </c>
      <c r="J45" s="4">
        <v>1000</v>
      </c>
      <c r="K45" s="4">
        <v>500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3" t="s">
        <v>55</v>
      </c>
      <c r="R45" s="3">
        <v>28240</v>
      </c>
      <c r="S45" s="4">
        <v>25</v>
      </c>
      <c r="T45" s="4">
        <v>0</v>
      </c>
      <c r="U45" s="4">
        <v>0</v>
      </c>
      <c r="V45" s="4">
        <f>IF(ISERROR(VLOOKUP($S$45,'TAR FIN'!$A$1:$O$86,15,0)),0,VLOOKUP($S$45,'TAR FIN'!$A$1:$O$86,15,0))</f>
        <v>9.1</v>
      </c>
      <c r="W45" s="4">
        <f>IF(ISERROR(VLOOKUP($T$45,'TAR FIN'!$A$1:$O$86,15,0)),0,VLOOKUP($T$45,'TAR FIN'!$A$1:$O$86,15,0))</f>
        <v>0</v>
      </c>
      <c r="X45" s="4">
        <f>IF(ISERROR(VLOOKUP($U$45,'TAR FIN'!$A$1:$O$86,15,0)),0,VLOOKUP($U$45,'TAR FIN'!$A$1:$O$86,15,0))</f>
        <v>0</v>
      </c>
      <c r="Y45" s="4">
        <f ca="1">('TUSD BE'!$AM$9+'TUSD BF'!$AM$9+'TUSD CVA'!$AM$9)*1</f>
        <v>12.091758575263867</v>
      </c>
      <c r="Z45" s="4"/>
      <c r="AA45" s="4"/>
      <c r="AB45" s="4">
        <f>$K$45*$V$45</f>
        <v>4550</v>
      </c>
      <c r="AC45" s="4">
        <f>$M$45*$W$45</f>
        <v>0</v>
      </c>
      <c r="AD45" s="4">
        <f>$O$45*$X$45</f>
        <v>0</v>
      </c>
      <c r="AE45" s="4">
        <f ca="1">$K$45*$Y$45</f>
        <v>6045.8792876319339</v>
      </c>
      <c r="AF45" s="4">
        <f>$M$45*$Z$45</f>
        <v>0</v>
      </c>
      <c r="AG45" s="4">
        <f>$O$45*$AA$45</f>
        <v>0</v>
      </c>
    </row>
    <row r="46" spans="1:33" ht="11.25" customHeight="1" x14ac:dyDescent="0.25">
      <c r="A46" s="3" t="s">
        <v>21</v>
      </c>
      <c r="B46" s="3" t="s">
        <v>35</v>
      </c>
      <c r="C46" s="3" t="s">
        <v>53</v>
      </c>
      <c r="D46" s="3" t="s">
        <v>25</v>
      </c>
      <c r="E46" s="3" t="s">
        <v>25</v>
      </c>
      <c r="F46" s="3" t="s">
        <v>25</v>
      </c>
      <c r="G46" s="3" t="s">
        <v>54</v>
      </c>
      <c r="H46" s="3" t="s">
        <v>25</v>
      </c>
      <c r="I46" s="6">
        <v>44682</v>
      </c>
      <c r="J46" s="4">
        <v>720</v>
      </c>
      <c r="K46" s="4">
        <v>360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3" t="s">
        <v>55</v>
      </c>
      <c r="R46" s="3">
        <v>15</v>
      </c>
      <c r="S46" s="4">
        <v>25</v>
      </c>
      <c r="T46" s="4">
        <v>0</v>
      </c>
      <c r="U46" s="4">
        <v>0</v>
      </c>
      <c r="V46" s="4">
        <f>IF(ISERROR(VLOOKUP($S$46,'TAR FIN'!$A$1:$O$86,15,0)),0,VLOOKUP($S$46,'TAR FIN'!$A$1:$O$86,15,0))</f>
        <v>9.1</v>
      </c>
      <c r="W46" s="4">
        <f>IF(ISERROR(VLOOKUP($T$46,'TAR FIN'!$A$1:$O$86,15,0)),0,VLOOKUP($T$46,'TAR FIN'!$A$1:$O$86,15,0))</f>
        <v>0</v>
      </c>
      <c r="X46" s="4">
        <f>IF(ISERROR(VLOOKUP($U$46,'TAR FIN'!$A$1:$O$86,15,0)),0,VLOOKUP($U$46,'TAR FIN'!$A$1:$O$86,15,0))</f>
        <v>0</v>
      </c>
      <c r="Y46" s="4">
        <f ca="1">('TUSD BE'!$AM$9+'TUSD BF'!$AM$9+'TUSD CVA'!$AM$9)*1</f>
        <v>12.091758575263867</v>
      </c>
      <c r="Z46" s="4"/>
      <c r="AA46" s="4"/>
      <c r="AB46" s="4">
        <f>$K$46*$V$46</f>
        <v>3276</v>
      </c>
      <c r="AC46" s="4">
        <f>$M$46*$W$46</f>
        <v>0</v>
      </c>
      <c r="AD46" s="4">
        <f>$O$46*$X$46</f>
        <v>0</v>
      </c>
      <c r="AE46" s="4">
        <f ca="1">$K$46*$Y$46</f>
        <v>4353.033087094992</v>
      </c>
      <c r="AF46" s="4">
        <f>$M$46*$Z$46</f>
        <v>0</v>
      </c>
      <c r="AG46" s="4">
        <f>$O$46*$AA$46</f>
        <v>0</v>
      </c>
    </row>
    <row r="47" spans="1:33" ht="11.25" customHeight="1" x14ac:dyDescent="0.25">
      <c r="A47" s="3" t="s">
        <v>21</v>
      </c>
      <c r="B47" s="3" t="s">
        <v>35</v>
      </c>
      <c r="C47" s="3" t="s">
        <v>53</v>
      </c>
      <c r="D47" s="3" t="s">
        <v>25</v>
      </c>
      <c r="E47" s="3" t="s">
        <v>25</v>
      </c>
      <c r="F47" s="3" t="s">
        <v>25</v>
      </c>
      <c r="G47" s="3" t="s">
        <v>56</v>
      </c>
      <c r="H47" s="3" t="s">
        <v>25</v>
      </c>
      <c r="I47" s="6">
        <v>44682</v>
      </c>
      <c r="J47" s="4">
        <v>1000</v>
      </c>
      <c r="K47" s="4">
        <v>500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3" t="s">
        <v>55</v>
      </c>
      <c r="R47" s="3">
        <v>28240</v>
      </c>
      <c r="S47" s="4">
        <v>25</v>
      </c>
      <c r="T47" s="4">
        <v>0</v>
      </c>
      <c r="U47" s="4">
        <v>0</v>
      </c>
      <c r="V47" s="4">
        <f>IF(ISERROR(VLOOKUP($S$47,'TAR FIN'!$A$1:$O$86,15,0)),0,VLOOKUP($S$47,'TAR FIN'!$A$1:$O$86,15,0))</f>
        <v>9.1</v>
      </c>
      <c r="W47" s="4">
        <f>IF(ISERROR(VLOOKUP($T$47,'TAR FIN'!$A$1:$O$86,15,0)),0,VLOOKUP($T$47,'TAR FIN'!$A$1:$O$86,15,0))</f>
        <v>0</v>
      </c>
      <c r="X47" s="4">
        <f>IF(ISERROR(VLOOKUP($U$47,'TAR FIN'!$A$1:$O$86,15,0)),0,VLOOKUP($U$47,'TAR FIN'!$A$1:$O$86,15,0))</f>
        <v>0</v>
      </c>
      <c r="Y47" s="4">
        <f ca="1">('TUSD BE'!$AM$9+'TUSD BF'!$AM$9+'TUSD CVA'!$AM$9)*1</f>
        <v>12.091758575263867</v>
      </c>
      <c r="Z47" s="4"/>
      <c r="AA47" s="4"/>
      <c r="AB47" s="4">
        <f>$K$47*$V$47</f>
        <v>4550</v>
      </c>
      <c r="AC47" s="4">
        <f>$M$47*$W$47</f>
        <v>0</v>
      </c>
      <c r="AD47" s="4">
        <f>$O$47*$X$47</f>
        <v>0</v>
      </c>
      <c r="AE47" s="4">
        <f ca="1">$K$47*$Y$47</f>
        <v>6045.8792876319339</v>
      </c>
      <c r="AF47" s="4">
        <f>$M$47*$Z$47</f>
        <v>0</v>
      </c>
      <c r="AG47" s="4">
        <f>$O$47*$AA$47</f>
        <v>0</v>
      </c>
    </row>
    <row r="48" spans="1:33" ht="11.25" customHeight="1" x14ac:dyDescent="0.25">
      <c r="A48" s="3" t="s">
        <v>21</v>
      </c>
      <c r="B48" s="3" t="s">
        <v>35</v>
      </c>
      <c r="C48" s="3" t="s">
        <v>53</v>
      </c>
      <c r="D48" s="3" t="s">
        <v>25</v>
      </c>
      <c r="E48" s="3" t="s">
        <v>25</v>
      </c>
      <c r="F48" s="3" t="s">
        <v>25</v>
      </c>
      <c r="G48" s="3" t="s">
        <v>54</v>
      </c>
      <c r="H48" s="3" t="s">
        <v>25</v>
      </c>
      <c r="I48" s="6">
        <v>44713</v>
      </c>
      <c r="J48" s="4">
        <v>720</v>
      </c>
      <c r="K48" s="4">
        <v>360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3" t="s">
        <v>55</v>
      </c>
      <c r="R48" s="3">
        <v>15</v>
      </c>
      <c r="S48" s="4">
        <v>25</v>
      </c>
      <c r="T48" s="4">
        <v>0</v>
      </c>
      <c r="U48" s="4">
        <v>0</v>
      </c>
      <c r="V48" s="4">
        <f>IF(ISERROR(VLOOKUP($S$48,'TAR FIN'!$A$1:$O$86,15,0)),0,VLOOKUP($S$48,'TAR FIN'!$A$1:$O$86,15,0))</f>
        <v>9.1</v>
      </c>
      <c r="W48" s="4">
        <f>IF(ISERROR(VLOOKUP($T$48,'TAR FIN'!$A$1:$O$86,15,0)),0,VLOOKUP($T$48,'TAR FIN'!$A$1:$O$86,15,0))</f>
        <v>0</v>
      </c>
      <c r="X48" s="4">
        <f>IF(ISERROR(VLOOKUP($U$48,'TAR FIN'!$A$1:$O$86,15,0)),0,VLOOKUP($U$48,'TAR FIN'!$A$1:$O$86,15,0))</f>
        <v>0</v>
      </c>
      <c r="Y48" s="4">
        <f ca="1">('TUSD BE'!$AM$9+'TUSD BF'!$AM$9+'TUSD CVA'!$AM$9)*1</f>
        <v>12.091758575263867</v>
      </c>
      <c r="Z48" s="4"/>
      <c r="AA48" s="4"/>
      <c r="AB48" s="4">
        <f>$K$48*$V$48</f>
        <v>3276</v>
      </c>
      <c r="AC48" s="4">
        <f>$M$48*$W$48</f>
        <v>0</v>
      </c>
      <c r="AD48" s="4">
        <f>$O$48*$X$48</f>
        <v>0</v>
      </c>
      <c r="AE48" s="4">
        <f ca="1">$K$48*$Y$48</f>
        <v>4353.033087094992</v>
      </c>
      <c r="AF48" s="4">
        <f>$M$48*$Z$48</f>
        <v>0</v>
      </c>
      <c r="AG48" s="4">
        <f>$O$48*$AA$48</f>
        <v>0</v>
      </c>
    </row>
    <row r="49" spans="1:33" ht="11.25" customHeight="1" x14ac:dyDescent="0.25">
      <c r="A49" s="3" t="s">
        <v>21</v>
      </c>
      <c r="B49" s="3" t="s">
        <v>35</v>
      </c>
      <c r="C49" s="3" t="s">
        <v>53</v>
      </c>
      <c r="D49" s="3" t="s">
        <v>25</v>
      </c>
      <c r="E49" s="3" t="s">
        <v>25</v>
      </c>
      <c r="F49" s="3" t="s">
        <v>25</v>
      </c>
      <c r="G49" s="3" t="s">
        <v>56</v>
      </c>
      <c r="H49" s="3" t="s">
        <v>25</v>
      </c>
      <c r="I49" s="6">
        <v>44713</v>
      </c>
      <c r="J49" s="4">
        <v>1000</v>
      </c>
      <c r="K49" s="4">
        <v>500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3" t="s">
        <v>55</v>
      </c>
      <c r="R49" s="3">
        <v>28240</v>
      </c>
      <c r="S49" s="4">
        <v>25</v>
      </c>
      <c r="T49" s="4">
        <v>0</v>
      </c>
      <c r="U49" s="4">
        <v>0</v>
      </c>
      <c r="V49" s="4">
        <f>IF(ISERROR(VLOOKUP($S$49,'TAR FIN'!$A$1:$O$86,15,0)),0,VLOOKUP($S$49,'TAR FIN'!$A$1:$O$86,15,0))</f>
        <v>9.1</v>
      </c>
      <c r="W49" s="4">
        <f>IF(ISERROR(VLOOKUP($T$49,'TAR FIN'!$A$1:$O$86,15,0)),0,VLOOKUP($T$49,'TAR FIN'!$A$1:$O$86,15,0))</f>
        <v>0</v>
      </c>
      <c r="X49" s="4">
        <f>IF(ISERROR(VLOOKUP($U$49,'TAR FIN'!$A$1:$O$86,15,0)),0,VLOOKUP($U$49,'TAR FIN'!$A$1:$O$86,15,0))</f>
        <v>0</v>
      </c>
      <c r="Y49" s="4">
        <f ca="1">('TUSD BE'!$AM$9+'TUSD BF'!$AM$9+'TUSD CVA'!$AM$9)*1</f>
        <v>12.091758575263867</v>
      </c>
      <c r="Z49" s="4"/>
      <c r="AA49" s="4"/>
      <c r="AB49" s="4">
        <f>$K$49*$V$49</f>
        <v>4550</v>
      </c>
      <c r="AC49" s="4">
        <f>$M$49*$W$49</f>
        <v>0</v>
      </c>
      <c r="AD49" s="4">
        <f>$O$49*$X$49</f>
        <v>0</v>
      </c>
      <c r="AE49" s="4">
        <f ca="1">$K$49*$Y$49</f>
        <v>6045.8792876319339</v>
      </c>
      <c r="AF49" s="4">
        <f>$M$49*$Z$49</f>
        <v>0</v>
      </c>
      <c r="AG49" s="4">
        <f>$O$49*$AA$49</f>
        <v>0</v>
      </c>
    </row>
    <row r="50" spans="1:33" ht="11.25" customHeight="1" x14ac:dyDescent="0.25">
      <c r="A50" s="3" t="s">
        <v>21</v>
      </c>
      <c r="B50" s="3" t="s">
        <v>35</v>
      </c>
      <c r="C50" s="3" t="s">
        <v>39</v>
      </c>
      <c r="D50" s="3" t="s">
        <v>40</v>
      </c>
      <c r="E50" s="3" t="s">
        <v>25</v>
      </c>
      <c r="F50" s="3" t="s">
        <v>25</v>
      </c>
      <c r="G50" s="3" t="s">
        <v>25</v>
      </c>
      <c r="H50" s="3" t="s">
        <v>38</v>
      </c>
      <c r="I50" s="6">
        <v>44378</v>
      </c>
      <c r="J50" s="4">
        <v>0</v>
      </c>
      <c r="K50" s="4">
        <v>0</v>
      </c>
      <c r="L50" s="4">
        <v>94.724999999999994</v>
      </c>
      <c r="M50" s="4">
        <v>94.724999999999994</v>
      </c>
      <c r="N50" s="4">
        <v>94.724999999999994</v>
      </c>
      <c r="O50" s="4">
        <v>94.724999999999994</v>
      </c>
      <c r="P50" s="4">
        <v>0</v>
      </c>
      <c r="Q50" s="3" t="s">
        <v>26</v>
      </c>
      <c r="R50" s="3">
        <v>0</v>
      </c>
      <c r="S50" s="4">
        <v>0</v>
      </c>
      <c r="T50" s="4">
        <v>3</v>
      </c>
      <c r="U50" s="4">
        <v>48</v>
      </c>
      <c r="V50" s="4">
        <f>IF(ISERROR(VLOOKUP($S$50,'TAR FIN'!$A$1:$O$86,15,0)),0,VLOOKUP($S$50,'TAR FIN'!$A$1:$O$86,15,0))</f>
        <v>0</v>
      </c>
      <c r="W50" s="4">
        <f>IF(ISERROR(VLOOKUP($T$50,'TAR FIN'!$A$1:$O$86,15,0)),0,VLOOKUP($T$50,'TAR FIN'!$A$1:$O$86,15,0))</f>
        <v>68.55</v>
      </c>
      <c r="X50" s="4">
        <f>IF(ISERROR(VLOOKUP($U$50,'TAR FIN'!$A$1:$O$86,15,0)),0,VLOOKUP($U$50,'TAR FIN'!$A$1:$O$86,15,0))</f>
        <v>211.54</v>
      </c>
      <c r="Y50" s="4"/>
      <c r="Z50" s="4">
        <f ca="1">('TUSD BE'!$AM$12+'TUSD BF'!$AM$12+'TUSD CVA'!$AM$12)*1</f>
        <v>96.693682586652571</v>
      </c>
      <c r="AA50" s="4">
        <f>('TE BE'!$AB$6+'TE BF'!$AB$6+'TE CVA'!$AB$6)*1</f>
        <v>196.56876174373542</v>
      </c>
      <c r="AB50" s="4">
        <f>$K$50*$V$50</f>
        <v>0</v>
      </c>
      <c r="AC50" s="4">
        <f>$M$50*$W$50</f>
        <v>6493.3987499999994</v>
      </c>
      <c r="AD50" s="4">
        <f>$O$50*$X$50</f>
        <v>20038.126499999998</v>
      </c>
      <c r="AE50" s="4">
        <f>$K$50*$Y$50</f>
        <v>0</v>
      </c>
      <c r="AF50" s="4">
        <f ca="1">$M$50*$Z$50</f>
        <v>9159.3090830206638</v>
      </c>
      <c r="AG50" s="4">
        <f>$O$50*$AA$50</f>
        <v>18619.975956175338</v>
      </c>
    </row>
    <row r="51" spans="1:33" ht="11.25" customHeight="1" x14ac:dyDescent="0.25">
      <c r="A51" s="3" t="s">
        <v>28</v>
      </c>
      <c r="B51" s="3" t="s">
        <v>35</v>
      </c>
      <c r="C51" s="3" t="s">
        <v>39</v>
      </c>
      <c r="D51" s="3" t="s">
        <v>40</v>
      </c>
      <c r="E51" s="3" t="s">
        <v>25</v>
      </c>
      <c r="F51" s="3" t="s">
        <v>25</v>
      </c>
      <c r="G51" s="3" t="s">
        <v>25</v>
      </c>
      <c r="H51" s="3" t="s">
        <v>38</v>
      </c>
      <c r="I51" s="6">
        <v>44378</v>
      </c>
      <c r="J51" s="4">
        <v>0</v>
      </c>
      <c r="K51" s="4">
        <v>0</v>
      </c>
      <c r="L51" s="4">
        <v>5.383</v>
      </c>
      <c r="M51" s="4">
        <v>5.383</v>
      </c>
      <c r="N51" s="4">
        <v>5.383</v>
      </c>
      <c r="O51" s="4">
        <v>5.383</v>
      </c>
      <c r="P51" s="4">
        <v>0</v>
      </c>
      <c r="Q51" s="3" t="s">
        <v>26</v>
      </c>
      <c r="R51" s="3">
        <v>0</v>
      </c>
      <c r="S51" s="4">
        <v>0</v>
      </c>
      <c r="T51" s="4">
        <v>3</v>
      </c>
      <c r="U51" s="4">
        <v>48</v>
      </c>
      <c r="V51" s="4">
        <f>IF(ISERROR(VLOOKUP($S$51,'TAR FIN'!$A$1:$O$86,15,0)),0,VLOOKUP($S$51,'TAR FIN'!$A$1:$O$86,15,0))</f>
        <v>0</v>
      </c>
      <c r="W51" s="4">
        <f>IF(ISERROR(VLOOKUP($T$51,'TAR FIN'!$A$1:$O$86,15,0)),0,VLOOKUP($T$51,'TAR FIN'!$A$1:$O$86,15,0))</f>
        <v>68.55</v>
      </c>
      <c r="X51" s="4">
        <f>IF(ISERROR(VLOOKUP($U$51,'TAR FIN'!$A$1:$O$86,15,0)),0,VLOOKUP($U$51,'TAR FIN'!$A$1:$O$86,15,0))</f>
        <v>211.54</v>
      </c>
      <c r="Y51" s="4"/>
      <c r="Z51" s="4">
        <f ca="1">('TUSD BE'!$AM$12+'TUSD BF'!$AM$12+'TUSD CVA'!$AM$12)*1</f>
        <v>96.693682586652571</v>
      </c>
      <c r="AA51" s="4">
        <f>('TE BE'!$AB$6+'TE BF'!$AB$6+'TE CVA'!$AB$6)*1</f>
        <v>196.56876174373542</v>
      </c>
      <c r="AB51" s="4">
        <f>$K$51*$V$51</f>
        <v>0</v>
      </c>
      <c r="AC51" s="4">
        <f>$M$51*$W$51</f>
        <v>369.00464999999997</v>
      </c>
      <c r="AD51" s="4">
        <f>$O$51*$X$51</f>
        <v>1138.71982</v>
      </c>
      <c r="AE51" s="4">
        <f>$K$51*$Y$51</f>
        <v>0</v>
      </c>
      <c r="AF51" s="4">
        <f ca="1">$M$51*$Z$51</f>
        <v>520.50209336395073</v>
      </c>
      <c r="AG51" s="4">
        <f>$O$51*$AA$51</f>
        <v>1058.1296444665277</v>
      </c>
    </row>
    <row r="52" spans="1:33" ht="11.25" customHeight="1" x14ac:dyDescent="0.25">
      <c r="A52" s="3" t="s">
        <v>21</v>
      </c>
      <c r="B52" s="3" t="s">
        <v>35</v>
      </c>
      <c r="C52" s="3" t="s">
        <v>39</v>
      </c>
      <c r="D52" s="3" t="s">
        <v>40</v>
      </c>
      <c r="E52" s="3" t="s">
        <v>25</v>
      </c>
      <c r="F52" s="3" t="s">
        <v>25</v>
      </c>
      <c r="G52" s="3" t="s">
        <v>25</v>
      </c>
      <c r="H52" s="3" t="s">
        <v>38</v>
      </c>
      <c r="I52" s="6">
        <v>44409</v>
      </c>
      <c r="J52" s="4">
        <v>0</v>
      </c>
      <c r="K52" s="4">
        <v>0</v>
      </c>
      <c r="L52" s="4">
        <v>86.697999999999993</v>
      </c>
      <c r="M52" s="4">
        <v>86.697999999999993</v>
      </c>
      <c r="N52" s="4">
        <v>86.697999999999993</v>
      </c>
      <c r="O52" s="4">
        <v>86.697999999999993</v>
      </c>
      <c r="P52" s="4">
        <v>0</v>
      </c>
      <c r="Q52" s="3" t="s">
        <v>26</v>
      </c>
      <c r="R52" s="3">
        <v>0</v>
      </c>
      <c r="S52" s="4">
        <v>0</v>
      </c>
      <c r="T52" s="4">
        <v>3</v>
      </c>
      <c r="U52" s="4">
        <v>48</v>
      </c>
      <c r="V52" s="4">
        <f>IF(ISERROR(VLOOKUP($S$52,'TAR FIN'!$A$1:$O$86,15,0)),0,VLOOKUP($S$52,'TAR FIN'!$A$1:$O$86,15,0))</f>
        <v>0</v>
      </c>
      <c r="W52" s="4">
        <f>IF(ISERROR(VLOOKUP($T$52,'TAR FIN'!$A$1:$O$86,15,0)),0,VLOOKUP($T$52,'TAR FIN'!$A$1:$O$86,15,0))</f>
        <v>68.55</v>
      </c>
      <c r="X52" s="4">
        <f>IF(ISERROR(VLOOKUP($U$52,'TAR FIN'!$A$1:$O$86,15,0)),0,VLOOKUP($U$52,'TAR FIN'!$A$1:$O$86,15,0))</f>
        <v>211.54</v>
      </c>
      <c r="Y52" s="4"/>
      <c r="Z52" s="4">
        <f ca="1">('TUSD BE'!$AM$12+'TUSD BF'!$AM$12+'TUSD CVA'!$AM$12)*1</f>
        <v>96.693682586652571</v>
      </c>
      <c r="AA52" s="4">
        <f>('TE BE'!$AB$6+'TE BF'!$AB$6+'TE CVA'!$AB$6)*1</f>
        <v>196.56876174373542</v>
      </c>
      <c r="AB52" s="4">
        <f>$K$52*$V$52</f>
        <v>0</v>
      </c>
      <c r="AC52" s="4">
        <f>$M$52*$W$52</f>
        <v>5943.147899999999</v>
      </c>
      <c r="AD52" s="4">
        <f>$O$52*$X$52</f>
        <v>18340.09492</v>
      </c>
      <c r="AE52" s="4">
        <f>$K$52*$Y$52</f>
        <v>0</v>
      </c>
      <c r="AF52" s="4">
        <f ca="1">$M$52*$Z$52</f>
        <v>8383.1488928976032</v>
      </c>
      <c r="AG52" s="4">
        <f>$O$52*$AA$52</f>
        <v>17042.118505658371</v>
      </c>
    </row>
    <row r="53" spans="1:33" ht="11.25" customHeight="1" x14ac:dyDescent="0.25">
      <c r="A53" s="3" t="s">
        <v>21</v>
      </c>
      <c r="B53" s="3" t="s">
        <v>35</v>
      </c>
      <c r="C53" s="3" t="s">
        <v>39</v>
      </c>
      <c r="D53" s="3" t="s">
        <v>40</v>
      </c>
      <c r="E53" s="3" t="s">
        <v>25</v>
      </c>
      <c r="F53" s="3" t="s">
        <v>25</v>
      </c>
      <c r="G53" s="3" t="s">
        <v>25</v>
      </c>
      <c r="H53" s="3" t="s">
        <v>38</v>
      </c>
      <c r="I53" s="6">
        <v>44440</v>
      </c>
      <c r="J53" s="4">
        <v>0</v>
      </c>
      <c r="K53" s="4">
        <v>0</v>
      </c>
      <c r="L53" s="4">
        <v>94.786000000000001</v>
      </c>
      <c r="M53" s="4">
        <v>94.786000000000001</v>
      </c>
      <c r="N53" s="4">
        <v>94.786000000000001</v>
      </c>
      <c r="O53" s="4">
        <v>94.786000000000001</v>
      </c>
      <c r="P53" s="4">
        <v>0</v>
      </c>
      <c r="Q53" s="3" t="s">
        <v>26</v>
      </c>
      <c r="R53" s="3">
        <v>0</v>
      </c>
      <c r="S53" s="4">
        <v>0</v>
      </c>
      <c r="T53" s="4">
        <v>3</v>
      </c>
      <c r="U53" s="4">
        <v>48</v>
      </c>
      <c r="V53" s="4">
        <f>IF(ISERROR(VLOOKUP($S$53,'TAR FIN'!$A$1:$O$86,15,0)),0,VLOOKUP($S$53,'TAR FIN'!$A$1:$O$86,15,0))</f>
        <v>0</v>
      </c>
      <c r="W53" s="4">
        <f>IF(ISERROR(VLOOKUP($T$53,'TAR FIN'!$A$1:$O$86,15,0)),0,VLOOKUP($T$53,'TAR FIN'!$A$1:$O$86,15,0))</f>
        <v>68.55</v>
      </c>
      <c r="X53" s="4">
        <f>IF(ISERROR(VLOOKUP($U$53,'TAR FIN'!$A$1:$O$86,15,0)),0,VLOOKUP($U$53,'TAR FIN'!$A$1:$O$86,15,0))</f>
        <v>211.54</v>
      </c>
      <c r="Y53" s="4"/>
      <c r="Z53" s="4">
        <f ca="1">('TUSD BE'!$AM$12+'TUSD BF'!$AM$12+'TUSD CVA'!$AM$12)*1</f>
        <v>96.693682586652571</v>
      </c>
      <c r="AA53" s="4">
        <f>('TE BE'!$AB$6+'TE BF'!$AB$6+'TE CVA'!$AB$6)*1</f>
        <v>196.56876174373542</v>
      </c>
      <c r="AB53" s="4">
        <f>$K$53*$V$53</f>
        <v>0</v>
      </c>
      <c r="AC53" s="4">
        <f>$M$53*$W$53</f>
        <v>6497.5802999999996</v>
      </c>
      <c r="AD53" s="4">
        <f>$O$53*$X$53</f>
        <v>20051.030439999999</v>
      </c>
      <c r="AE53" s="4">
        <f>$K$53*$Y$53</f>
        <v>0</v>
      </c>
      <c r="AF53" s="4">
        <f ca="1">$M$53*$Z$53</f>
        <v>9165.2073976584506</v>
      </c>
      <c r="AG53" s="4">
        <f>$O$53*$AA$53</f>
        <v>18631.966650641705</v>
      </c>
    </row>
    <row r="54" spans="1:33" ht="11.25" customHeight="1" x14ac:dyDescent="0.25">
      <c r="A54" s="3" t="s">
        <v>28</v>
      </c>
      <c r="B54" s="3" t="s">
        <v>35</v>
      </c>
      <c r="C54" s="3" t="s">
        <v>39</v>
      </c>
      <c r="D54" s="3" t="s">
        <v>40</v>
      </c>
      <c r="E54" s="3" t="s">
        <v>25</v>
      </c>
      <c r="F54" s="3" t="s">
        <v>25</v>
      </c>
      <c r="G54" s="3" t="s">
        <v>25</v>
      </c>
      <c r="H54" s="3" t="s">
        <v>38</v>
      </c>
      <c r="I54" s="6">
        <v>44440</v>
      </c>
      <c r="J54" s="4">
        <v>0</v>
      </c>
      <c r="K54" s="4">
        <v>0</v>
      </c>
      <c r="L54" s="4">
        <v>4.5970000000000004</v>
      </c>
      <c r="M54" s="4">
        <v>4.5970000000000004</v>
      </c>
      <c r="N54" s="4">
        <v>4.5970000000000004</v>
      </c>
      <c r="O54" s="4">
        <v>4.5970000000000004</v>
      </c>
      <c r="P54" s="4">
        <v>0</v>
      </c>
      <c r="Q54" s="3" t="s">
        <v>26</v>
      </c>
      <c r="R54" s="3">
        <v>0</v>
      </c>
      <c r="S54" s="4">
        <v>0</v>
      </c>
      <c r="T54" s="4">
        <v>3</v>
      </c>
      <c r="U54" s="4">
        <v>48</v>
      </c>
      <c r="V54" s="4">
        <f>IF(ISERROR(VLOOKUP($S$54,'TAR FIN'!$A$1:$O$86,15,0)),0,VLOOKUP($S$54,'TAR FIN'!$A$1:$O$86,15,0))</f>
        <v>0</v>
      </c>
      <c r="W54" s="4">
        <f>IF(ISERROR(VLOOKUP($T$54,'TAR FIN'!$A$1:$O$86,15,0)),0,VLOOKUP($T$54,'TAR FIN'!$A$1:$O$86,15,0))</f>
        <v>68.55</v>
      </c>
      <c r="X54" s="4">
        <f>IF(ISERROR(VLOOKUP($U$54,'TAR FIN'!$A$1:$O$86,15,0)),0,VLOOKUP($U$54,'TAR FIN'!$A$1:$O$86,15,0))</f>
        <v>211.54</v>
      </c>
      <c r="Y54" s="4"/>
      <c r="Z54" s="4">
        <f ca="1">('TUSD BE'!$AM$12+'TUSD BF'!$AM$12+'TUSD CVA'!$AM$12)*1</f>
        <v>96.693682586652571</v>
      </c>
      <c r="AA54" s="4">
        <f>('TE BE'!$AB$6+'TE BF'!$AB$6+'TE CVA'!$AB$6)*1</f>
        <v>196.56876174373542</v>
      </c>
      <c r="AB54" s="4">
        <f>$K$54*$V$54</f>
        <v>0</v>
      </c>
      <c r="AC54" s="4">
        <f>$M$54*$W$54</f>
        <v>315.12434999999999</v>
      </c>
      <c r="AD54" s="4">
        <f>$O$54*$X$54</f>
        <v>972.44938000000002</v>
      </c>
      <c r="AE54" s="4">
        <f>$K$54*$Y$54</f>
        <v>0</v>
      </c>
      <c r="AF54" s="4">
        <f ca="1">$M$54*$Z$54</f>
        <v>444.50085885084189</v>
      </c>
      <c r="AG54" s="4">
        <f>$O$54*$AA$54</f>
        <v>903.6265977359518</v>
      </c>
    </row>
    <row r="55" spans="1:33" ht="11.25" customHeight="1" x14ac:dyDescent="0.25">
      <c r="A55" s="3" t="s">
        <v>21</v>
      </c>
      <c r="B55" s="3" t="s">
        <v>35</v>
      </c>
      <c r="C55" s="3" t="s">
        <v>39</v>
      </c>
      <c r="D55" s="3" t="s">
        <v>40</v>
      </c>
      <c r="E55" s="3" t="s">
        <v>25</v>
      </c>
      <c r="F55" s="3" t="s">
        <v>25</v>
      </c>
      <c r="G55" s="3" t="s">
        <v>25</v>
      </c>
      <c r="H55" s="3" t="s">
        <v>38</v>
      </c>
      <c r="I55" s="6">
        <v>44470</v>
      </c>
      <c r="J55" s="4">
        <v>0</v>
      </c>
      <c r="K55" s="4">
        <v>0</v>
      </c>
      <c r="L55" s="4">
        <v>129.74700000000001</v>
      </c>
      <c r="M55" s="4">
        <v>129.74700000000001</v>
      </c>
      <c r="N55" s="4">
        <v>129.74700000000001</v>
      </c>
      <c r="O55" s="4">
        <v>129.74700000000001</v>
      </c>
      <c r="P55" s="4">
        <v>0</v>
      </c>
      <c r="Q55" s="3" t="s">
        <v>26</v>
      </c>
      <c r="R55" s="3">
        <v>0</v>
      </c>
      <c r="S55" s="4">
        <v>0</v>
      </c>
      <c r="T55" s="4">
        <v>3</v>
      </c>
      <c r="U55" s="4">
        <v>48</v>
      </c>
      <c r="V55" s="4">
        <f>IF(ISERROR(VLOOKUP($S$55,'TAR FIN'!$A$1:$O$86,15,0)),0,VLOOKUP($S$55,'TAR FIN'!$A$1:$O$86,15,0))</f>
        <v>0</v>
      </c>
      <c r="W55" s="4">
        <f>IF(ISERROR(VLOOKUP($T$55,'TAR FIN'!$A$1:$O$86,15,0)),0,VLOOKUP($T$55,'TAR FIN'!$A$1:$O$86,15,0))</f>
        <v>68.55</v>
      </c>
      <c r="X55" s="4">
        <f>IF(ISERROR(VLOOKUP($U$55,'TAR FIN'!$A$1:$O$86,15,0)),0,VLOOKUP($U$55,'TAR FIN'!$A$1:$O$86,15,0))</f>
        <v>211.54</v>
      </c>
      <c r="Y55" s="4"/>
      <c r="Z55" s="4">
        <f ca="1">('TUSD BE'!$AM$12+'TUSD BF'!$AM$12+'TUSD CVA'!$AM$12)*1</f>
        <v>96.693682586652571</v>
      </c>
      <c r="AA55" s="4">
        <f>('TE BE'!$AB$6+'TE BF'!$AB$6+'TE CVA'!$AB$6)*1</f>
        <v>196.56876174373542</v>
      </c>
      <c r="AB55" s="4">
        <f>$K$55*$V$55</f>
        <v>0</v>
      </c>
      <c r="AC55" s="4">
        <f>$M$55*$W$55</f>
        <v>8894.1568500000012</v>
      </c>
      <c r="AD55" s="4">
        <f>$O$55*$X$55</f>
        <v>27446.680380000002</v>
      </c>
      <c r="AE55" s="4">
        <f>$K$55*$Y$55</f>
        <v>0</v>
      </c>
      <c r="AF55" s="4">
        <f ca="1">$M$55*$Z$55</f>
        <v>12545.715234570413</v>
      </c>
      <c r="AG55" s="4">
        <f>$O$55*$AA$55</f>
        <v>25504.207129964441</v>
      </c>
    </row>
    <row r="56" spans="1:33" ht="11.25" customHeight="1" x14ac:dyDescent="0.25">
      <c r="A56" s="3" t="s">
        <v>28</v>
      </c>
      <c r="B56" s="3" t="s">
        <v>35</v>
      </c>
      <c r="C56" s="3" t="s">
        <v>39</v>
      </c>
      <c r="D56" s="3" t="s">
        <v>40</v>
      </c>
      <c r="E56" s="3" t="s">
        <v>25</v>
      </c>
      <c r="F56" s="3" t="s">
        <v>25</v>
      </c>
      <c r="G56" s="3" t="s">
        <v>25</v>
      </c>
      <c r="H56" s="3" t="s">
        <v>38</v>
      </c>
      <c r="I56" s="6">
        <v>44470</v>
      </c>
      <c r="J56" s="4">
        <v>0</v>
      </c>
      <c r="K56" s="4">
        <v>0</v>
      </c>
      <c r="L56" s="4">
        <v>10.166</v>
      </c>
      <c r="M56" s="4">
        <v>10.166</v>
      </c>
      <c r="N56" s="4">
        <v>10.166</v>
      </c>
      <c r="O56" s="4">
        <v>10.166</v>
      </c>
      <c r="P56" s="4">
        <v>0</v>
      </c>
      <c r="Q56" s="3" t="s">
        <v>26</v>
      </c>
      <c r="R56" s="3">
        <v>0</v>
      </c>
      <c r="S56" s="4">
        <v>0</v>
      </c>
      <c r="T56" s="4">
        <v>3</v>
      </c>
      <c r="U56" s="4">
        <v>48</v>
      </c>
      <c r="V56" s="4">
        <f>IF(ISERROR(VLOOKUP($S$56,'TAR FIN'!$A$1:$O$86,15,0)),0,VLOOKUP($S$56,'TAR FIN'!$A$1:$O$86,15,0))</f>
        <v>0</v>
      </c>
      <c r="W56" s="4">
        <f>IF(ISERROR(VLOOKUP($T$56,'TAR FIN'!$A$1:$O$86,15,0)),0,VLOOKUP($T$56,'TAR FIN'!$A$1:$O$86,15,0))</f>
        <v>68.55</v>
      </c>
      <c r="X56" s="4">
        <f>IF(ISERROR(VLOOKUP($U$56,'TAR FIN'!$A$1:$O$86,15,0)),0,VLOOKUP($U$56,'TAR FIN'!$A$1:$O$86,15,0))</f>
        <v>211.54</v>
      </c>
      <c r="Y56" s="4"/>
      <c r="Z56" s="4">
        <f ca="1">('TUSD BE'!$AM$12+'TUSD BF'!$AM$12+'TUSD CVA'!$AM$12)*1</f>
        <v>96.693682586652571</v>
      </c>
      <c r="AA56" s="4">
        <f>('TE BE'!$AB$6+'TE BF'!$AB$6+'TE CVA'!$AB$6)*1</f>
        <v>196.56876174373542</v>
      </c>
      <c r="AB56" s="4">
        <f>$K$56*$V$56</f>
        <v>0</v>
      </c>
      <c r="AC56" s="4">
        <f>$M$56*$W$56</f>
        <v>696.87929999999994</v>
      </c>
      <c r="AD56" s="4">
        <f>$O$56*$X$56</f>
        <v>2150.5156400000001</v>
      </c>
      <c r="AE56" s="4">
        <f>$K$56*$Y$56</f>
        <v>0</v>
      </c>
      <c r="AF56" s="4">
        <f ca="1">$M$56*$Z$56</f>
        <v>982.98797717591003</v>
      </c>
      <c r="AG56" s="4">
        <f>$O$56*$AA$56</f>
        <v>1998.3180318868144</v>
      </c>
    </row>
    <row r="57" spans="1:33" ht="11.25" customHeight="1" x14ac:dyDescent="0.25">
      <c r="A57" s="3" t="s">
        <v>21</v>
      </c>
      <c r="B57" s="3" t="s">
        <v>35</v>
      </c>
      <c r="C57" s="3" t="s">
        <v>39</v>
      </c>
      <c r="D57" s="3" t="s">
        <v>40</v>
      </c>
      <c r="E57" s="3" t="s">
        <v>25</v>
      </c>
      <c r="F57" s="3" t="s">
        <v>25</v>
      </c>
      <c r="G57" s="3" t="s">
        <v>25</v>
      </c>
      <c r="H57" s="3" t="s">
        <v>38</v>
      </c>
      <c r="I57" s="6">
        <v>44501</v>
      </c>
      <c r="J57" s="4">
        <v>0</v>
      </c>
      <c r="K57" s="4">
        <v>0</v>
      </c>
      <c r="L57" s="4">
        <v>178.274</v>
      </c>
      <c r="M57" s="4">
        <v>178.274</v>
      </c>
      <c r="N57" s="4">
        <v>178.274</v>
      </c>
      <c r="O57" s="4">
        <v>178.274</v>
      </c>
      <c r="P57" s="4">
        <v>0</v>
      </c>
      <c r="Q57" s="3" t="s">
        <v>26</v>
      </c>
      <c r="R57" s="3">
        <v>0</v>
      </c>
      <c r="S57" s="4">
        <v>0</v>
      </c>
      <c r="T57" s="4">
        <v>3</v>
      </c>
      <c r="U57" s="4">
        <v>48</v>
      </c>
      <c r="V57" s="4">
        <f>IF(ISERROR(VLOOKUP($S$57,'TAR FIN'!$A$1:$O$86,15,0)),0,VLOOKUP($S$57,'TAR FIN'!$A$1:$O$86,15,0))</f>
        <v>0</v>
      </c>
      <c r="W57" s="4">
        <f>IF(ISERROR(VLOOKUP($T$57,'TAR FIN'!$A$1:$O$86,15,0)),0,VLOOKUP($T$57,'TAR FIN'!$A$1:$O$86,15,0))</f>
        <v>68.55</v>
      </c>
      <c r="X57" s="4">
        <f>IF(ISERROR(VLOOKUP($U$57,'TAR FIN'!$A$1:$O$86,15,0)),0,VLOOKUP($U$57,'TAR FIN'!$A$1:$O$86,15,0))</f>
        <v>211.54</v>
      </c>
      <c r="Y57" s="4"/>
      <c r="Z57" s="4">
        <f ca="1">('TUSD BE'!$AM$12+'TUSD BF'!$AM$12+'TUSD CVA'!$AM$12)*1</f>
        <v>96.693682586652571</v>
      </c>
      <c r="AA57" s="4">
        <f>('TE BE'!$AB$6+'TE BF'!$AB$6+'TE CVA'!$AB$6)*1</f>
        <v>196.56876174373542</v>
      </c>
      <c r="AB57" s="4">
        <f>$K$57*$V$57</f>
        <v>0</v>
      </c>
      <c r="AC57" s="4">
        <f>$M$57*$W$57</f>
        <v>12220.682699999999</v>
      </c>
      <c r="AD57" s="4">
        <f>$O$57*$X$57</f>
        <v>37712.081959999996</v>
      </c>
      <c r="AE57" s="4">
        <f>$K$57*$Y$57</f>
        <v>0</v>
      </c>
      <c r="AF57" s="4">
        <f ca="1">$M$57*$Z$57</f>
        <v>17237.9695694529</v>
      </c>
      <c r="AG57" s="4">
        <f>$O$57*$AA$57</f>
        <v>35043.099431102688</v>
      </c>
    </row>
    <row r="58" spans="1:33" ht="11.25" customHeight="1" x14ac:dyDescent="0.25">
      <c r="A58" s="3" t="s">
        <v>28</v>
      </c>
      <c r="B58" s="3" t="s">
        <v>35</v>
      </c>
      <c r="C58" s="3" t="s">
        <v>39</v>
      </c>
      <c r="D58" s="3" t="s">
        <v>40</v>
      </c>
      <c r="E58" s="3" t="s">
        <v>25</v>
      </c>
      <c r="F58" s="3" t="s">
        <v>25</v>
      </c>
      <c r="G58" s="3" t="s">
        <v>25</v>
      </c>
      <c r="H58" s="3" t="s">
        <v>38</v>
      </c>
      <c r="I58" s="6">
        <v>44501</v>
      </c>
      <c r="J58" s="4">
        <v>0</v>
      </c>
      <c r="K58" s="4">
        <v>0</v>
      </c>
      <c r="L58" s="4">
        <v>19.777999999999999</v>
      </c>
      <c r="M58" s="4">
        <v>19.777999999999999</v>
      </c>
      <c r="N58" s="4">
        <v>19.777999999999999</v>
      </c>
      <c r="O58" s="4">
        <v>19.777999999999999</v>
      </c>
      <c r="P58" s="4">
        <v>0</v>
      </c>
      <c r="Q58" s="3" t="s">
        <v>26</v>
      </c>
      <c r="R58" s="3">
        <v>0</v>
      </c>
      <c r="S58" s="4">
        <v>0</v>
      </c>
      <c r="T58" s="4">
        <v>3</v>
      </c>
      <c r="U58" s="4">
        <v>48</v>
      </c>
      <c r="V58" s="4">
        <f>IF(ISERROR(VLOOKUP($S$58,'TAR FIN'!$A$1:$O$86,15,0)),0,VLOOKUP($S$58,'TAR FIN'!$A$1:$O$86,15,0))</f>
        <v>0</v>
      </c>
      <c r="W58" s="4">
        <f>IF(ISERROR(VLOOKUP($T$58,'TAR FIN'!$A$1:$O$86,15,0)),0,VLOOKUP($T$58,'TAR FIN'!$A$1:$O$86,15,0))</f>
        <v>68.55</v>
      </c>
      <c r="X58" s="4">
        <f>IF(ISERROR(VLOOKUP($U$58,'TAR FIN'!$A$1:$O$86,15,0)),0,VLOOKUP($U$58,'TAR FIN'!$A$1:$O$86,15,0))</f>
        <v>211.54</v>
      </c>
      <c r="Y58" s="4"/>
      <c r="Z58" s="4">
        <f ca="1">('TUSD BE'!$AM$12+'TUSD BF'!$AM$12+'TUSD CVA'!$AM$12)*1</f>
        <v>96.693682586652571</v>
      </c>
      <c r="AA58" s="4">
        <f>('TE BE'!$AB$6+'TE BF'!$AB$6+'TE CVA'!$AB$6)*1</f>
        <v>196.56876174373542</v>
      </c>
      <c r="AB58" s="4">
        <f>$K$58*$V$58</f>
        <v>0</v>
      </c>
      <c r="AC58" s="4">
        <f>$M$58*$W$58</f>
        <v>1355.7819</v>
      </c>
      <c r="AD58" s="4">
        <f>$O$58*$X$58</f>
        <v>4183.8381199999994</v>
      </c>
      <c r="AE58" s="4">
        <f>$K$58*$Y$58</f>
        <v>0</v>
      </c>
      <c r="AF58" s="4">
        <f ca="1">$M$58*$Z$58</f>
        <v>1912.4076541988145</v>
      </c>
      <c r="AG58" s="4">
        <f>$O$58*$AA$58</f>
        <v>3887.736969767599</v>
      </c>
    </row>
    <row r="59" spans="1:33" ht="11.25" customHeight="1" x14ac:dyDescent="0.25">
      <c r="A59" s="3" t="s">
        <v>21</v>
      </c>
      <c r="B59" s="3" t="s">
        <v>35</v>
      </c>
      <c r="C59" s="3" t="s">
        <v>39</v>
      </c>
      <c r="D59" s="3" t="s">
        <v>40</v>
      </c>
      <c r="E59" s="3" t="s">
        <v>25</v>
      </c>
      <c r="F59" s="3" t="s">
        <v>25</v>
      </c>
      <c r="G59" s="3" t="s">
        <v>25</v>
      </c>
      <c r="H59" s="3" t="s">
        <v>38</v>
      </c>
      <c r="I59" s="6">
        <v>44531</v>
      </c>
      <c r="J59" s="4">
        <v>0</v>
      </c>
      <c r="K59" s="4">
        <v>0</v>
      </c>
      <c r="L59" s="4">
        <v>142.62100000000001</v>
      </c>
      <c r="M59" s="4">
        <v>142.62100000000001</v>
      </c>
      <c r="N59" s="4">
        <v>142.62100000000001</v>
      </c>
      <c r="O59" s="4">
        <v>142.62100000000001</v>
      </c>
      <c r="P59" s="4">
        <v>0</v>
      </c>
      <c r="Q59" s="3" t="s">
        <v>26</v>
      </c>
      <c r="R59" s="3">
        <v>0</v>
      </c>
      <c r="S59" s="4">
        <v>0</v>
      </c>
      <c r="T59" s="4">
        <v>3</v>
      </c>
      <c r="U59" s="4">
        <v>48</v>
      </c>
      <c r="V59" s="4">
        <f>IF(ISERROR(VLOOKUP($S$59,'TAR FIN'!$A$1:$O$86,15,0)),0,VLOOKUP($S$59,'TAR FIN'!$A$1:$O$86,15,0))</f>
        <v>0</v>
      </c>
      <c r="W59" s="4">
        <f>IF(ISERROR(VLOOKUP($T$59,'TAR FIN'!$A$1:$O$86,15,0)),0,VLOOKUP($T$59,'TAR FIN'!$A$1:$O$86,15,0))</f>
        <v>68.55</v>
      </c>
      <c r="X59" s="4">
        <f>IF(ISERROR(VLOOKUP($U$59,'TAR FIN'!$A$1:$O$86,15,0)),0,VLOOKUP($U$59,'TAR FIN'!$A$1:$O$86,15,0))</f>
        <v>211.54</v>
      </c>
      <c r="Y59" s="4"/>
      <c r="Z59" s="4">
        <f ca="1">('TUSD BE'!$AM$12+'TUSD BF'!$AM$12+'TUSD CVA'!$AM$12)*1</f>
        <v>96.693682586652571</v>
      </c>
      <c r="AA59" s="4">
        <f>('TE BE'!$AB$6+'TE BF'!$AB$6+'TE CVA'!$AB$6)*1</f>
        <v>196.56876174373542</v>
      </c>
      <c r="AB59" s="4">
        <f>$K$59*$V$59</f>
        <v>0</v>
      </c>
      <c r="AC59" s="4">
        <f>$M$59*$W$59</f>
        <v>9776.6695500000005</v>
      </c>
      <c r="AD59" s="4">
        <f>$O$59*$X$59</f>
        <v>30170.046340000001</v>
      </c>
      <c r="AE59" s="4">
        <f>$K$59*$Y$59</f>
        <v>0</v>
      </c>
      <c r="AF59" s="4">
        <f ca="1">$M$59*$Z$59</f>
        <v>13790.549704190977</v>
      </c>
      <c r="AG59" s="4">
        <f>$O$59*$AA$59</f>
        <v>28034.83336865329</v>
      </c>
    </row>
    <row r="60" spans="1:33" ht="11.25" customHeight="1" x14ac:dyDescent="0.25">
      <c r="A60" s="3" t="s">
        <v>21</v>
      </c>
      <c r="B60" s="3" t="s">
        <v>35</v>
      </c>
      <c r="C60" s="3" t="s">
        <v>39</v>
      </c>
      <c r="D60" s="3" t="s">
        <v>40</v>
      </c>
      <c r="E60" s="3" t="s">
        <v>25</v>
      </c>
      <c r="F60" s="3" t="s">
        <v>25</v>
      </c>
      <c r="G60" s="3" t="s">
        <v>25</v>
      </c>
      <c r="H60" s="3" t="s">
        <v>38</v>
      </c>
      <c r="I60" s="6">
        <v>44562</v>
      </c>
      <c r="J60" s="4">
        <v>0</v>
      </c>
      <c r="K60" s="4">
        <v>0</v>
      </c>
      <c r="L60" s="4">
        <v>153.30799999999999</v>
      </c>
      <c r="M60" s="4">
        <v>153.30799999999999</v>
      </c>
      <c r="N60" s="4">
        <v>153.30799999999999</v>
      </c>
      <c r="O60" s="4">
        <v>153.30799999999999</v>
      </c>
      <c r="P60" s="4">
        <v>0</v>
      </c>
      <c r="Q60" s="3" t="s">
        <v>26</v>
      </c>
      <c r="R60" s="3">
        <v>0</v>
      </c>
      <c r="S60" s="4">
        <v>0</v>
      </c>
      <c r="T60" s="4">
        <v>3</v>
      </c>
      <c r="U60" s="4">
        <v>48</v>
      </c>
      <c r="V60" s="4">
        <f>IF(ISERROR(VLOOKUP($S$60,'TAR FIN'!$A$1:$O$86,15,0)),0,VLOOKUP($S$60,'TAR FIN'!$A$1:$O$86,15,0))</f>
        <v>0</v>
      </c>
      <c r="W60" s="4">
        <f>IF(ISERROR(VLOOKUP($T$60,'TAR FIN'!$A$1:$O$86,15,0)),0,VLOOKUP($T$60,'TAR FIN'!$A$1:$O$86,15,0))</f>
        <v>68.55</v>
      </c>
      <c r="X60" s="4">
        <f>IF(ISERROR(VLOOKUP($U$60,'TAR FIN'!$A$1:$O$86,15,0)),0,VLOOKUP($U$60,'TAR FIN'!$A$1:$O$86,15,0))</f>
        <v>211.54</v>
      </c>
      <c r="Y60" s="4"/>
      <c r="Z60" s="4">
        <f ca="1">('TUSD BE'!$AM$12+'TUSD BF'!$AM$12+'TUSD CVA'!$AM$12)*1</f>
        <v>96.693682586652571</v>
      </c>
      <c r="AA60" s="4">
        <f>('TE BE'!$AB$6+'TE BF'!$AB$6+'TE CVA'!$AB$6)*1</f>
        <v>196.56876174373542</v>
      </c>
      <c r="AB60" s="4">
        <f>$K$60*$V$60</f>
        <v>0</v>
      </c>
      <c r="AC60" s="4">
        <f>$M$60*$W$60</f>
        <v>10509.2634</v>
      </c>
      <c r="AD60" s="4">
        <f>$O$60*$X$60</f>
        <v>32430.774319999997</v>
      </c>
      <c r="AE60" s="4">
        <f>$K$60*$Y$60</f>
        <v>0</v>
      </c>
      <c r="AF60" s="4">
        <f ca="1">$M$60*$Z$60</f>
        <v>14823.915089994533</v>
      </c>
      <c r="AG60" s="4">
        <f>$O$60*$AA$60</f>
        <v>30135.563725408589</v>
      </c>
    </row>
    <row r="61" spans="1:33" ht="11.25" customHeight="1" x14ac:dyDescent="0.25">
      <c r="A61" s="3" t="s">
        <v>21</v>
      </c>
      <c r="B61" s="3" t="s">
        <v>35</v>
      </c>
      <c r="C61" s="3" t="s">
        <v>39</v>
      </c>
      <c r="D61" s="3" t="s">
        <v>40</v>
      </c>
      <c r="E61" s="3" t="s">
        <v>25</v>
      </c>
      <c r="F61" s="3" t="s">
        <v>25</v>
      </c>
      <c r="G61" s="3" t="s">
        <v>25</v>
      </c>
      <c r="H61" s="3" t="s">
        <v>38</v>
      </c>
      <c r="I61" s="6">
        <v>44593</v>
      </c>
      <c r="J61" s="4">
        <v>0</v>
      </c>
      <c r="K61" s="4">
        <v>0</v>
      </c>
      <c r="L61" s="4">
        <v>141.02199999999999</v>
      </c>
      <c r="M61" s="4">
        <v>141.02199999999999</v>
      </c>
      <c r="N61" s="4">
        <v>141.02199999999999</v>
      </c>
      <c r="O61" s="4">
        <v>141.02199999999999</v>
      </c>
      <c r="P61" s="4">
        <v>0</v>
      </c>
      <c r="Q61" s="3" t="s">
        <v>26</v>
      </c>
      <c r="R61" s="3">
        <v>0</v>
      </c>
      <c r="S61" s="4">
        <v>0</v>
      </c>
      <c r="T61" s="4">
        <v>3</v>
      </c>
      <c r="U61" s="4">
        <v>48</v>
      </c>
      <c r="V61" s="4">
        <f>IF(ISERROR(VLOOKUP($S$61,'TAR FIN'!$A$1:$O$86,15,0)),0,VLOOKUP($S$61,'TAR FIN'!$A$1:$O$86,15,0))</f>
        <v>0</v>
      </c>
      <c r="W61" s="4">
        <f>IF(ISERROR(VLOOKUP($T$61,'TAR FIN'!$A$1:$O$86,15,0)),0,VLOOKUP($T$61,'TAR FIN'!$A$1:$O$86,15,0))</f>
        <v>68.55</v>
      </c>
      <c r="X61" s="4">
        <f>IF(ISERROR(VLOOKUP($U$61,'TAR FIN'!$A$1:$O$86,15,0)),0,VLOOKUP($U$61,'TAR FIN'!$A$1:$O$86,15,0))</f>
        <v>211.54</v>
      </c>
      <c r="Y61" s="4"/>
      <c r="Z61" s="4">
        <f ca="1">('TUSD BE'!$AM$12+'TUSD BF'!$AM$12+'TUSD CVA'!$AM$12)*1</f>
        <v>96.693682586652571</v>
      </c>
      <c r="AA61" s="4">
        <f>('TE BE'!$AB$6+'TE BF'!$AB$6+'TE CVA'!$AB$6)*1</f>
        <v>196.56876174373542</v>
      </c>
      <c r="AB61" s="4">
        <f>$K$61*$V$61</f>
        <v>0</v>
      </c>
      <c r="AC61" s="4">
        <f>$M$61*$W$61</f>
        <v>9667.0580999999984</v>
      </c>
      <c r="AD61" s="4">
        <f>$O$61*$X$61</f>
        <v>29831.793879999997</v>
      </c>
      <c r="AE61" s="4">
        <f>$K$61*$Y$61</f>
        <v>0</v>
      </c>
      <c r="AF61" s="4">
        <f ca="1">$M$61*$Z$61</f>
        <v>13635.936505734919</v>
      </c>
      <c r="AG61" s="4">
        <f>$O$61*$AA$61</f>
        <v>27720.519918625054</v>
      </c>
    </row>
    <row r="62" spans="1:33" ht="11.25" customHeight="1" x14ac:dyDescent="0.25">
      <c r="A62" s="3" t="s">
        <v>28</v>
      </c>
      <c r="B62" s="3" t="s">
        <v>35</v>
      </c>
      <c r="C62" s="3" t="s">
        <v>39</v>
      </c>
      <c r="D62" s="3" t="s">
        <v>40</v>
      </c>
      <c r="E62" s="3" t="s">
        <v>25</v>
      </c>
      <c r="F62" s="3" t="s">
        <v>25</v>
      </c>
      <c r="G62" s="3" t="s">
        <v>25</v>
      </c>
      <c r="H62" s="3" t="s">
        <v>38</v>
      </c>
      <c r="I62" s="6">
        <v>44593</v>
      </c>
      <c r="J62" s="4">
        <v>0</v>
      </c>
      <c r="K62" s="4">
        <v>0</v>
      </c>
      <c r="L62" s="4">
        <v>9.3350000000000009</v>
      </c>
      <c r="M62" s="4">
        <v>9.3350000000000009</v>
      </c>
      <c r="N62" s="4">
        <v>9.3350000000000009</v>
      </c>
      <c r="O62" s="4">
        <v>9.3350000000000009</v>
      </c>
      <c r="P62" s="4">
        <v>0</v>
      </c>
      <c r="Q62" s="3" t="s">
        <v>26</v>
      </c>
      <c r="R62" s="3">
        <v>0</v>
      </c>
      <c r="S62" s="4">
        <v>0</v>
      </c>
      <c r="T62" s="4">
        <v>3</v>
      </c>
      <c r="U62" s="4">
        <v>48</v>
      </c>
      <c r="V62" s="4">
        <f>IF(ISERROR(VLOOKUP($S$62,'TAR FIN'!$A$1:$O$86,15,0)),0,VLOOKUP($S$62,'TAR FIN'!$A$1:$O$86,15,0))</f>
        <v>0</v>
      </c>
      <c r="W62" s="4">
        <f>IF(ISERROR(VLOOKUP($T$62,'TAR FIN'!$A$1:$O$86,15,0)),0,VLOOKUP($T$62,'TAR FIN'!$A$1:$O$86,15,0))</f>
        <v>68.55</v>
      </c>
      <c r="X62" s="4">
        <f>IF(ISERROR(VLOOKUP($U$62,'TAR FIN'!$A$1:$O$86,15,0)),0,VLOOKUP($U$62,'TAR FIN'!$A$1:$O$86,15,0))</f>
        <v>211.54</v>
      </c>
      <c r="Y62" s="4"/>
      <c r="Z62" s="4">
        <f ca="1">('TUSD BE'!$AM$12+'TUSD BF'!$AM$12+'TUSD CVA'!$AM$12)*1</f>
        <v>96.693682586652571</v>
      </c>
      <c r="AA62" s="4">
        <f>('TE BE'!$AB$6+'TE BF'!$AB$6+'TE CVA'!$AB$6)*1</f>
        <v>196.56876174373542</v>
      </c>
      <c r="AB62" s="4">
        <f>$K$62*$V$62</f>
        <v>0</v>
      </c>
      <c r="AC62" s="4">
        <f>$M$62*$W$62</f>
        <v>639.91425000000004</v>
      </c>
      <c r="AD62" s="4">
        <f>$O$62*$X$62</f>
        <v>1974.7259000000001</v>
      </c>
      <c r="AE62" s="4">
        <f>$K$62*$Y$62</f>
        <v>0</v>
      </c>
      <c r="AF62" s="4">
        <f ca="1">$M$62*$Z$62</f>
        <v>902.6355269464018</v>
      </c>
      <c r="AG62" s="4">
        <f>$O$62*$AA$62</f>
        <v>1834.9693908777704</v>
      </c>
    </row>
    <row r="63" spans="1:33" ht="11.25" customHeight="1" x14ac:dyDescent="0.25">
      <c r="A63" s="3" t="s">
        <v>21</v>
      </c>
      <c r="B63" s="3" t="s">
        <v>35</v>
      </c>
      <c r="C63" s="3" t="s">
        <v>39</v>
      </c>
      <c r="D63" s="3" t="s">
        <v>40</v>
      </c>
      <c r="E63" s="3" t="s">
        <v>25</v>
      </c>
      <c r="F63" s="3" t="s">
        <v>25</v>
      </c>
      <c r="G63" s="3" t="s">
        <v>25</v>
      </c>
      <c r="H63" s="3" t="s">
        <v>38</v>
      </c>
      <c r="I63" s="6">
        <v>44621</v>
      </c>
      <c r="J63" s="4">
        <v>0</v>
      </c>
      <c r="K63" s="4">
        <v>0</v>
      </c>
      <c r="L63" s="4">
        <v>176.18600000000001</v>
      </c>
      <c r="M63" s="4">
        <v>176.18600000000001</v>
      </c>
      <c r="N63" s="4">
        <v>176.18600000000001</v>
      </c>
      <c r="O63" s="4">
        <v>176.18600000000001</v>
      </c>
      <c r="P63" s="4">
        <v>0</v>
      </c>
      <c r="Q63" s="3" t="s">
        <v>26</v>
      </c>
      <c r="R63" s="3">
        <v>0</v>
      </c>
      <c r="S63" s="4">
        <v>0</v>
      </c>
      <c r="T63" s="4">
        <v>3</v>
      </c>
      <c r="U63" s="4">
        <v>48</v>
      </c>
      <c r="V63" s="4">
        <f>IF(ISERROR(VLOOKUP($S$63,'TAR FIN'!$A$1:$O$86,15,0)),0,VLOOKUP($S$63,'TAR FIN'!$A$1:$O$86,15,0))</f>
        <v>0</v>
      </c>
      <c r="W63" s="4">
        <f>IF(ISERROR(VLOOKUP($T$63,'TAR FIN'!$A$1:$O$86,15,0)),0,VLOOKUP($T$63,'TAR FIN'!$A$1:$O$86,15,0))</f>
        <v>68.55</v>
      </c>
      <c r="X63" s="4">
        <f>IF(ISERROR(VLOOKUP($U$63,'TAR FIN'!$A$1:$O$86,15,0)),0,VLOOKUP($U$63,'TAR FIN'!$A$1:$O$86,15,0))</f>
        <v>211.54</v>
      </c>
      <c r="Y63" s="4"/>
      <c r="Z63" s="4">
        <f ca="1">('TUSD BE'!$AM$12+'TUSD BF'!$AM$12+'TUSD CVA'!$AM$12)*1</f>
        <v>96.693682586652571</v>
      </c>
      <c r="AA63" s="4">
        <f>('TE BE'!$AB$6+'TE BF'!$AB$6+'TE CVA'!$AB$6)*1</f>
        <v>196.56876174373542</v>
      </c>
      <c r="AB63" s="4">
        <f>$K$63*$V$63</f>
        <v>0</v>
      </c>
      <c r="AC63" s="4">
        <f>$M$63*$W$63</f>
        <v>12077.550300000001</v>
      </c>
      <c r="AD63" s="4">
        <f>$O$63*$X$63</f>
        <v>37270.386440000002</v>
      </c>
      <c r="AE63" s="4">
        <f>$K$63*$Y$63</f>
        <v>0</v>
      </c>
      <c r="AF63" s="4">
        <f ca="1">$M$63*$Z$63</f>
        <v>17036.07316021197</v>
      </c>
      <c r="AG63" s="4">
        <f>$O$63*$AA$63</f>
        <v>34632.66385658177</v>
      </c>
    </row>
    <row r="64" spans="1:33" ht="11.25" customHeight="1" x14ac:dyDescent="0.25">
      <c r="A64" s="3" t="s">
        <v>28</v>
      </c>
      <c r="B64" s="3" t="s">
        <v>35</v>
      </c>
      <c r="C64" s="3" t="s">
        <v>39</v>
      </c>
      <c r="D64" s="3" t="s">
        <v>40</v>
      </c>
      <c r="E64" s="3" t="s">
        <v>25</v>
      </c>
      <c r="F64" s="3" t="s">
        <v>25</v>
      </c>
      <c r="G64" s="3" t="s">
        <v>25</v>
      </c>
      <c r="H64" s="3" t="s">
        <v>38</v>
      </c>
      <c r="I64" s="6">
        <v>44621</v>
      </c>
      <c r="J64" s="4">
        <v>0</v>
      </c>
      <c r="K64" s="4">
        <v>0</v>
      </c>
      <c r="L64" s="4">
        <v>17.908999999999999</v>
      </c>
      <c r="M64" s="4">
        <v>17.908999999999999</v>
      </c>
      <c r="N64" s="4">
        <v>17.908999999999999</v>
      </c>
      <c r="O64" s="4">
        <v>17.908999999999999</v>
      </c>
      <c r="P64" s="4">
        <v>0</v>
      </c>
      <c r="Q64" s="3" t="s">
        <v>26</v>
      </c>
      <c r="R64" s="3">
        <v>0</v>
      </c>
      <c r="S64" s="4">
        <v>0</v>
      </c>
      <c r="T64" s="4">
        <v>3</v>
      </c>
      <c r="U64" s="4">
        <v>48</v>
      </c>
      <c r="V64" s="4">
        <f>IF(ISERROR(VLOOKUP($S$64,'TAR FIN'!$A$1:$O$86,15,0)),0,VLOOKUP($S$64,'TAR FIN'!$A$1:$O$86,15,0))</f>
        <v>0</v>
      </c>
      <c r="W64" s="4">
        <f>IF(ISERROR(VLOOKUP($T$64,'TAR FIN'!$A$1:$O$86,15,0)),0,VLOOKUP($T$64,'TAR FIN'!$A$1:$O$86,15,0))</f>
        <v>68.55</v>
      </c>
      <c r="X64" s="4">
        <f>IF(ISERROR(VLOOKUP($U$64,'TAR FIN'!$A$1:$O$86,15,0)),0,VLOOKUP($U$64,'TAR FIN'!$A$1:$O$86,15,0))</f>
        <v>211.54</v>
      </c>
      <c r="Y64" s="4"/>
      <c r="Z64" s="4">
        <f ca="1">('TUSD BE'!$AM$12+'TUSD BF'!$AM$12+'TUSD CVA'!$AM$12)*1</f>
        <v>96.693682586652571</v>
      </c>
      <c r="AA64" s="4">
        <f>('TE BE'!$AB$6+'TE BF'!$AB$6+'TE CVA'!$AB$6)*1</f>
        <v>196.56876174373542</v>
      </c>
      <c r="AB64" s="4">
        <f>$K$64*$V$64</f>
        <v>0</v>
      </c>
      <c r="AC64" s="4">
        <f>$M$64*$W$64</f>
        <v>1227.6619499999999</v>
      </c>
      <c r="AD64" s="4">
        <f>$O$64*$X$64</f>
        <v>3788.4698599999997</v>
      </c>
      <c r="AE64" s="4">
        <f>$K$64*$Y$64</f>
        <v>0</v>
      </c>
      <c r="AF64" s="4">
        <f ca="1">$M$64*$Z$64</f>
        <v>1731.6871614443608</v>
      </c>
      <c r="AG64" s="4">
        <f>$O$64*$AA$64</f>
        <v>3520.3499540685575</v>
      </c>
    </row>
    <row r="65" spans="1:33" ht="11.25" customHeight="1" x14ac:dyDescent="0.25">
      <c r="A65" s="3" t="s">
        <v>21</v>
      </c>
      <c r="B65" s="3" t="s">
        <v>35</v>
      </c>
      <c r="C65" s="3" t="s">
        <v>39</v>
      </c>
      <c r="D65" s="3" t="s">
        <v>40</v>
      </c>
      <c r="E65" s="3" t="s">
        <v>25</v>
      </c>
      <c r="F65" s="3" t="s">
        <v>25</v>
      </c>
      <c r="G65" s="3" t="s">
        <v>25</v>
      </c>
      <c r="H65" s="3" t="s">
        <v>38</v>
      </c>
      <c r="I65" s="6">
        <v>44652</v>
      </c>
      <c r="J65" s="4">
        <v>0</v>
      </c>
      <c r="K65" s="4">
        <v>0</v>
      </c>
      <c r="L65" s="4">
        <v>212.08099999999999</v>
      </c>
      <c r="M65" s="4">
        <v>212.08099999999999</v>
      </c>
      <c r="N65" s="4">
        <v>212.08099999999999</v>
      </c>
      <c r="O65" s="4">
        <v>212.08099999999999</v>
      </c>
      <c r="P65" s="4">
        <v>0</v>
      </c>
      <c r="Q65" s="3" t="s">
        <v>26</v>
      </c>
      <c r="R65" s="3">
        <v>0</v>
      </c>
      <c r="S65" s="4">
        <v>0</v>
      </c>
      <c r="T65" s="4">
        <v>3</v>
      </c>
      <c r="U65" s="4">
        <v>48</v>
      </c>
      <c r="V65" s="4">
        <f>IF(ISERROR(VLOOKUP($S$65,'TAR FIN'!$A$1:$O$86,15,0)),0,VLOOKUP($S$65,'TAR FIN'!$A$1:$O$86,15,0))</f>
        <v>0</v>
      </c>
      <c r="W65" s="4">
        <f>IF(ISERROR(VLOOKUP($T$65,'TAR FIN'!$A$1:$O$86,15,0)),0,VLOOKUP($T$65,'TAR FIN'!$A$1:$O$86,15,0))</f>
        <v>68.55</v>
      </c>
      <c r="X65" s="4">
        <f>IF(ISERROR(VLOOKUP($U$65,'TAR FIN'!$A$1:$O$86,15,0)),0,VLOOKUP($U$65,'TAR FIN'!$A$1:$O$86,15,0))</f>
        <v>211.54</v>
      </c>
      <c r="Y65" s="4"/>
      <c r="Z65" s="4">
        <f ca="1">('TUSD BE'!$AM$12+'TUSD BF'!$AM$12+'TUSD CVA'!$AM$12)*1</f>
        <v>96.693682586652571</v>
      </c>
      <c r="AA65" s="4">
        <f>('TE BE'!$AB$6+'TE BF'!$AB$6+'TE CVA'!$AB$6)*1</f>
        <v>196.56876174373542</v>
      </c>
      <c r="AB65" s="4">
        <f>$K$65*$V$65</f>
        <v>0</v>
      </c>
      <c r="AC65" s="4">
        <f>$M$65*$W$65</f>
        <v>14538.152549999999</v>
      </c>
      <c r="AD65" s="4">
        <f>$O$65*$X$65</f>
        <v>44863.614739999997</v>
      </c>
      <c r="AE65" s="4">
        <f>$K$65*$Y$65</f>
        <v>0</v>
      </c>
      <c r="AF65" s="4">
        <f ca="1">$M$65*$Z$65</f>
        <v>20506.892896659861</v>
      </c>
      <c r="AG65" s="4">
        <f>$O$65*$AA$65</f>
        <v>41688.499559373151</v>
      </c>
    </row>
    <row r="66" spans="1:33" ht="11.25" customHeight="1" x14ac:dyDescent="0.25">
      <c r="A66" s="3" t="s">
        <v>28</v>
      </c>
      <c r="B66" s="3" t="s">
        <v>35</v>
      </c>
      <c r="C66" s="3" t="s">
        <v>39</v>
      </c>
      <c r="D66" s="3" t="s">
        <v>40</v>
      </c>
      <c r="E66" s="3" t="s">
        <v>25</v>
      </c>
      <c r="F66" s="3" t="s">
        <v>25</v>
      </c>
      <c r="G66" s="3" t="s">
        <v>25</v>
      </c>
      <c r="H66" s="3" t="s">
        <v>38</v>
      </c>
      <c r="I66" s="6">
        <v>44652</v>
      </c>
      <c r="J66" s="4">
        <v>0</v>
      </c>
      <c r="K66" s="4">
        <v>0</v>
      </c>
      <c r="L66" s="4">
        <v>19.885999999999999</v>
      </c>
      <c r="M66" s="4">
        <v>19.885999999999999</v>
      </c>
      <c r="N66" s="4">
        <v>19.885999999999999</v>
      </c>
      <c r="O66" s="4">
        <v>19.885999999999999</v>
      </c>
      <c r="P66" s="4">
        <v>0</v>
      </c>
      <c r="Q66" s="3" t="s">
        <v>26</v>
      </c>
      <c r="R66" s="3">
        <v>0</v>
      </c>
      <c r="S66" s="4">
        <v>0</v>
      </c>
      <c r="T66" s="4">
        <v>3</v>
      </c>
      <c r="U66" s="4">
        <v>48</v>
      </c>
      <c r="V66" s="4">
        <f>IF(ISERROR(VLOOKUP($S$66,'TAR FIN'!$A$1:$O$86,15,0)),0,VLOOKUP($S$66,'TAR FIN'!$A$1:$O$86,15,0))</f>
        <v>0</v>
      </c>
      <c r="W66" s="4">
        <f>IF(ISERROR(VLOOKUP($T$66,'TAR FIN'!$A$1:$O$86,15,0)),0,VLOOKUP($T$66,'TAR FIN'!$A$1:$O$86,15,0))</f>
        <v>68.55</v>
      </c>
      <c r="X66" s="4">
        <f>IF(ISERROR(VLOOKUP($U$66,'TAR FIN'!$A$1:$O$86,15,0)),0,VLOOKUP($U$66,'TAR FIN'!$A$1:$O$86,15,0))</f>
        <v>211.54</v>
      </c>
      <c r="Y66" s="4"/>
      <c r="Z66" s="4">
        <f ca="1">('TUSD BE'!$AM$12+'TUSD BF'!$AM$12+'TUSD CVA'!$AM$12)*1</f>
        <v>96.693682586652571</v>
      </c>
      <c r="AA66" s="4">
        <f>('TE BE'!$AB$6+'TE BF'!$AB$6+'TE CVA'!$AB$6)*1</f>
        <v>196.56876174373542</v>
      </c>
      <c r="AB66" s="4">
        <f>$K$66*$V$66</f>
        <v>0</v>
      </c>
      <c r="AC66" s="4">
        <f>$M$66*$W$66</f>
        <v>1363.1852999999999</v>
      </c>
      <c r="AD66" s="4">
        <f>$O$66*$X$66</f>
        <v>4206.68444</v>
      </c>
      <c r="AE66" s="4">
        <f>$K$66*$Y$66</f>
        <v>0</v>
      </c>
      <c r="AF66" s="4">
        <f ca="1">$M$66*$Z$66</f>
        <v>1922.850571918173</v>
      </c>
      <c r="AG66" s="4">
        <f>$O$66*$AA$66</f>
        <v>3908.9663960359226</v>
      </c>
    </row>
    <row r="67" spans="1:33" ht="11.25" customHeight="1" x14ac:dyDescent="0.25">
      <c r="A67" s="3" t="s">
        <v>21</v>
      </c>
      <c r="B67" s="3" t="s">
        <v>35</v>
      </c>
      <c r="C67" s="3" t="s">
        <v>39</v>
      </c>
      <c r="D67" s="3" t="s">
        <v>40</v>
      </c>
      <c r="E67" s="3" t="s">
        <v>25</v>
      </c>
      <c r="F67" s="3" t="s">
        <v>25</v>
      </c>
      <c r="G67" s="3" t="s">
        <v>25</v>
      </c>
      <c r="H67" s="3" t="s">
        <v>38</v>
      </c>
      <c r="I67" s="6">
        <v>44682</v>
      </c>
      <c r="J67" s="4">
        <v>0</v>
      </c>
      <c r="K67" s="4">
        <v>0</v>
      </c>
      <c r="L67" s="4">
        <v>150.52799999999999</v>
      </c>
      <c r="M67" s="4">
        <v>150.52799999999999</v>
      </c>
      <c r="N67" s="4">
        <v>150.52799999999999</v>
      </c>
      <c r="O67" s="4">
        <v>150.52799999999999</v>
      </c>
      <c r="P67" s="4">
        <v>0</v>
      </c>
      <c r="Q67" s="3" t="s">
        <v>26</v>
      </c>
      <c r="R67" s="3">
        <v>0</v>
      </c>
      <c r="S67" s="4">
        <v>0</v>
      </c>
      <c r="T67" s="4">
        <v>3</v>
      </c>
      <c r="U67" s="4">
        <v>48</v>
      </c>
      <c r="V67" s="4">
        <f>IF(ISERROR(VLOOKUP($S$67,'TAR FIN'!$A$1:$O$86,15,0)),0,VLOOKUP($S$67,'TAR FIN'!$A$1:$O$86,15,0))</f>
        <v>0</v>
      </c>
      <c r="W67" s="4">
        <f>IF(ISERROR(VLOOKUP($T$67,'TAR FIN'!$A$1:$O$86,15,0)),0,VLOOKUP($T$67,'TAR FIN'!$A$1:$O$86,15,0))</f>
        <v>68.55</v>
      </c>
      <c r="X67" s="4">
        <f>IF(ISERROR(VLOOKUP($U$67,'TAR FIN'!$A$1:$O$86,15,0)),0,VLOOKUP($U$67,'TAR FIN'!$A$1:$O$86,15,0))</f>
        <v>211.54</v>
      </c>
      <c r="Y67" s="4"/>
      <c r="Z67" s="4">
        <f ca="1">('TUSD BE'!$AM$12+'TUSD BF'!$AM$12+'TUSD CVA'!$AM$12)*1</f>
        <v>96.693682586652571</v>
      </c>
      <c r="AA67" s="4">
        <f>('TE BE'!$AB$6+'TE BF'!$AB$6+'TE CVA'!$AB$6)*1</f>
        <v>196.56876174373542</v>
      </c>
      <c r="AB67" s="4">
        <f>$K$67*$V$67</f>
        <v>0</v>
      </c>
      <c r="AC67" s="4">
        <f>$M$67*$W$67</f>
        <v>10318.694399999998</v>
      </c>
      <c r="AD67" s="4">
        <f>$O$67*$X$67</f>
        <v>31842.693119999996</v>
      </c>
      <c r="AE67" s="4">
        <f>$K$67*$Y$67</f>
        <v>0</v>
      </c>
      <c r="AF67" s="4">
        <f ca="1">$M$67*$Z$67</f>
        <v>14555.106652403638</v>
      </c>
      <c r="AG67" s="4">
        <f>$O$67*$AA$67</f>
        <v>29589.102567761005</v>
      </c>
    </row>
    <row r="68" spans="1:33" ht="11.25" customHeight="1" x14ac:dyDescent="0.25">
      <c r="A68" s="3" t="s">
        <v>28</v>
      </c>
      <c r="B68" s="3" t="s">
        <v>35</v>
      </c>
      <c r="C68" s="3" t="s">
        <v>39</v>
      </c>
      <c r="D68" s="3" t="s">
        <v>40</v>
      </c>
      <c r="E68" s="3" t="s">
        <v>25</v>
      </c>
      <c r="F68" s="3" t="s">
        <v>25</v>
      </c>
      <c r="G68" s="3" t="s">
        <v>25</v>
      </c>
      <c r="H68" s="3" t="s">
        <v>38</v>
      </c>
      <c r="I68" s="6">
        <v>44682</v>
      </c>
      <c r="J68" s="4">
        <v>0</v>
      </c>
      <c r="K68" s="4">
        <v>0</v>
      </c>
      <c r="L68" s="4">
        <v>20.957000000000001</v>
      </c>
      <c r="M68" s="4">
        <v>20.957000000000001</v>
      </c>
      <c r="N68" s="4">
        <v>20.957000000000001</v>
      </c>
      <c r="O68" s="4">
        <v>20.957000000000001</v>
      </c>
      <c r="P68" s="4">
        <v>0</v>
      </c>
      <c r="Q68" s="3" t="s">
        <v>26</v>
      </c>
      <c r="R68" s="3">
        <v>0</v>
      </c>
      <c r="S68" s="4">
        <v>0</v>
      </c>
      <c r="T68" s="4">
        <v>3</v>
      </c>
      <c r="U68" s="4">
        <v>48</v>
      </c>
      <c r="V68" s="4">
        <f>IF(ISERROR(VLOOKUP($S$68,'TAR FIN'!$A$1:$O$86,15,0)),0,VLOOKUP($S$68,'TAR FIN'!$A$1:$O$86,15,0))</f>
        <v>0</v>
      </c>
      <c r="W68" s="4">
        <f>IF(ISERROR(VLOOKUP($T$68,'TAR FIN'!$A$1:$O$86,15,0)),0,VLOOKUP($T$68,'TAR FIN'!$A$1:$O$86,15,0))</f>
        <v>68.55</v>
      </c>
      <c r="X68" s="4">
        <f>IF(ISERROR(VLOOKUP($U$68,'TAR FIN'!$A$1:$O$86,15,0)),0,VLOOKUP($U$68,'TAR FIN'!$A$1:$O$86,15,0))</f>
        <v>211.54</v>
      </c>
      <c r="Y68" s="4"/>
      <c r="Z68" s="4">
        <f ca="1">('TUSD BE'!$AM$12+'TUSD BF'!$AM$12+'TUSD CVA'!$AM$12)*1</f>
        <v>96.693682586652571</v>
      </c>
      <c r="AA68" s="4">
        <f>('TE BE'!$AB$6+'TE BF'!$AB$6+'TE CVA'!$AB$6)*1</f>
        <v>196.56876174373542</v>
      </c>
      <c r="AB68" s="4">
        <f>$K$68*$V$68</f>
        <v>0</v>
      </c>
      <c r="AC68" s="4">
        <f>$M$68*$W$68</f>
        <v>1436.6023499999999</v>
      </c>
      <c r="AD68" s="4">
        <f>$O$68*$X$68</f>
        <v>4433.2437799999998</v>
      </c>
      <c r="AE68" s="4">
        <f>$K$68*$Y$68</f>
        <v>0</v>
      </c>
      <c r="AF68" s="4">
        <f ca="1">$M$68*$Z$68</f>
        <v>2026.409505968478</v>
      </c>
      <c r="AG68" s="4">
        <f>$O$68*$AA$68</f>
        <v>4119.491539863463</v>
      </c>
    </row>
    <row r="69" spans="1:33" ht="11.25" customHeight="1" x14ac:dyDescent="0.25">
      <c r="A69" s="3" t="s">
        <v>21</v>
      </c>
      <c r="B69" s="3" t="s">
        <v>35</v>
      </c>
      <c r="C69" s="3" t="s">
        <v>39</v>
      </c>
      <c r="D69" s="3" t="s">
        <v>40</v>
      </c>
      <c r="E69" s="3" t="s">
        <v>25</v>
      </c>
      <c r="F69" s="3" t="s">
        <v>25</v>
      </c>
      <c r="G69" s="3" t="s">
        <v>25</v>
      </c>
      <c r="H69" s="3" t="s">
        <v>38</v>
      </c>
      <c r="I69" s="6">
        <v>44713</v>
      </c>
      <c r="J69" s="4">
        <v>0</v>
      </c>
      <c r="K69" s="4">
        <v>0</v>
      </c>
      <c r="L69" s="4">
        <v>113.307</v>
      </c>
      <c r="M69" s="4">
        <v>113.307</v>
      </c>
      <c r="N69" s="4">
        <v>113.307</v>
      </c>
      <c r="O69" s="4">
        <v>113.307</v>
      </c>
      <c r="P69" s="4">
        <v>0</v>
      </c>
      <c r="Q69" s="3" t="s">
        <v>26</v>
      </c>
      <c r="R69" s="3">
        <v>0</v>
      </c>
      <c r="S69" s="4">
        <v>0</v>
      </c>
      <c r="T69" s="4">
        <v>3</v>
      </c>
      <c r="U69" s="4">
        <v>48</v>
      </c>
      <c r="V69" s="4">
        <f>IF(ISERROR(VLOOKUP($S$69,'TAR FIN'!$A$1:$O$86,15,0)),0,VLOOKUP($S$69,'TAR FIN'!$A$1:$O$86,15,0))</f>
        <v>0</v>
      </c>
      <c r="W69" s="4">
        <f>IF(ISERROR(VLOOKUP($T$69,'TAR FIN'!$A$1:$O$86,15,0)),0,VLOOKUP($T$69,'TAR FIN'!$A$1:$O$86,15,0))</f>
        <v>68.55</v>
      </c>
      <c r="X69" s="4">
        <f>IF(ISERROR(VLOOKUP($U$69,'TAR FIN'!$A$1:$O$86,15,0)),0,VLOOKUP($U$69,'TAR FIN'!$A$1:$O$86,15,0))</f>
        <v>211.54</v>
      </c>
      <c r="Y69" s="4"/>
      <c r="Z69" s="4">
        <f ca="1">('TUSD BE'!$AM$12+'TUSD BF'!$AM$12+'TUSD CVA'!$AM$12)*1</f>
        <v>96.693682586652571</v>
      </c>
      <c r="AA69" s="4">
        <f>('TE BE'!$AB$6+'TE BF'!$AB$6+'TE CVA'!$AB$6)*1</f>
        <v>196.56876174373542</v>
      </c>
      <c r="AB69" s="4">
        <f>$K$69*$V$69</f>
        <v>0</v>
      </c>
      <c r="AC69" s="4">
        <f>$M$69*$W$69</f>
        <v>7767.1948499999999</v>
      </c>
      <c r="AD69" s="4">
        <f>$O$69*$X$69</f>
        <v>23968.962779999998</v>
      </c>
      <c r="AE69" s="4">
        <f>$K$69*$Y$69</f>
        <v>0</v>
      </c>
      <c r="AF69" s="4">
        <f ca="1">$M$69*$Z$69</f>
        <v>10956.071092845843</v>
      </c>
      <c r="AG69" s="4">
        <f>$O$69*$AA$69</f>
        <v>22272.616686897429</v>
      </c>
    </row>
    <row r="70" spans="1:33" ht="11.25" customHeight="1" x14ac:dyDescent="0.25">
      <c r="A70" s="3" t="s">
        <v>28</v>
      </c>
      <c r="B70" s="3" t="s">
        <v>35</v>
      </c>
      <c r="C70" s="3" t="s">
        <v>39</v>
      </c>
      <c r="D70" s="3" t="s">
        <v>40</v>
      </c>
      <c r="E70" s="3" t="s">
        <v>25</v>
      </c>
      <c r="F70" s="3" t="s">
        <v>25</v>
      </c>
      <c r="G70" s="3" t="s">
        <v>25</v>
      </c>
      <c r="H70" s="3" t="s">
        <v>38</v>
      </c>
      <c r="I70" s="6">
        <v>44713</v>
      </c>
      <c r="J70" s="4">
        <v>0</v>
      </c>
      <c r="K70" s="4">
        <v>0</v>
      </c>
      <c r="L70" s="4">
        <v>2.9060000000000001</v>
      </c>
      <c r="M70" s="4">
        <v>2.9060000000000001</v>
      </c>
      <c r="N70" s="4">
        <v>2.9060000000000001</v>
      </c>
      <c r="O70" s="4">
        <v>2.9060000000000001</v>
      </c>
      <c r="P70" s="4">
        <v>0</v>
      </c>
      <c r="Q70" s="3" t="s">
        <v>26</v>
      </c>
      <c r="R70" s="3">
        <v>0</v>
      </c>
      <c r="S70" s="4">
        <v>0</v>
      </c>
      <c r="T70" s="4">
        <v>3</v>
      </c>
      <c r="U70" s="4">
        <v>48</v>
      </c>
      <c r="V70" s="4">
        <f>IF(ISERROR(VLOOKUP($S$70,'TAR FIN'!$A$1:$O$86,15,0)),0,VLOOKUP($S$70,'TAR FIN'!$A$1:$O$86,15,0))</f>
        <v>0</v>
      </c>
      <c r="W70" s="4">
        <f>IF(ISERROR(VLOOKUP($T$70,'TAR FIN'!$A$1:$O$86,15,0)),0,VLOOKUP($T$70,'TAR FIN'!$A$1:$O$86,15,0))</f>
        <v>68.55</v>
      </c>
      <c r="X70" s="4">
        <f>IF(ISERROR(VLOOKUP($U$70,'TAR FIN'!$A$1:$O$86,15,0)),0,VLOOKUP($U$70,'TAR FIN'!$A$1:$O$86,15,0))</f>
        <v>211.54</v>
      </c>
      <c r="Y70" s="4"/>
      <c r="Z70" s="4">
        <f ca="1">('TUSD BE'!$AM$12+'TUSD BF'!$AM$12+'TUSD CVA'!$AM$12)*1</f>
        <v>96.693682586652571</v>
      </c>
      <c r="AA70" s="4">
        <f>('TE BE'!$AB$6+'TE BF'!$AB$6+'TE CVA'!$AB$6)*1</f>
        <v>196.56876174373542</v>
      </c>
      <c r="AB70" s="4">
        <f>$K$70*$V$70</f>
        <v>0</v>
      </c>
      <c r="AC70" s="4">
        <f>$M$70*$W$70</f>
        <v>199.2063</v>
      </c>
      <c r="AD70" s="4">
        <f>$O$70*$X$70</f>
        <v>614.73523999999998</v>
      </c>
      <c r="AE70" s="4">
        <f>$K$70*$Y$70</f>
        <v>0</v>
      </c>
      <c r="AF70" s="4">
        <f ca="1">$M$70*$Z$70</f>
        <v>280.99184159681238</v>
      </c>
      <c r="AG70" s="4">
        <f>$O$70*$AA$70</f>
        <v>571.22882162729513</v>
      </c>
    </row>
    <row r="71" spans="1:33" ht="11.25" customHeight="1" x14ac:dyDescent="0.25">
      <c r="A71" s="3" t="s">
        <v>21</v>
      </c>
      <c r="B71" s="3" t="s">
        <v>35</v>
      </c>
      <c r="C71" s="3" t="s">
        <v>39</v>
      </c>
      <c r="D71" s="3" t="s">
        <v>40</v>
      </c>
      <c r="E71" s="3" t="s">
        <v>25</v>
      </c>
      <c r="F71" s="3" t="s">
        <v>25</v>
      </c>
      <c r="G71" s="3" t="s">
        <v>25</v>
      </c>
      <c r="H71" s="3" t="s">
        <v>25</v>
      </c>
      <c r="I71" s="6">
        <v>44378</v>
      </c>
      <c r="J71" s="4">
        <v>808</v>
      </c>
      <c r="K71" s="4">
        <v>808</v>
      </c>
      <c r="L71" s="4">
        <v>0</v>
      </c>
      <c r="M71" s="4">
        <v>0</v>
      </c>
      <c r="N71" s="4">
        <v>0</v>
      </c>
      <c r="O71" s="4">
        <v>0</v>
      </c>
      <c r="P71" s="4">
        <v>8</v>
      </c>
      <c r="Q71" s="3" t="s">
        <v>26</v>
      </c>
      <c r="R71" s="3">
        <v>0</v>
      </c>
      <c r="S71" s="4">
        <v>31</v>
      </c>
      <c r="T71" s="4">
        <v>0</v>
      </c>
      <c r="U71" s="4">
        <v>0</v>
      </c>
      <c r="V71" s="4">
        <f>IF(ISERROR(VLOOKUP($S$71,'TAR FIN'!$A$1:$O$86,15,0)),0,VLOOKUP($S$71,'TAR FIN'!$A$1:$O$86,15,0))</f>
        <v>38.520000000000003</v>
      </c>
      <c r="W71" s="4">
        <f>IF(ISERROR(VLOOKUP($T$71,'TAR FIN'!$A$1:$O$86,15,0)),0,VLOOKUP($T$71,'TAR FIN'!$A$1:$O$86,15,0))</f>
        <v>0</v>
      </c>
      <c r="X71" s="4">
        <f>IF(ISERROR(VLOOKUP($U$71,'TAR FIN'!$A$1:$O$86,15,0)),0,VLOOKUP($U$71,'TAR FIN'!$A$1:$O$86,15,0))</f>
        <v>0</v>
      </c>
      <c r="Y71" s="4">
        <f ca="1">('TUSD BE'!$AM$10+'TUSD BF'!$AM$10+'TUSD CVA'!$AM$10)*1</f>
        <v>44.255213546385811</v>
      </c>
      <c r="Z71" s="4"/>
      <c r="AA71" s="4"/>
      <c r="AB71" s="4">
        <f>$K$71*$V$71</f>
        <v>31124.160000000003</v>
      </c>
      <c r="AC71" s="4">
        <f>$M$71*$W$71</f>
        <v>0</v>
      </c>
      <c r="AD71" s="4">
        <f>$O$71*$X$71</f>
        <v>0</v>
      </c>
      <c r="AE71" s="4">
        <f ca="1">$K$71*$Y$71</f>
        <v>35758.212545479735</v>
      </c>
      <c r="AF71" s="4">
        <f>$M$71*$Z$71</f>
        <v>0</v>
      </c>
      <c r="AG71" s="4">
        <f>$O$71*$AA$71</f>
        <v>0</v>
      </c>
    </row>
    <row r="72" spans="1:33" ht="11.25" customHeight="1" x14ac:dyDescent="0.25">
      <c r="A72" s="3" t="s">
        <v>28</v>
      </c>
      <c r="B72" s="3" t="s">
        <v>35</v>
      </c>
      <c r="C72" s="3" t="s">
        <v>39</v>
      </c>
      <c r="D72" s="3" t="s">
        <v>40</v>
      </c>
      <c r="E72" s="3" t="s">
        <v>25</v>
      </c>
      <c r="F72" s="3" t="s">
        <v>25</v>
      </c>
      <c r="G72" s="3" t="s">
        <v>25</v>
      </c>
      <c r="H72" s="3" t="s">
        <v>25</v>
      </c>
      <c r="I72" s="6">
        <v>44378</v>
      </c>
      <c r="J72" s="4">
        <v>140</v>
      </c>
      <c r="K72" s="4">
        <v>140</v>
      </c>
      <c r="L72" s="4">
        <v>0</v>
      </c>
      <c r="M72" s="4">
        <v>0</v>
      </c>
      <c r="N72" s="4">
        <v>0</v>
      </c>
      <c r="O72" s="4">
        <v>0</v>
      </c>
      <c r="P72" s="4">
        <v>1</v>
      </c>
      <c r="Q72" s="3" t="s">
        <v>26</v>
      </c>
      <c r="R72" s="3">
        <v>0</v>
      </c>
      <c r="S72" s="4">
        <v>31</v>
      </c>
      <c r="T72" s="4">
        <v>0</v>
      </c>
      <c r="U72" s="4">
        <v>0</v>
      </c>
      <c r="V72" s="4">
        <f>IF(ISERROR(VLOOKUP($S$72,'TAR FIN'!$A$1:$O$86,15,0)),0,VLOOKUP($S$72,'TAR FIN'!$A$1:$O$86,15,0))</f>
        <v>38.520000000000003</v>
      </c>
      <c r="W72" s="4">
        <f>IF(ISERROR(VLOOKUP($T$72,'TAR FIN'!$A$1:$O$86,15,0)),0,VLOOKUP($T$72,'TAR FIN'!$A$1:$O$86,15,0))</f>
        <v>0</v>
      </c>
      <c r="X72" s="4">
        <f>IF(ISERROR(VLOOKUP($U$72,'TAR FIN'!$A$1:$O$86,15,0)),0,VLOOKUP($U$72,'TAR FIN'!$A$1:$O$86,15,0))</f>
        <v>0</v>
      </c>
      <c r="Y72" s="4">
        <f ca="1">('TUSD BE'!$AM$10+'TUSD BF'!$AM$10+'TUSD CVA'!$AM$10)*1</f>
        <v>44.255213546385811</v>
      </c>
      <c r="Z72" s="4"/>
      <c r="AA72" s="4"/>
      <c r="AB72" s="4">
        <f>$K$72*$V$72</f>
        <v>5392.8</v>
      </c>
      <c r="AC72" s="4">
        <f>$M$72*$W$72</f>
        <v>0</v>
      </c>
      <c r="AD72" s="4">
        <f>$O$72*$X$72</f>
        <v>0</v>
      </c>
      <c r="AE72" s="4">
        <f ca="1">$K$72*$Y$72</f>
        <v>6195.7298964940137</v>
      </c>
      <c r="AF72" s="4">
        <f>$M$72*$Z$72</f>
        <v>0</v>
      </c>
      <c r="AG72" s="4">
        <f>$O$72*$AA$72</f>
        <v>0</v>
      </c>
    </row>
    <row r="73" spans="1:33" ht="11.25" customHeight="1" x14ac:dyDescent="0.25">
      <c r="A73" s="3" t="s">
        <v>21</v>
      </c>
      <c r="B73" s="3" t="s">
        <v>35</v>
      </c>
      <c r="C73" s="3" t="s">
        <v>39</v>
      </c>
      <c r="D73" s="3" t="s">
        <v>40</v>
      </c>
      <c r="E73" s="3" t="s">
        <v>25</v>
      </c>
      <c r="F73" s="3" t="s">
        <v>25</v>
      </c>
      <c r="G73" s="3" t="s">
        <v>25</v>
      </c>
      <c r="H73" s="3" t="s">
        <v>25</v>
      </c>
      <c r="I73" s="6">
        <v>44409</v>
      </c>
      <c r="J73" s="4">
        <v>752</v>
      </c>
      <c r="K73" s="4">
        <v>752</v>
      </c>
      <c r="L73" s="4">
        <v>0</v>
      </c>
      <c r="M73" s="4">
        <v>0</v>
      </c>
      <c r="N73" s="4">
        <v>0</v>
      </c>
      <c r="O73" s="4">
        <v>0</v>
      </c>
      <c r="P73" s="4">
        <v>8</v>
      </c>
      <c r="Q73" s="3" t="s">
        <v>26</v>
      </c>
      <c r="R73" s="3">
        <v>0</v>
      </c>
      <c r="S73" s="4">
        <v>31</v>
      </c>
      <c r="T73" s="4">
        <v>0</v>
      </c>
      <c r="U73" s="4">
        <v>0</v>
      </c>
      <c r="V73" s="4">
        <f>IF(ISERROR(VLOOKUP($S$73,'TAR FIN'!$A$1:$O$86,15,0)),0,VLOOKUP($S$73,'TAR FIN'!$A$1:$O$86,15,0))</f>
        <v>38.520000000000003</v>
      </c>
      <c r="W73" s="4">
        <f>IF(ISERROR(VLOOKUP($T$73,'TAR FIN'!$A$1:$O$86,15,0)),0,VLOOKUP($T$73,'TAR FIN'!$A$1:$O$86,15,0))</f>
        <v>0</v>
      </c>
      <c r="X73" s="4">
        <f>IF(ISERROR(VLOOKUP($U$73,'TAR FIN'!$A$1:$O$86,15,0)),0,VLOOKUP($U$73,'TAR FIN'!$A$1:$O$86,15,0))</f>
        <v>0</v>
      </c>
      <c r="Y73" s="4">
        <f ca="1">('TUSD BE'!$AM$10+'TUSD BF'!$AM$10+'TUSD CVA'!$AM$10)*1</f>
        <v>44.255213546385811</v>
      </c>
      <c r="Z73" s="4"/>
      <c r="AA73" s="4"/>
      <c r="AB73" s="4">
        <f>$K$73*$V$73</f>
        <v>28967.040000000001</v>
      </c>
      <c r="AC73" s="4">
        <f>$M$73*$W$73</f>
        <v>0</v>
      </c>
      <c r="AD73" s="4">
        <f>$O$73*$X$73</f>
        <v>0</v>
      </c>
      <c r="AE73" s="4">
        <f ca="1">$K$73*$Y$73</f>
        <v>33279.92058688213</v>
      </c>
      <c r="AF73" s="4">
        <f>$M$73*$Z$73</f>
        <v>0</v>
      </c>
      <c r="AG73" s="4">
        <f>$O$73*$AA$73</f>
        <v>0</v>
      </c>
    </row>
    <row r="74" spans="1:33" ht="11.25" customHeight="1" x14ac:dyDescent="0.25">
      <c r="A74" s="3" t="s">
        <v>21</v>
      </c>
      <c r="B74" s="3" t="s">
        <v>35</v>
      </c>
      <c r="C74" s="3" t="s">
        <v>39</v>
      </c>
      <c r="D74" s="3" t="s">
        <v>40</v>
      </c>
      <c r="E74" s="3" t="s">
        <v>25</v>
      </c>
      <c r="F74" s="3" t="s">
        <v>25</v>
      </c>
      <c r="G74" s="3" t="s">
        <v>25</v>
      </c>
      <c r="H74" s="3" t="s">
        <v>25</v>
      </c>
      <c r="I74" s="6">
        <v>44440</v>
      </c>
      <c r="J74" s="4">
        <v>811</v>
      </c>
      <c r="K74" s="4">
        <v>811</v>
      </c>
      <c r="L74" s="4">
        <v>0</v>
      </c>
      <c r="M74" s="4">
        <v>0</v>
      </c>
      <c r="N74" s="4">
        <v>0</v>
      </c>
      <c r="O74" s="4">
        <v>0</v>
      </c>
      <c r="P74" s="4">
        <v>8</v>
      </c>
      <c r="Q74" s="3" t="s">
        <v>26</v>
      </c>
      <c r="R74" s="3">
        <v>0</v>
      </c>
      <c r="S74" s="4">
        <v>31</v>
      </c>
      <c r="T74" s="4">
        <v>0</v>
      </c>
      <c r="U74" s="4">
        <v>0</v>
      </c>
      <c r="V74" s="4">
        <f>IF(ISERROR(VLOOKUP($S$74,'TAR FIN'!$A$1:$O$86,15,0)),0,VLOOKUP($S$74,'TAR FIN'!$A$1:$O$86,15,0))</f>
        <v>38.520000000000003</v>
      </c>
      <c r="W74" s="4">
        <f>IF(ISERROR(VLOOKUP($T$74,'TAR FIN'!$A$1:$O$86,15,0)),0,VLOOKUP($T$74,'TAR FIN'!$A$1:$O$86,15,0))</f>
        <v>0</v>
      </c>
      <c r="X74" s="4">
        <f>IF(ISERROR(VLOOKUP($U$74,'TAR FIN'!$A$1:$O$86,15,0)),0,VLOOKUP($U$74,'TAR FIN'!$A$1:$O$86,15,0))</f>
        <v>0</v>
      </c>
      <c r="Y74" s="4">
        <f ca="1">('TUSD BE'!$AM$10+'TUSD BF'!$AM$10+'TUSD CVA'!$AM$10)*1</f>
        <v>44.255213546385811</v>
      </c>
      <c r="Z74" s="4"/>
      <c r="AA74" s="4"/>
      <c r="AB74" s="4">
        <f>$K$74*$V$74</f>
        <v>31239.72</v>
      </c>
      <c r="AC74" s="4">
        <f>$M$74*$W$74</f>
        <v>0</v>
      </c>
      <c r="AD74" s="4">
        <f>$O$74*$X$74</f>
        <v>0</v>
      </c>
      <c r="AE74" s="4">
        <f ca="1">$K$74*$Y$74</f>
        <v>35890.978186118889</v>
      </c>
      <c r="AF74" s="4">
        <f>$M$74*$Z$74</f>
        <v>0</v>
      </c>
      <c r="AG74" s="4">
        <f>$O$74*$AA$74</f>
        <v>0</v>
      </c>
    </row>
    <row r="75" spans="1:33" ht="11.25" customHeight="1" x14ac:dyDescent="0.25">
      <c r="A75" s="3" t="s">
        <v>28</v>
      </c>
      <c r="B75" s="3" t="s">
        <v>35</v>
      </c>
      <c r="C75" s="3" t="s">
        <v>39</v>
      </c>
      <c r="D75" s="3" t="s">
        <v>40</v>
      </c>
      <c r="E75" s="3" t="s">
        <v>25</v>
      </c>
      <c r="F75" s="3" t="s">
        <v>25</v>
      </c>
      <c r="G75" s="3" t="s">
        <v>25</v>
      </c>
      <c r="H75" s="3" t="s">
        <v>25</v>
      </c>
      <c r="I75" s="6">
        <v>44440</v>
      </c>
      <c r="J75" s="4">
        <v>140</v>
      </c>
      <c r="K75" s="4">
        <v>140</v>
      </c>
      <c r="L75" s="4">
        <v>0</v>
      </c>
      <c r="M75" s="4">
        <v>0</v>
      </c>
      <c r="N75" s="4">
        <v>0</v>
      </c>
      <c r="O75" s="4">
        <v>0</v>
      </c>
      <c r="P75" s="4">
        <v>1</v>
      </c>
      <c r="Q75" s="3" t="s">
        <v>26</v>
      </c>
      <c r="R75" s="3">
        <v>0</v>
      </c>
      <c r="S75" s="4">
        <v>31</v>
      </c>
      <c r="T75" s="4">
        <v>0</v>
      </c>
      <c r="U75" s="4">
        <v>0</v>
      </c>
      <c r="V75" s="4">
        <f>IF(ISERROR(VLOOKUP($S$75,'TAR FIN'!$A$1:$O$86,15,0)),0,VLOOKUP($S$75,'TAR FIN'!$A$1:$O$86,15,0))</f>
        <v>38.520000000000003</v>
      </c>
      <c r="W75" s="4">
        <f>IF(ISERROR(VLOOKUP($T$75,'TAR FIN'!$A$1:$O$86,15,0)),0,VLOOKUP($T$75,'TAR FIN'!$A$1:$O$86,15,0))</f>
        <v>0</v>
      </c>
      <c r="X75" s="4">
        <f>IF(ISERROR(VLOOKUP($U$75,'TAR FIN'!$A$1:$O$86,15,0)),0,VLOOKUP($U$75,'TAR FIN'!$A$1:$O$86,15,0))</f>
        <v>0</v>
      </c>
      <c r="Y75" s="4">
        <f ca="1">('TUSD BE'!$AM$10+'TUSD BF'!$AM$10+'TUSD CVA'!$AM$10)*1</f>
        <v>44.255213546385811</v>
      </c>
      <c r="Z75" s="4"/>
      <c r="AA75" s="4"/>
      <c r="AB75" s="4">
        <f>$K$75*$V$75</f>
        <v>5392.8</v>
      </c>
      <c r="AC75" s="4">
        <f>$M$75*$W$75</f>
        <v>0</v>
      </c>
      <c r="AD75" s="4">
        <f>$O$75*$X$75</f>
        <v>0</v>
      </c>
      <c r="AE75" s="4">
        <f ca="1">$K$75*$Y$75</f>
        <v>6195.7298964940137</v>
      </c>
      <c r="AF75" s="4">
        <f>$M$75*$Z$75</f>
        <v>0</v>
      </c>
      <c r="AG75" s="4">
        <f>$O$75*$AA$75</f>
        <v>0</v>
      </c>
    </row>
    <row r="76" spans="1:33" ht="11.25" customHeight="1" x14ac:dyDescent="0.25">
      <c r="A76" s="3" t="s">
        <v>21</v>
      </c>
      <c r="B76" s="3" t="s">
        <v>35</v>
      </c>
      <c r="C76" s="3" t="s">
        <v>39</v>
      </c>
      <c r="D76" s="3" t="s">
        <v>40</v>
      </c>
      <c r="E76" s="3" t="s">
        <v>25</v>
      </c>
      <c r="F76" s="3" t="s">
        <v>25</v>
      </c>
      <c r="G76" s="3" t="s">
        <v>25</v>
      </c>
      <c r="H76" s="3" t="s">
        <v>25</v>
      </c>
      <c r="I76" s="6">
        <v>44470</v>
      </c>
      <c r="J76" s="4">
        <v>923</v>
      </c>
      <c r="K76" s="4">
        <v>923</v>
      </c>
      <c r="L76" s="4">
        <v>0</v>
      </c>
      <c r="M76" s="4">
        <v>0</v>
      </c>
      <c r="N76" s="4">
        <v>0</v>
      </c>
      <c r="O76" s="4">
        <v>0</v>
      </c>
      <c r="P76" s="4">
        <v>8</v>
      </c>
      <c r="Q76" s="3" t="s">
        <v>26</v>
      </c>
      <c r="R76" s="3">
        <v>0</v>
      </c>
      <c r="S76" s="4">
        <v>31</v>
      </c>
      <c r="T76" s="4">
        <v>0</v>
      </c>
      <c r="U76" s="4">
        <v>0</v>
      </c>
      <c r="V76" s="4">
        <f>IF(ISERROR(VLOOKUP($S$76,'TAR FIN'!$A$1:$O$86,15,0)),0,VLOOKUP($S$76,'TAR FIN'!$A$1:$O$86,15,0))</f>
        <v>38.520000000000003</v>
      </c>
      <c r="W76" s="4">
        <f>IF(ISERROR(VLOOKUP($T$76,'TAR FIN'!$A$1:$O$86,15,0)),0,VLOOKUP($T$76,'TAR FIN'!$A$1:$O$86,15,0))</f>
        <v>0</v>
      </c>
      <c r="X76" s="4">
        <f>IF(ISERROR(VLOOKUP($U$76,'TAR FIN'!$A$1:$O$86,15,0)),0,VLOOKUP($U$76,'TAR FIN'!$A$1:$O$86,15,0))</f>
        <v>0</v>
      </c>
      <c r="Y76" s="4">
        <f ca="1">('TUSD BE'!$AM$10+'TUSD BF'!$AM$10+'TUSD CVA'!$AM$10)*1</f>
        <v>44.255213546385811</v>
      </c>
      <c r="Z76" s="4"/>
      <c r="AA76" s="4"/>
      <c r="AB76" s="4">
        <f>$K$76*$V$76</f>
        <v>35553.960000000006</v>
      </c>
      <c r="AC76" s="4">
        <f>$M$76*$W$76</f>
        <v>0</v>
      </c>
      <c r="AD76" s="4">
        <f>$O$76*$X$76</f>
        <v>0</v>
      </c>
      <c r="AE76" s="4">
        <f ca="1">$K$76*$Y$76</f>
        <v>40847.562103314107</v>
      </c>
      <c r="AF76" s="4">
        <f>$M$76*$Z$76</f>
        <v>0</v>
      </c>
      <c r="AG76" s="4">
        <f>$O$76*$AA$76</f>
        <v>0</v>
      </c>
    </row>
    <row r="77" spans="1:33" ht="11.25" customHeight="1" x14ac:dyDescent="0.25">
      <c r="A77" s="3" t="s">
        <v>28</v>
      </c>
      <c r="B77" s="3" t="s">
        <v>35</v>
      </c>
      <c r="C77" s="3" t="s">
        <v>39</v>
      </c>
      <c r="D77" s="3" t="s">
        <v>40</v>
      </c>
      <c r="E77" s="3" t="s">
        <v>25</v>
      </c>
      <c r="F77" s="3" t="s">
        <v>25</v>
      </c>
      <c r="G77" s="3" t="s">
        <v>25</v>
      </c>
      <c r="H77" s="3" t="s">
        <v>25</v>
      </c>
      <c r="I77" s="6">
        <v>44470</v>
      </c>
      <c r="J77" s="4">
        <v>140</v>
      </c>
      <c r="K77" s="4">
        <v>140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3" t="s">
        <v>26</v>
      </c>
      <c r="R77" s="3">
        <v>0</v>
      </c>
      <c r="S77" s="4">
        <v>31</v>
      </c>
      <c r="T77" s="4">
        <v>0</v>
      </c>
      <c r="U77" s="4">
        <v>0</v>
      </c>
      <c r="V77" s="4">
        <f>IF(ISERROR(VLOOKUP($S$77,'TAR FIN'!$A$1:$O$86,15,0)),0,VLOOKUP($S$77,'TAR FIN'!$A$1:$O$86,15,0))</f>
        <v>38.520000000000003</v>
      </c>
      <c r="W77" s="4">
        <f>IF(ISERROR(VLOOKUP($T$77,'TAR FIN'!$A$1:$O$86,15,0)),0,VLOOKUP($T$77,'TAR FIN'!$A$1:$O$86,15,0))</f>
        <v>0</v>
      </c>
      <c r="X77" s="4">
        <f>IF(ISERROR(VLOOKUP($U$77,'TAR FIN'!$A$1:$O$86,15,0)),0,VLOOKUP($U$77,'TAR FIN'!$A$1:$O$86,15,0))</f>
        <v>0</v>
      </c>
      <c r="Y77" s="4">
        <f ca="1">('TUSD BE'!$AM$10+'TUSD BF'!$AM$10+'TUSD CVA'!$AM$10)*1</f>
        <v>44.255213546385811</v>
      </c>
      <c r="Z77" s="4"/>
      <c r="AA77" s="4"/>
      <c r="AB77" s="4">
        <f>$K$77*$V$77</f>
        <v>5392.8</v>
      </c>
      <c r="AC77" s="4">
        <f>$M$77*$W$77</f>
        <v>0</v>
      </c>
      <c r="AD77" s="4">
        <f>$O$77*$X$77</f>
        <v>0</v>
      </c>
      <c r="AE77" s="4">
        <f ca="1">$K$77*$Y$77</f>
        <v>6195.7298964940137</v>
      </c>
      <c r="AF77" s="4">
        <f>$M$77*$Z$77</f>
        <v>0</v>
      </c>
      <c r="AG77" s="4">
        <f>$O$77*$AA$77</f>
        <v>0</v>
      </c>
    </row>
    <row r="78" spans="1:33" ht="11.25" customHeight="1" x14ac:dyDescent="0.25">
      <c r="A78" s="3" t="s">
        <v>21</v>
      </c>
      <c r="B78" s="3" t="s">
        <v>35</v>
      </c>
      <c r="C78" s="3" t="s">
        <v>39</v>
      </c>
      <c r="D78" s="3" t="s">
        <v>40</v>
      </c>
      <c r="E78" s="3" t="s">
        <v>25</v>
      </c>
      <c r="F78" s="3" t="s">
        <v>25</v>
      </c>
      <c r="G78" s="3" t="s">
        <v>25</v>
      </c>
      <c r="H78" s="3" t="s">
        <v>25</v>
      </c>
      <c r="I78" s="6">
        <v>44501</v>
      </c>
      <c r="J78" s="4">
        <v>1051</v>
      </c>
      <c r="K78" s="4">
        <v>1051</v>
      </c>
      <c r="L78" s="4">
        <v>0</v>
      </c>
      <c r="M78" s="4">
        <v>0</v>
      </c>
      <c r="N78" s="4">
        <v>0</v>
      </c>
      <c r="O78" s="4">
        <v>0</v>
      </c>
      <c r="P78" s="4">
        <v>8</v>
      </c>
      <c r="Q78" s="3" t="s">
        <v>26</v>
      </c>
      <c r="R78" s="3">
        <v>0</v>
      </c>
      <c r="S78" s="4">
        <v>31</v>
      </c>
      <c r="T78" s="4">
        <v>0</v>
      </c>
      <c r="U78" s="4">
        <v>0</v>
      </c>
      <c r="V78" s="4">
        <f>IF(ISERROR(VLOOKUP($S$78,'TAR FIN'!$A$1:$O$86,15,0)),0,VLOOKUP($S$78,'TAR FIN'!$A$1:$O$86,15,0))</f>
        <v>38.520000000000003</v>
      </c>
      <c r="W78" s="4">
        <f>IF(ISERROR(VLOOKUP($T$78,'TAR FIN'!$A$1:$O$86,15,0)),0,VLOOKUP($T$78,'TAR FIN'!$A$1:$O$86,15,0))</f>
        <v>0</v>
      </c>
      <c r="X78" s="4">
        <f>IF(ISERROR(VLOOKUP($U$78,'TAR FIN'!$A$1:$O$86,15,0)),0,VLOOKUP($U$78,'TAR FIN'!$A$1:$O$86,15,0))</f>
        <v>0</v>
      </c>
      <c r="Y78" s="4">
        <f ca="1">('TUSD BE'!$AM$10+'TUSD BF'!$AM$10+'TUSD CVA'!$AM$10)*1</f>
        <v>44.255213546385811</v>
      </c>
      <c r="Z78" s="4"/>
      <c r="AA78" s="4"/>
      <c r="AB78" s="4">
        <f>$K$78*$V$78</f>
        <v>40484.520000000004</v>
      </c>
      <c r="AC78" s="4">
        <f>$M$78*$W$78</f>
        <v>0</v>
      </c>
      <c r="AD78" s="4">
        <f>$O$78*$X$78</f>
        <v>0</v>
      </c>
      <c r="AE78" s="4">
        <f ca="1">$K$78*$Y$78</f>
        <v>46512.229437251488</v>
      </c>
      <c r="AF78" s="4">
        <f>$M$78*$Z$78</f>
        <v>0</v>
      </c>
      <c r="AG78" s="4">
        <f>$O$78*$AA$78</f>
        <v>0</v>
      </c>
    </row>
    <row r="79" spans="1:33" ht="11.25" customHeight="1" x14ac:dyDescent="0.25">
      <c r="A79" s="3" t="s">
        <v>28</v>
      </c>
      <c r="B79" s="3" t="s">
        <v>35</v>
      </c>
      <c r="C79" s="3" t="s">
        <v>39</v>
      </c>
      <c r="D79" s="3" t="s">
        <v>40</v>
      </c>
      <c r="E79" s="3" t="s">
        <v>25</v>
      </c>
      <c r="F79" s="3" t="s">
        <v>25</v>
      </c>
      <c r="G79" s="3" t="s">
        <v>25</v>
      </c>
      <c r="H79" s="3" t="s">
        <v>25</v>
      </c>
      <c r="I79" s="6">
        <v>44501</v>
      </c>
      <c r="J79" s="4">
        <v>140</v>
      </c>
      <c r="K79" s="4">
        <v>140</v>
      </c>
      <c r="L79" s="4">
        <v>0</v>
      </c>
      <c r="M79" s="4">
        <v>0</v>
      </c>
      <c r="N79" s="4">
        <v>0</v>
      </c>
      <c r="O79" s="4">
        <v>0</v>
      </c>
      <c r="P79" s="4">
        <v>1</v>
      </c>
      <c r="Q79" s="3" t="s">
        <v>26</v>
      </c>
      <c r="R79" s="3">
        <v>0</v>
      </c>
      <c r="S79" s="4">
        <v>31</v>
      </c>
      <c r="T79" s="4">
        <v>0</v>
      </c>
      <c r="U79" s="4">
        <v>0</v>
      </c>
      <c r="V79" s="4">
        <f>IF(ISERROR(VLOOKUP($S$79,'TAR FIN'!$A$1:$O$86,15,0)),0,VLOOKUP($S$79,'TAR FIN'!$A$1:$O$86,15,0))</f>
        <v>38.520000000000003</v>
      </c>
      <c r="W79" s="4">
        <f>IF(ISERROR(VLOOKUP($T$79,'TAR FIN'!$A$1:$O$86,15,0)),0,VLOOKUP($T$79,'TAR FIN'!$A$1:$O$86,15,0))</f>
        <v>0</v>
      </c>
      <c r="X79" s="4">
        <f>IF(ISERROR(VLOOKUP($U$79,'TAR FIN'!$A$1:$O$86,15,0)),0,VLOOKUP($U$79,'TAR FIN'!$A$1:$O$86,15,0))</f>
        <v>0</v>
      </c>
      <c r="Y79" s="4">
        <f ca="1">('TUSD BE'!$AM$10+'TUSD BF'!$AM$10+'TUSD CVA'!$AM$10)*1</f>
        <v>44.255213546385811</v>
      </c>
      <c r="Z79" s="4"/>
      <c r="AA79" s="4"/>
      <c r="AB79" s="4">
        <f>$K$79*$V$79</f>
        <v>5392.8</v>
      </c>
      <c r="AC79" s="4">
        <f>$M$79*$W$79</f>
        <v>0</v>
      </c>
      <c r="AD79" s="4">
        <f>$O$79*$X$79</f>
        <v>0</v>
      </c>
      <c r="AE79" s="4">
        <f ca="1">$K$79*$Y$79</f>
        <v>6195.7298964940137</v>
      </c>
      <c r="AF79" s="4">
        <f>$M$79*$Z$79</f>
        <v>0</v>
      </c>
      <c r="AG79" s="4">
        <f>$O$79*$AA$79</f>
        <v>0</v>
      </c>
    </row>
    <row r="80" spans="1:33" ht="11.25" customHeight="1" x14ac:dyDescent="0.25">
      <c r="A80" s="3" t="s">
        <v>21</v>
      </c>
      <c r="B80" s="3" t="s">
        <v>35</v>
      </c>
      <c r="C80" s="3" t="s">
        <v>39</v>
      </c>
      <c r="D80" s="3" t="s">
        <v>40</v>
      </c>
      <c r="E80" s="3" t="s">
        <v>25</v>
      </c>
      <c r="F80" s="3" t="s">
        <v>25</v>
      </c>
      <c r="G80" s="3" t="s">
        <v>25</v>
      </c>
      <c r="H80" s="3" t="s">
        <v>25</v>
      </c>
      <c r="I80" s="6">
        <v>44531</v>
      </c>
      <c r="J80" s="4">
        <v>895</v>
      </c>
      <c r="K80" s="4">
        <v>895</v>
      </c>
      <c r="L80" s="4">
        <v>0</v>
      </c>
      <c r="M80" s="4">
        <v>0</v>
      </c>
      <c r="N80" s="4">
        <v>0</v>
      </c>
      <c r="O80" s="4">
        <v>0</v>
      </c>
      <c r="P80" s="4">
        <v>8</v>
      </c>
      <c r="Q80" s="3" t="s">
        <v>26</v>
      </c>
      <c r="R80" s="3">
        <v>0</v>
      </c>
      <c r="S80" s="4">
        <v>31</v>
      </c>
      <c r="T80" s="4">
        <v>0</v>
      </c>
      <c r="U80" s="4">
        <v>0</v>
      </c>
      <c r="V80" s="4">
        <f>IF(ISERROR(VLOOKUP($S$80,'TAR FIN'!$A$1:$O$86,15,0)),0,VLOOKUP($S$80,'TAR FIN'!$A$1:$O$86,15,0))</f>
        <v>38.520000000000003</v>
      </c>
      <c r="W80" s="4">
        <f>IF(ISERROR(VLOOKUP($T$80,'TAR FIN'!$A$1:$O$86,15,0)),0,VLOOKUP($T$80,'TAR FIN'!$A$1:$O$86,15,0))</f>
        <v>0</v>
      </c>
      <c r="X80" s="4">
        <f>IF(ISERROR(VLOOKUP($U$80,'TAR FIN'!$A$1:$O$86,15,0)),0,VLOOKUP($U$80,'TAR FIN'!$A$1:$O$86,15,0))</f>
        <v>0</v>
      </c>
      <c r="Y80" s="4">
        <f ca="1">('TUSD BE'!$AM$10+'TUSD BF'!$AM$10+'TUSD CVA'!$AM$10)*1</f>
        <v>44.255213546385811</v>
      </c>
      <c r="Z80" s="4"/>
      <c r="AA80" s="4"/>
      <c r="AB80" s="4">
        <f>$K$80*$V$80</f>
        <v>34475.4</v>
      </c>
      <c r="AC80" s="4">
        <f>$M$80*$W$80</f>
        <v>0</v>
      </c>
      <c r="AD80" s="4">
        <f>$O$80*$X$80</f>
        <v>0</v>
      </c>
      <c r="AE80" s="4">
        <f ca="1">$K$80*$Y$80</f>
        <v>39608.416124015297</v>
      </c>
      <c r="AF80" s="4">
        <f>$M$80*$Z$80</f>
        <v>0</v>
      </c>
      <c r="AG80" s="4">
        <f>$O$80*$AA$80</f>
        <v>0</v>
      </c>
    </row>
    <row r="81" spans="1:33" ht="11.25" customHeight="1" x14ac:dyDescent="0.25">
      <c r="A81" s="3" t="s">
        <v>28</v>
      </c>
      <c r="B81" s="3" t="s">
        <v>35</v>
      </c>
      <c r="C81" s="3" t="s">
        <v>39</v>
      </c>
      <c r="D81" s="3" t="s">
        <v>40</v>
      </c>
      <c r="E81" s="3" t="s">
        <v>25</v>
      </c>
      <c r="F81" s="3" t="s">
        <v>25</v>
      </c>
      <c r="G81" s="3" t="s">
        <v>25</v>
      </c>
      <c r="H81" s="3" t="s">
        <v>25</v>
      </c>
      <c r="I81" s="6">
        <v>44531</v>
      </c>
      <c r="J81" s="4">
        <v>140</v>
      </c>
      <c r="K81" s="4">
        <v>140</v>
      </c>
      <c r="L81" s="4">
        <v>0</v>
      </c>
      <c r="M81" s="4">
        <v>0</v>
      </c>
      <c r="N81" s="4">
        <v>0</v>
      </c>
      <c r="O81" s="4">
        <v>0</v>
      </c>
      <c r="P81" s="4">
        <v>1</v>
      </c>
      <c r="Q81" s="3" t="s">
        <v>26</v>
      </c>
      <c r="R81" s="3">
        <v>0</v>
      </c>
      <c r="S81" s="4">
        <v>31</v>
      </c>
      <c r="T81" s="4">
        <v>0</v>
      </c>
      <c r="U81" s="4">
        <v>0</v>
      </c>
      <c r="V81" s="4">
        <f>IF(ISERROR(VLOOKUP($S$81,'TAR FIN'!$A$1:$O$86,15,0)),0,VLOOKUP($S$81,'TAR FIN'!$A$1:$O$86,15,0))</f>
        <v>38.520000000000003</v>
      </c>
      <c r="W81" s="4">
        <f>IF(ISERROR(VLOOKUP($T$81,'TAR FIN'!$A$1:$O$86,15,0)),0,VLOOKUP($T$81,'TAR FIN'!$A$1:$O$86,15,0))</f>
        <v>0</v>
      </c>
      <c r="X81" s="4">
        <f>IF(ISERROR(VLOOKUP($U$81,'TAR FIN'!$A$1:$O$86,15,0)),0,VLOOKUP($U$81,'TAR FIN'!$A$1:$O$86,15,0))</f>
        <v>0</v>
      </c>
      <c r="Y81" s="4">
        <f ca="1">('TUSD BE'!$AM$10+'TUSD BF'!$AM$10+'TUSD CVA'!$AM$10)*1</f>
        <v>44.255213546385811</v>
      </c>
      <c r="Z81" s="4"/>
      <c r="AA81" s="4"/>
      <c r="AB81" s="4">
        <f>$K$81*$V$81</f>
        <v>5392.8</v>
      </c>
      <c r="AC81" s="4">
        <f>$M$81*$W$81</f>
        <v>0</v>
      </c>
      <c r="AD81" s="4">
        <f>$O$81*$X$81</f>
        <v>0</v>
      </c>
      <c r="AE81" s="4">
        <f ca="1">$K$81*$Y$81</f>
        <v>6195.7298964940137</v>
      </c>
      <c r="AF81" s="4">
        <f>$M$81*$Z$81</f>
        <v>0</v>
      </c>
      <c r="AG81" s="4">
        <f>$O$81*$AA$81</f>
        <v>0</v>
      </c>
    </row>
    <row r="82" spans="1:33" ht="11.25" customHeight="1" x14ac:dyDescent="0.25">
      <c r="A82" s="3" t="s">
        <v>21</v>
      </c>
      <c r="B82" s="3" t="s">
        <v>35</v>
      </c>
      <c r="C82" s="3" t="s">
        <v>39</v>
      </c>
      <c r="D82" s="3" t="s">
        <v>40</v>
      </c>
      <c r="E82" s="3" t="s">
        <v>25</v>
      </c>
      <c r="F82" s="3" t="s">
        <v>25</v>
      </c>
      <c r="G82" s="3" t="s">
        <v>25</v>
      </c>
      <c r="H82" s="3" t="s">
        <v>25</v>
      </c>
      <c r="I82" s="6">
        <v>44562</v>
      </c>
      <c r="J82" s="4">
        <v>963</v>
      </c>
      <c r="K82" s="4">
        <v>963</v>
      </c>
      <c r="L82" s="4">
        <v>0</v>
      </c>
      <c r="M82" s="4">
        <v>0</v>
      </c>
      <c r="N82" s="4">
        <v>0</v>
      </c>
      <c r="O82" s="4">
        <v>0</v>
      </c>
      <c r="P82" s="4">
        <v>8</v>
      </c>
      <c r="Q82" s="3" t="s">
        <v>26</v>
      </c>
      <c r="R82" s="3">
        <v>0</v>
      </c>
      <c r="S82" s="4">
        <v>31</v>
      </c>
      <c r="T82" s="4">
        <v>0</v>
      </c>
      <c r="U82" s="4">
        <v>0</v>
      </c>
      <c r="V82" s="4">
        <f>IF(ISERROR(VLOOKUP($S$82,'TAR FIN'!$A$1:$O$86,15,0)),0,VLOOKUP($S$82,'TAR FIN'!$A$1:$O$86,15,0))</f>
        <v>38.520000000000003</v>
      </c>
      <c r="W82" s="4">
        <f>IF(ISERROR(VLOOKUP($T$82,'TAR FIN'!$A$1:$O$86,15,0)),0,VLOOKUP($T$82,'TAR FIN'!$A$1:$O$86,15,0))</f>
        <v>0</v>
      </c>
      <c r="X82" s="4">
        <f>IF(ISERROR(VLOOKUP($U$82,'TAR FIN'!$A$1:$O$86,15,0)),0,VLOOKUP($U$82,'TAR FIN'!$A$1:$O$86,15,0))</f>
        <v>0</v>
      </c>
      <c r="Y82" s="4">
        <f ca="1">('TUSD BE'!$AM$10+'TUSD BF'!$AM$10+'TUSD CVA'!$AM$10)*1</f>
        <v>44.255213546385811</v>
      </c>
      <c r="Z82" s="4"/>
      <c r="AA82" s="4"/>
      <c r="AB82" s="4">
        <f>$K$82*$V$82</f>
        <v>37094.76</v>
      </c>
      <c r="AC82" s="4">
        <f>$M$82*$W$82</f>
        <v>0</v>
      </c>
      <c r="AD82" s="4">
        <f>$O$82*$X$82</f>
        <v>0</v>
      </c>
      <c r="AE82" s="4">
        <f ca="1">$K$82*$Y$82</f>
        <v>42617.770645169534</v>
      </c>
      <c r="AF82" s="4">
        <f>$M$82*$Z$82</f>
        <v>0</v>
      </c>
      <c r="AG82" s="4">
        <f>$O$82*$AA$82</f>
        <v>0</v>
      </c>
    </row>
    <row r="83" spans="1:33" ht="11.25" customHeight="1" x14ac:dyDescent="0.25">
      <c r="A83" s="3" t="s">
        <v>28</v>
      </c>
      <c r="B83" s="3" t="s">
        <v>35</v>
      </c>
      <c r="C83" s="3" t="s">
        <v>39</v>
      </c>
      <c r="D83" s="3" t="s">
        <v>40</v>
      </c>
      <c r="E83" s="3" t="s">
        <v>25</v>
      </c>
      <c r="F83" s="3" t="s">
        <v>25</v>
      </c>
      <c r="G83" s="3" t="s">
        <v>25</v>
      </c>
      <c r="H83" s="3" t="s">
        <v>25</v>
      </c>
      <c r="I83" s="6">
        <v>44562</v>
      </c>
      <c r="J83" s="4">
        <v>140</v>
      </c>
      <c r="K83" s="4">
        <v>140</v>
      </c>
      <c r="L83" s="4">
        <v>0</v>
      </c>
      <c r="M83" s="4">
        <v>0</v>
      </c>
      <c r="N83" s="4">
        <v>0</v>
      </c>
      <c r="O83" s="4">
        <v>0</v>
      </c>
      <c r="P83" s="4">
        <v>1</v>
      </c>
      <c r="Q83" s="3" t="s">
        <v>26</v>
      </c>
      <c r="R83" s="3">
        <v>0</v>
      </c>
      <c r="S83" s="4">
        <v>31</v>
      </c>
      <c r="T83" s="4">
        <v>0</v>
      </c>
      <c r="U83" s="4">
        <v>0</v>
      </c>
      <c r="V83" s="4">
        <f>IF(ISERROR(VLOOKUP($S$83,'TAR FIN'!$A$1:$O$86,15,0)),0,VLOOKUP($S$83,'TAR FIN'!$A$1:$O$86,15,0))</f>
        <v>38.520000000000003</v>
      </c>
      <c r="W83" s="4">
        <f>IF(ISERROR(VLOOKUP($T$83,'TAR FIN'!$A$1:$O$86,15,0)),0,VLOOKUP($T$83,'TAR FIN'!$A$1:$O$86,15,0))</f>
        <v>0</v>
      </c>
      <c r="X83" s="4">
        <f>IF(ISERROR(VLOOKUP($U$83,'TAR FIN'!$A$1:$O$86,15,0)),0,VLOOKUP($U$83,'TAR FIN'!$A$1:$O$86,15,0))</f>
        <v>0</v>
      </c>
      <c r="Y83" s="4">
        <f ca="1">('TUSD BE'!$AM$10+'TUSD BF'!$AM$10+'TUSD CVA'!$AM$10)*1</f>
        <v>44.255213546385811</v>
      </c>
      <c r="Z83" s="4"/>
      <c r="AA83" s="4"/>
      <c r="AB83" s="4">
        <f>$K$83*$V$83</f>
        <v>5392.8</v>
      </c>
      <c r="AC83" s="4">
        <f>$M$83*$W$83</f>
        <v>0</v>
      </c>
      <c r="AD83" s="4">
        <f>$O$83*$X$83</f>
        <v>0</v>
      </c>
      <c r="AE83" s="4">
        <f ca="1">$K$83*$Y$83</f>
        <v>6195.7298964940137</v>
      </c>
      <c r="AF83" s="4">
        <f>$M$83*$Z$83</f>
        <v>0</v>
      </c>
      <c r="AG83" s="4">
        <f>$O$83*$AA$83</f>
        <v>0</v>
      </c>
    </row>
    <row r="84" spans="1:33" ht="11.25" customHeight="1" x14ac:dyDescent="0.25">
      <c r="A84" s="3" t="s">
        <v>21</v>
      </c>
      <c r="B84" s="3" t="s">
        <v>35</v>
      </c>
      <c r="C84" s="3" t="s">
        <v>39</v>
      </c>
      <c r="D84" s="3" t="s">
        <v>40</v>
      </c>
      <c r="E84" s="3" t="s">
        <v>25</v>
      </c>
      <c r="F84" s="3" t="s">
        <v>25</v>
      </c>
      <c r="G84" s="3" t="s">
        <v>25</v>
      </c>
      <c r="H84" s="3" t="s">
        <v>25</v>
      </c>
      <c r="I84" s="6">
        <v>44593</v>
      </c>
      <c r="J84" s="4">
        <v>992</v>
      </c>
      <c r="K84" s="4">
        <v>992</v>
      </c>
      <c r="L84" s="4">
        <v>0</v>
      </c>
      <c r="M84" s="4">
        <v>0</v>
      </c>
      <c r="N84" s="4">
        <v>0</v>
      </c>
      <c r="O84" s="4">
        <v>0</v>
      </c>
      <c r="P84" s="4">
        <v>8</v>
      </c>
      <c r="Q84" s="3" t="s">
        <v>26</v>
      </c>
      <c r="R84" s="3">
        <v>0</v>
      </c>
      <c r="S84" s="4">
        <v>31</v>
      </c>
      <c r="T84" s="4">
        <v>0</v>
      </c>
      <c r="U84" s="4">
        <v>0</v>
      </c>
      <c r="V84" s="4">
        <f>IF(ISERROR(VLOOKUP($S$84,'TAR FIN'!$A$1:$O$86,15,0)),0,VLOOKUP($S$84,'TAR FIN'!$A$1:$O$86,15,0))</f>
        <v>38.520000000000003</v>
      </c>
      <c r="W84" s="4">
        <f>IF(ISERROR(VLOOKUP($T$84,'TAR FIN'!$A$1:$O$86,15,0)),0,VLOOKUP($T$84,'TAR FIN'!$A$1:$O$86,15,0))</f>
        <v>0</v>
      </c>
      <c r="X84" s="4">
        <f>IF(ISERROR(VLOOKUP($U$84,'TAR FIN'!$A$1:$O$86,15,0)),0,VLOOKUP($U$84,'TAR FIN'!$A$1:$O$86,15,0))</f>
        <v>0</v>
      </c>
      <c r="Y84" s="4">
        <f ca="1">('TUSD BE'!$AM$10+'TUSD BF'!$AM$10+'TUSD CVA'!$AM$10)*1</f>
        <v>44.255213546385811</v>
      </c>
      <c r="Z84" s="4"/>
      <c r="AA84" s="4"/>
      <c r="AB84" s="4">
        <f>$K$84*$V$84</f>
        <v>38211.840000000004</v>
      </c>
      <c r="AC84" s="4">
        <f>$M$84*$W$84</f>
        <v>0</v>
      </c>
      <c r="AD84" s="4">
        <f>$O$84*$X$84</f>
        <v>0</v>
      </c>
      <c r="AE84" s="4">
        <f ca="1">$K$84*$Y$84</f>
        <v>43901.171838014721</v>
      </c>
      <c r="AF84" s="4">
        <f>$M$84*$Z$84</f>
        <v>0</v>
      </c>
      <c r="AG84" s="4">
        <f>$O$84*$AA$84</f>
        <v>0</v>
      </c>
    </row>
    <row r="85" spans="1:33" ht="11.25" customHeight="1" x14ac:dyDescent="0.25">
      <c r="A85" s="3" t="s">
        <v>28</v>
      </c>
      <c r="B85" s="3" t="s">
        <v>35</v>
      </c>
      <c r="C85" s="3" t="s">
        <v>39</v>
      </c>
      <c r="D85" s="3" t="s">
        <v>40</v>
      </c>
      <c r="E85" s="3" t="s">
        <v>25</v>
      </c>
      <c r="F85" s="3" t="s">
        <v>25</v>
      </c>
      <c r="G85" s="3" t="s">
        <v>25</v>
      </c>
      <c r="H85" s="3" t="s">
        <v>25</v>
      </c>
      <c r="I85" s="6">
        <v>44593</v>
      </c>
      <c r="J85" s="4">
        <v>140</v>
      </c>
      <c r="K85" s="4">
        <v>140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3" t="s">
        <v>26</v>
      </c>
      <c r="R85" s="3">
        <v>0</v>
      </c>
      <c r="S85" s="4">
        <v>31</v>
      </c>
      <c r="T85" s="4">
        <v>0</v>
      </c>
      <c r="U85" s="4">
        <v>0</v>
      </c>
      <c r="V85" s="4">
        <f>IF(ISERROR(VLOOKUP($S$85,'TAR FIN'!$A$1:$O$86,15,0)),0,VLOOKUP($S$85,'TAR FIN'!$A$1:$O$86,15,0))</f>
        <v>38.520000000000003</v>
      </c>
      <c r="W85" s="4">
        <f>IF(ISERROR(VLOOKUP($T$85,'TAR FIN'!$A$1:$O$86,15,0)),0,VLOOKUP($T$85,'TAR FIN'!$A$1:$O$86,15,0))</f>
        <v>0</v>
      </c>
      <c r="X85" s="4">
        <f>IF(ISERROR(VLOOKUP($U$85,'TAR FIN'!$A$1:$O$86,15,0)),0,VLOOKUP($U$85,'TAR FIN'!$A$1:$O$86,15,0))</f>
        <v>0</v>
      </c>
      <c r="Y85" s="4">
        <f ca="1">('TUSD BE'!$AM$10+'TUSD BF'!$AM$10+'TUSD CVA'!$AM$10)*1</f>
        <v>44.255213546385811</v>
      </c>
      <c r="Z85" s="4"/>
      <c r="AA85" s="4"/>
      <c r="AB85" s="4">
        <f>$K$85*$V$85</f>
        <v>5392.8</v>
      </c>
      <c r="AC85" s="4">
        <f>$M$85*$W$85</f>
        <v>0</v>
      </c>
      <c r="AD85" s="4">
        <f>$O$85*$X$85</f>
        <v>0</v>
      </c>
      <c r="AE85" s="4">
        <f ca="1">$K$85*$Y$85</f>
        <v>6195.7298964940137</v>
      </c>
      <c r="AF85" s="4">
        <f>$M$85*$Z$85</f>
        <v>0</v>
      </c>
      <c r="AG85" s="4">
        <f>$O$85*$AA$85</f>
        <v>0</v>
      </c>
    </row>
    <row r="86" spans="1:33" ht="11.25" customHeight="1" x14ac:dyDescent="0.25">
      <c r="A86" s="3" t="s">
        <v>21</v>
      </c>
      <c r="B86" s="3" t="s">
        <v>35</v>
      </c>
      <c r="C86" s="3" t="s">
        <v>39</v>
      </c>
      <c r="D86" s="3" t="s">
        <v>40</v>
      </c>
      <c r="E86" s="3" t="s">
        <v>25</v>
      </c>
      <c r="F86" s="3" t="s">
        <v>25</v>
      </c>
      <c r="G86" s="3" t="s">
        <v>25</v>
      </c>
      <c r="H86" s="3" t="s">
        <v>25</v>
      </c>
      <c r="I86" s="6">
        <v>44621</v>
      </c>
      <c r="J86" s="4">
        <v>1112</v>
      </c>
      <c r="K86" s="4">
        <v>1112</v>
      </c>
      <c r="L86" s="4">
        <v>0</v>
      </c>
      <c r="M86" s="4">
        <v>0</v>
      </c>
      <c r="N86" s="4">
        <v>0</v>
      </c>
      <c r="O86" s="4">
        <v>0</v>
      </c>
      <c r="P86" s="4">
        <v>8</v>
      </c>
      <c r="Q86" s="3" t="s">
        <v>26</v>
      </c>
      <c r="R86" s="3">
        <v>0</v>
      </c>
      <c r="S86" s="4">
        <v>31</v>
      </c>
      <c r="T86" s="4">
        <v>0</v>
      </c>
      <c r="U86" s="4">
        <v>0</v>
      </c>
      <c r="V86" s="4">
        <f>IF(ISERROR(VLOOKUP($S$86,'TAR FIN'!$A$1:$O$86,15,0)),0,VLOOKUP($S$86,'TAR FIN'!$A$1:$O$86,15,0))</f>
        <v>38.520000000000003</v>
      </c>
      <c r="W86" s="4">
        <f>IF(ISERROR(VLOOKUP($T$86,'TAR FIN'!$A$1:$O$86,15,0)),0,VLOOKUP($T$86,'TAR FIN'!$A$1:$O$86,15,0))</f>
        <v>0</v>
      </c>
      <c r="X86" s="4">
        <f>IF(ISERROR(VLOOKUP($U$86,'TAR FIN'!$A$1:$O$86,15,0)),0,VLOOKUP($U$86,'TAR FIN'!$A$1:$O$86,15,0))</f>
        <v>0</v>
      </c>
      <c r="Y86" s="4">
        <f ca="1">('TUSD BE'!$AM$10+'TUSD BF'!$AM$10+'TUSD CVA'!$AM$10)*1</f>
        <v>44.255213546385811</v>
      </c>
      <c r="Z86" s="4"/>
      <c r="AA86" s="4"/>
      <c r="AB86" s="4">
        <f>$K$86*$V$86</f>
        <v>42834.240000000005</v>
      </c>
      <c r="AC86" s="4">
        <f>$M$86*$W$86</f>
        <v>0</v>
      </c>
      <c r="AD86" s="4">
        <f>$O$86*$X$86</f>
        <v>0</v>
      </c>
      <c r="AE86" s="4">
        <f ca="1">$K$86*$Y$86</f>
        <v>49211.797463581024</v>
      </c>
      <c r="AF86" s="4">
        <f>$M$86*$Z$86</f>
        <v>0</v>
      </c>
      <c r="AG86" s="4">
        <f>$O$86*$AA$86</f>
        <v>0</v>
      </c>
    </row>
    <row r="87" spans="1:33" ht="11.25" customHeight="1" x14ac:dyDescent="0.25">
      <c r="A87" s="3" t="s">
        <v>28</v>
      </c>
      <c r="B87" s="3" t="s">
        <v>35</v>
      </c>
      <c r="C87" s="3" t="s">
        <v>39</v>
      </c>
      <c r="D87" s="3" t="s">
        <v>40</v>
      </c>
      <c r="E87" s="3" t="s">
        <v>25</v>
      </c>
      <c r="F87" s="3" t="s">
        <v>25</v>
      </c>
      <c r="G87" s="3" t="s">
        <v>25</v>
      </c>
      <c r="H87" s="3" t="s">
        <v>25</v>
      </c>
      <c r="I87" s="6">
        <v>44621</v>
      </c>
      <c r="J87" s="4">
        <v>140</v>
      </c>
      <c r="K87" s="4">
        <v>140</v>
      </c>
      <c r="L87" s="4">
        <v>0</v>
      </c>
      <c r="M87" s="4">
        <v>0</v>
      </c>
      <c r="N87" s="4">
        <v>0</v>
      </c>
      <c r="O87" s="4">
        <v>0</v>
      </c>
      <c r="P87" s="4">
        <v>1</v>
      </c>
      <c r="Q87" s="3" t="s">
        <v>26</v>
      </c>
      <c r="R87" s="3">
        <v>0</v>
      </c>
      <c r="S87" s="4">
        <v>31</v>
      </c>
      <c r="T87" s="4">
        <v>0</v>
      </c>
      <c r="U87" s="4">
        <v>0</v>
      </c>
      <c r="V87" s="4">
        <f>IF(ISERROR(VLOOKUP($S$87,'TAR FIN'!$A$1:$O$86,15,0)),0,VLOOKUP($S$87,'TAR FIN'!$A$1:$O$86,15,0))</f>
        <v>38.520000000000003</v>
      </c>
      <c r="W87" s="4">
        <f>IF(ISERROR(VLOOKUP($T$87,'TAR FIN'!$A$1:$O$86,15,0)),0,VLOOKUP($T$87,'TAR FIN'!$A$1:$O$86,15,0))</f>
        <v>0</v>
      </c>
      <c r="X87" s="4">
        <f>IF(ISERROR(VLOOKUP($U$87,'TAR FIN'!$A$1:$O$86,15,0)),0,VLOOKUP($U$87,'TAR FIN'!$A$1:$O$86,15,0))</f>
        <v>0</v>
      </c>
      <c r="Y87" s="4">
        <f ca="1">('TUSD BE'!$AM$10+'TUSD BF'!$AM$10+'TUSD CVA'!$AM$10)*1</f>
        <v>44.255213546385811</v>
      </c>
      <c r="Z87" s="4"/>
      <c r="AA87" s="4"/>
      <c r="AB87" s="4">
        <f>$K$87*$V$87</f>
        <v>5392.8</v>
      </c>
      <c r="AC87" s="4">
        <f>$M$87*$W$87</f>
        <v>0</v>
      </c>
      <c r="AD87" s="4">
        <f>$O$87*$X$87</f>
        <v>0</v>
      </c>
      <c r="AE87" s="4">
        <f ca="1">$K$87*$Y$87</f>
        <v>6195.7298964940137</v>
      </c>
      <c r="AF87" s="4">
        <f>$M$87*$Z$87</f>
        <v>0</v>
      </c>
      <c r="AG87" s="4">
        <f>$O$87*$AA$87</f>
        <v>0</v>
      </c>
    </row>
    <row r="88" spans="1:33" ht="11.25" customHeight="1" x14ac:dyDescent="0.25">
      <c r="A88" s="3" t="s">
        <v>21</v>
      </c>
      <c r="B88" s="3" t="s">
        <v>35</v>
      </c>
      <c r="C88" s="3" t="s">
        <v>39</v>
      </c>
      <c r="D88" s="3" t="s">
        <v>40</v>
      </c>
      <c r="E88" s="3" t="s">
        <v>25</v>
      </c>
      <c r="F88" s="3" t="s">
        <v>25</v>
      </c>
      <c r="G88" s="3" t="s">
        <v>25</v>
      </c>
      <c r="H88" s="3" t="s">
        <v>25</v>
      </c>
      <c r="I88" s="6">
        <v>44652</v>
      </c>
      <c r="J88" s="4">
        <v>994</v>
      </c>
      <c r="K88" s="4">
        <v>994</v>
      </c>
      <c r="L88" s="4">
        <v>0</v>
      </c>
      <c r="M88" s="4">
        <v>0</v>
      </c>
      <c r="N88" s="4">
        <v>0</v>
      </c>
      <c r="O88" s="4">
        <v>0</v>
      </c>
      <c r="P88" s="4">
        <v>8</v>
      </c>
      <c r="Q88" s="3" t="s">
        <v>26</v>
      </c>
      <c r="R88" s="3">
        <v>0</v>
      </c>
      <c r="S88" s="4">
        <v>31</v>
      </c>
      <c r="T88" s="4">
        <v>0</v>
      </c>
      <c r="U88" s="4">
        <v>0</v>
      </c>
      <c r="V88" s="4">
        <f>IF(ISERROR(VLOOKUP($S$88,'TAR FIN'!$A$1:$O$86,15,0)),0,VLOOKUP($S$88,'TAR FIN'!$A$1:$O$86,15,0))</f>
        <v>38.520000000000003</v>
      </c>
      <c r="W88" s="4">
        <f>IF(ISERROR(VLOOKUP($T$88,'TAR FIN'!$A$1:$O$86,15,0)),0,VLOOKUP($T$88,'TAR FIN'!$A$1:$O$86,15,0))</f>
        <v>0</v>
      </c>
      <c r="X88" s="4">
        <f>IF(ISERROR(VLOOKUP($U$88,'TAR FIN'!$A$1:$O$86,15,0)),0,VLOOKUP($U$88,'TAR FIN'!$A$1:$O$86,15,0))</f>
        <v>0</v>
      </c>
      <c r="Y88" s="4">
        <f ca="1">('TUSD BE'!$AM$10+'TUSD BF'!$AM$10+'TUSD CVA'!$AM$10)*1</f>
        <v>44.255213546385811</v>
      </c>
      <c r="Z88" s="4"/>
      <c r="AA88" s="4"/>
      <c r="AB88" s="4">
        <f>$K$88*$V$88</f>
        <v>38288.880000000005</v>
      </c>
      <c r="AC88" s="4">
        <f>$M$88*$W$88</f>
        <v>0</v>
      </c>
      <c r="AD88" s="4">
        <f>$O$88*$X$88</f>
        <v>0</v>
      </c>
      <c r="AE88" s="4">
        <f ca="1">$K$88*$Y$88</f>
        <v>43989.682265107498</v>
      </c>
      <c r="AF88" s="4">
        <f>$M$88*$Z$88</f>
        <v>0</v>
      </c>
      <c r="AG88" s="4">
        <f>$O$88*$AA$88</f>
        <v>0</v>
      </c>
    </row>
    <row r="89" spans="1:33" ht="11.25" customHeight="1" x14ac:dyDescent="0.25">
      <c r="A89" s="3" t="s">
        <v>28</v>
      </c>
      <c r="B89" s="3" t="s">
        <v>35</v>
      </c>
      <c r="C89" s="3" t="s">
        <v>39</v>
      </c>
      <c r="D89" s="3" t="s">
        <v>40</v>
      </c>
      <c r="E89" s="3" t="s">
        <v>25</v>
      </c>
      <c r="F89" s="3" t="s">
        <v>25</v>
      </c>
      <c r="G89" s="3" t="s">
        <v>25</v>
      </c>
      <c r="H89" s="3" t="s">
        <v>25</v>
      </c>
      <c r="I89" s="6">
        <v>44652</v>
      </c>
      <c r="J89" s="4">
        <v>140</v>
      </c>
      <c r="K89" s="4">
        <v>140</v>
      </c>
      <c r="L89" s="4">
        <v>0</v>
      </c>
      <c r="M89" s="4">
        <v>0</v>
      </c>
      <c r="N89" s="4">
        <v>0</v>
      </c>
      <c r="O89" s="4">
        <v>0</v>
      </c>
      <c r="P89" s="4">
        <v>1</v>
      </c>
      <c r="Q89" s="3" t="s">
        <v>26</v>
      </c>
      <c r="R89" s="3">
        <v>0</v>
      </c>
      <c r="S89" s="4">
        <v>31</v>
      </c>
      <c r="T89" s="4">
        <v>0</v>
      </c>
      <c r="U89" s="4">
        <v>0</v>
      </c>
      <c r="V89" s="4">
        <f>IF(ISERROR(VLOOKUP($S$89,'TAR FIN'!$A$1:$O$86,15,0)),0,VLOOKUP($S$89,'TAR FIN'!$A$1:$O$86,15,0))</f>
        <v>38.520000000000003</v>
      </c>
      <c r="W89" s="4">
        <f>IF(ISERROR(VLOOKUP($T$89,'TAR FIN'!$A$1:$O$86,15,0)),0,VLOOKUP($T$89,'TAR FIN'!$A$1:$O$86,15,0))</f>
        <v>0</v>
      </c>
      <c r="X89" s="4">
        <f>IF(ISERROR(VLOOKUP($U$89,'TAR FIN'!$A$1:$O$86,15,0)),0,VLOOKUP($U$89,'TAR FIN'!$A$1:$O$86,15,0))</f>
        <v>0</v>
      </c>
      <c r="Y89" s="4">
        <f ca="1">('TUSD BE'!$AM$10+'TUSD BF'!$AM$10+'TUSD CVA'!$AM$10)*1</f>
        <v>44.255213546385811</v>
      </c>
      <c r="Z89" s="4"/>
      <c r="AA89" s="4"/>
      <c r="AB89" s="4">
        <f>$K$89*$V$89</f>
        <v>5392.8</v>
      </c>
      <c r="AC89" s="4">
        <f>$M$89*$W$89</f>
        <v>0</v>
      </c>
      <c r="AD89" s="4">
        <f>$O$89*$X$89</f>
        <v>0</v>
      </c>
      <c r="AE89" s="4">
        <f ca="1">$K$89*$Y$89</f>
        <v>6195.7298964940137</v>
      </c>
      <c r="AF89" s="4">
        <f>$M$89*$Z$89</f>
        <v>0</v>
      </c>
      <c r="AG89" s="4">
        <f>$O$89*$AA$89</f>
        <v>0</v>
      </c>
    </row>
    <row r="90" spans="1:33" ht="11.25" customHeight="1" x14ac:dyDescent="0.25">
      <c r="A90" s="3" t="s">
        <v>21</v>
      </c>
      <c r="B90" s="3" t="s">
        <v>35</v>
      </c>
      <c r="C90" s="3" t="s">
        <v>39</v>
      </c>
      <c r="D90" s="3" t="s">
        <v>40</v>
      </c>
      <c r="E90" s="3" t="s">
        <v>25</v>
      </c>
      <c r="F90" s="3" t="s">
        <v>25</v>
      </c>
      <c r="G90" s="3" t="s">
        <v>25</v>
      </c>
      <c r="H90" s="3" t="s">
        <v>25</v>
      </c>
      <c r="I90" s="6">
        <v>44682</v>
      </c>
      <c r="J90" s="4">
        <v>1251</v>
      </c>
      <c r="K90" s="4">
        <v>1251</v>
      </c>
      <c r="L90" s="4">
        <v>0</v>
      </c>
      <c r="M90" s="4">
        <v>0</v>
      </c>
      <c r="N90" s="4">
        <v>0</v>
      </c>
      <c r="O90" s="4">
        <v>0</v>
      </c>
      <c r="P90" s="4">
        <v>8</v>
      </c>
      <c r="Q90" s="3" t="s">
        <v>26</v>
      </c>
      <c r="R90" s="3">
        <v>0</v>
      </c>
      <c r="S90" s="4">
        <v>31</v>
      </c>
      <c r="T90" s="4">
        <v>0</v>
      </c>
      <c r="U90" s="4">
        <v>0</v>
      </c>
      <c r="V90" s="4">
        <f>IF(ISERROR(VLOOKUP($S$90,'TAR FIN'!$A$1:$O$86,15,0)),0,VLOOKUP($S$90,'TAR FIN'!$A$1:$O$86,15,0))</f>
        <v>38.520000000000003</v>
      </c>
      <c r="W90" s="4">
        <f>IF(ISERROR(VLOOKUP($T$90,'TAR FIN'!$A$1:$O$86,15,0)),0,VLOOKUP($T$90,'TAR FIN'!$A$1:$O$86,15,0))</f>
        <v>0</v>
      </c>
      <c r="X90" s="4">
        <f>IF(ISERROR(VLOOKUP($U$90,'TAR FIN'!$A$1:$O$86,15,0)),0,VLOOKUP($U$90,'TAR FIN'!$A$1:$O$86,15,0))</f>
        <v>0</v>
      </c>
      <c r="Y90" s="4">
        <f ca="1">('TUSD BE'!$AM$10+'TUSD BF'!$AM$10+'TUSD CVA'!$AM$10)*1</f>
        <v>44.255213546385811</v>
      </c>
      <c r="Z90" s="4"/>
      <c r="AA90" s="4"/>
      <c r="AB90" s="4">
        <f>$K$90*$V$90</f>
        <v>48188.520000000004</v>
      </c>
      <c r="AC90" s="4">
        <f>$M$90*$W$90</f>
        <v>0</v>
      </c>
      <c r="AD90" s="4">
        <f>$O$90*$X$90</f>
        <v>0</v>
      </c>
      <c r="AE90" s="4">
        <f ca="1">$K$90*$Y$90</f>
        <v>55363.272146528652</v>
      </c>
      <c r="AF90" s="4">
        <f>$M$90*$Z$90</f>
        <v>0</v>
      </c>
      <c r="AG90" s="4">
        <f>$O$90*$AA$90</f>
        <v>0</v>
      </c>
    </row>
    <row r="91" spans="1:33" ht="11.25" customHeight="1" x14ac:dyDescent="0.25">
      <c r="A91" s="3" t="s">
        <v>28</v>
      </c>
      <c r="B91" s="3" t="s">
        <v>35</v>
      </c>
      <c r="C91" s="3" t="s">
        <v>39</v>
      </c>
      <c r="D91" s="3" t="s">
        <v>40</v>
      </c>
      <c r="E91" s="3" t="s">
        <v>25</v>
      </c>
      <c r="F91" s="3" t="s">
        <v>25</v>
      </c>
      <c r="G91" s="3" t="s">
        <v>25</v>
      </c>
      <c r="H91" s="3" t="s">
        <v>25</v>
      </c>
      <c r="I91" s="6">
        <v>44682</v>
      </c>
      <c r="J91" s="4">
        <v>160</v>
      </c>
      <c r="K91" s="4">
        <v>160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  <c r="Q91" s="3" t="s">
        <v>26</v>
      </c>
      <c r="R91" s="3">
        <v>0</v>
      </c>
      <c r="S91" s="4">
        <v>31</v>
      </c>
      <c r="T91" s="4">
        <v>0</v>
      </c>
      <c r="U91" s="4">
        <v>0</v>
      </c>
      <c r="V91" s="4">
        <f>IF(ISERROR(VLOOKUP($S$91,'TAR FIN'!$A$1:$O$86,15,0)),0,VLOOKUP($S$91,'TAR FIN'!$A$1:$O$86,15,0))</f>
        <v>38.520000000000003</v>
      </c>
      <c r="W91" s="4">
        <f>IF(ISERROR(VLOOKUP($T$91,'TAR FIN'!$A$1:$O$86,15,0)),0,VLOOKUP($T$91,'TAR FIN'!$A$1:$O$86,15,0))</f>
        <v>0</v>
      </c>
      <c r="X91" s="4">
        <f>IF(ISERROR(VLOOKUP($U$91,'TAR FIN'!$A$1:$O$86,15,0)),0,VLOOKUP($U$91,'TAR FIN'!$A$1:$O$86,15,0))</f>
        <v>0</v>
      </c>
      <c r="Y91" s="4">
        <f ca="1">('TUSD BE'!$AM$10+'TUSD BF'!$AM$10+'TUSD CVA'!$AM$10)*1</f>
        <v>44.255213546385811</v>
      </c>
      <c r="Z91" s="4"/>
      <c r="AA91" s="4"/>
      <c r="AB91" s="4">
        <f>$K$91*$V$91</f>
        <v>6163.2000000000007</v>
      </c>
      <c r="AC91" s="4">
        <f>$M$91*$W$91</f>
        <v>0</v>
      </c>
      <c r="AD91" s="4">
        <f>$O$91*$X$91</f>
        <v>0</v>
      </c>
      <c r="AE91" s="4">
        <f ca="1">$K$91*$Y$91</f>
        <v>7080.8341674217299</v>
      </c>
      <c r="AF91" s="4">
        <f>$M$91*$Z$91</f>
        <v>0</v>
      </c>
      <c r="AG91" s="4">
        <f>$O$91*$AA$91</f>
        <v>0</v>
      </c>
    </row>
    <row r="92" spans="1:33" ht="11.25" customHeight="1" x14ac:dyDescent="0.25">
      <c r="A92" s="3" t="s">
        <v>21</v>
      </c>
      <c r="B92" s="3" t="s">
        <v>35</v>
      </c>
      <c r="C92" s="3" t="s">
        <v>39</v>
      </c>
      <c r="D92" s="3" t="s">
        <v>40</v>
      </c>
      <c r="E92" s="3" t="s">
        <v>25</v>
      </c>
      <c r="F92" s="3" t="s">
        <v>25</v>
      </c>
      <c r="G92" s="3" t="s">
        <v>25</v>
      </c>
      <c r="H92" s="3" t="s">
        <v>25</v>
      </c>
      <c r="I92" s="6">
        <v>44713</v>
      </c>
      <c r="J92" s="4">
        <v>921</v>
      </c>
      <c r="K92" s="4">
        <v>921</v>
      </c>
      <c r="L92" s="4">
        <v>0</v>
      </c>
      <c r="M92" s="4">
        <v>0</v>
      </c>
      <c r="N92" s="4">
        <v>0</v>
      </c>
      <c r="O92" s="4">
        <v>0</v>
      </c>
      <c r="P92" s="4">
        <v>8</v>
      </c>
      <c r="Q92" s="3" t="s">
        <v>26</v>
      </c>
      <c r="R92" s="3">
        <v>0</v>
      </c>
      <c r="S92" s="4">
        <v>31</v>
      </c>
      <c r="T92" s="4">
        <v>0</v>
      </c>
      <c r="U92" s="4">
        <v>0</v>
      </c>
      <c r="V92" s="4">
        <f>IF(ISERROR(VLOOKUP($S$92,'TAR FIN'!$A$1:$O$86,15,0)),0,VLOOKUP($S$92,'TAR FIN'!$A$1:$O$86,15,0))</f>
        <v>38.520000000000003</v>
      </c>
      <c r="W92" s="4">
        <f>IF(ISERROR(VLOOKUP($T$92,'TAR FIN'!$A$1:$O$86,15,0)),0,VLOOKUP($T$92,'TAR FIN'!$A$1:$O$86,15,0))</f>
        <v>0</v>
      </c>
      <c r="X92" s="4">
        <f>IF(ISERROR(VLOOKUP($U$92,'TAR FIN'!$A$1:$O$86,15,0)),0,VLOOKUP($U$92,'TAR FIN'!$A$1:$O$86,15,0))</f>
        <v>0</v>
      </c>
      <c r="Y92" s="4">
        <f ca="1">('TUSD BE'!$AM$10+'TUSD BF'!$AM$10+'TUSD CVA'!$AM$10)*1</f>
        <v>44.255213546385811</v>
      </c>
      <c r="Z92" s="4"/>
      <c r="AA92" s="4"/>
      <c r="AB92" s="4">
        <f>$K$92*$V$92</f>
        <v>35476.920000000006</v>
      </c>
      <c r="AC92" s="4">
        <f>$M$92*$W$92</f>
        <v>0</v>
      </c>
      <c r="AD92" s="4">
        <f>$O$92*$X$92</f>
        <v>0</v>
      </c>
      <c r="AE92" s="4">
        <f ca="1">$K$92*$Y$92</f>
        <v>40759.05167622133</v>
      </c>
      <c r="AF92" s="4">
        <f>$M$92*$Z$92</f>
        <v>0</v>
      </c>
      <c r="AG92" s="4">
        <f>$O$92*$AA$92</f>
        <v>0</v>
      </c>
    </row>
    <row r="93" spans="1:33" ht="11.25" customHeight="1" x14ac:dyDescent="0.25">
      <c r="A93" s="3" t="s">
        <v>28</v>
      </c>
      <c r="B93" s="3" t="s">
        <v>35</v>
      </c>
      <c r="C93" s="3" t="s">
        <v>39</v>
      </c>
      <c r="D93" s="3" t="s">
        <v>40</v>
      </c>
      <c r="E93" s="3" t="s">
        <v>25</v>
      </c>
      <c r="F93" s="3" t="s">
        <v>25</v>
      </c>
      <c r="G93" s="3" t="s">
        <v>25</v>
      </c>
      <c r="H93" s="3" t="s">
        <v>25</v>
      </c>
      <c r="I93" s="6">
        <v>44713</v>
      </c>
      <c r="J93" s="4">
        <v>140</v>
      </c>
      <c r="K93" s="4">
        <v>140</v>
      </c>
      <c r="L93" s="4">
        <v>0</v>
      </c>
      <c r="M93" s="4">
        <v>0</v>
      </c>
      <c r="N93" s="4">
        <v>0</v>
      </c>
      <c r="O93" s="4">
        <v>0</v>
      </c>
      <c r="P93" s="4">
        <v>1</v>
      </c>
      <c r="Q93" s="3" t="s">
        <v>26</v>
      </c>
      <c r="R93" s="3">
        <v>0</v>
      </c>
      <c r="S93" s="4">
        <v>31</v>
      </c>
      <c r="T93" s="4">
        <v>0</v>
      </c>
      <c r="U93" s="4">
        <v>0</v>
      </c>
      <c r="V93" s="4">
        <f>IF(ISERROR(VLOOKUP($S$93,'TAR FIN'!$A$1:$O$86,15,0)),0,VLOOKUP($S$93,'TAR FIN'!$A$1:$O$86,15,0))</f>
        <v>38.520000000000003</v>
      </c>
      <c r="W93" s="4">
        <f>IF(ISERROR(VLOOKUP($T$93,'TAR FIN'!$A$1:$O$86,15,0)),0,VLOOKUP($T$93,'TAR FIN'!$A$1:$O$86,15,0))</f>
        <v>0</v>
      </c>
      <c r="X93" s="4">
        <f>IF(ISERROR(VLOOKUP($U$93,'TAR FIN'!$A$1:$O$86,15,0)),0,VLOOKUP($U$93,'TAR FIN'!$A$1:$O$86,15,0))</f>
        <v>0</v>
      </c>
      <c r="Y93" s="4">
        <f ca="1">('TUSD BE'!$AM$10+'TUSD BF'!$AM$10+'TUSD CVA'!$AM$10)*1</f>
        <v>44.255213546385811</v>
      </c>
      <c r="Z93" s="4"/>
      <c r="AA93" s="4"/>
      <c r="AB93" s="4">
        <f>$K$93*$V$93</f>
        <v>5392.8</v>
      </c>
      <c r="AC93" s="4">
        <f>$M$93*$W$93</f>
        <v>0</v>
      </c>
      <c r="AD93" s="4">
        <f>$O$93*$X$93</f>
        <v>0</v>
      </c>
      <c r="AE93" s="4">
        <f ca="1">$K$93*$Y$93</f>
        <v>6195.7298964940137</v>
      </c>
      <c r="AF93" s="4">
        <f>$M$93*$Z$93</f>
        <v>0</v>
      </c>
      <c r="AG93" s="4">
        <f>$O$93*$AA$93</f>
        <v>0</v>
      </c>
    </row>
    <row r="94" spans="1:33" ht="11.25" customHeight="1" x14ac:dyDescent="0.25">
      <c r="A94" s="3" t="s">
        <v>21</v>
      </c>
      <c r="B94" s="3" t="s">
        <v>35</v>
      </c>
      <c r="C94" s="3" t="s">
        <v>39</v>
      </c>
      <c r="D94" s="3" t="s">
        <v>40</v>
      </c>
      <c r="E94" s="3" t="s">
        <v>25</v>
      </c>
      <c r="F94" s="3" t="s">
        <v>25</v>
      </c>
      <c r="G94" s="3" t="s">
        <v>25</v>
      </c>
      <c r="H94" s="3" t="s">
        <v>37</v>
      </c>
      <c r="I94" s="6">
        <v>44378</v>
      </c>
      <c r="J94" s="4">
        <v>0</v>
      </c>
      <c r="K94" s="4">
        <v>0</v>
      </c>
      <c r="L94" s="4">
        <v>1.228</v>
      </c>
      <c r="M94" s="4">
        <v>1.228</v>
      </c>
      <c r="N94" s="4">
        <v>1.228</v>
      </c>
      <c r="O94" s="4">
        <v>1.228</v>
      </c>
      <c r="P94" s="4">
        <v>0</v>
      </c>
      <c r="Q94" s="3" t="s">
        <v>26</v>
      </c>
      <c r="R94" s="3">
        <v>0</v>
      </c>
      <c r="S94" s="4">
        <v>0</v>
      </c>
      <c r="T94" s="4">
        <v>15</v>
      </c>
      <c r="U94" s="4">
        <v>24</v>
      </c>
      <c r="V94" s="4">
        <f>IF(ISERROR(VLOOKUP($S$94,'TAR FIN'!$A$1:$O$86,15,0)),0,VLOOKUP($S$94,'TAR FIN'!$A$1:$O$86,15,0))</f>
        <v>0</v>
      </c>
      <c r="W94" s="4">
        <f>IF(ISERROR(VLOOKUP($T$94,'TAR FIN'!$A$1:$O$86,15,0)),0,VLOOKUP($T$94,'TAR FIN'!$A$1:$O$86,15,0))</f>
        <v>2115.38</v>
      </c>
      <c r="X94" s="4">
        <f>IF(ISERROR(VLOOKUP($U$94,'TAR FIN'!$A$1:$O$86,15,0)),0,VLOOKUP($U$94,'TAR FIN'!$A$1:$O$86,15,0))</f>
        <v>211.54</v>
      </c>
      <c r="Y94" s="4"/>
      <c r="Z94" s="4">
        <f ca="1">('TUSD BE'!$AM$11+'TUSD BF'!$AM$11+'TUSD CVA'!$AM$11)*1</f>
        <v>2284.2159351470723</v>
      </c>
      <c r="AA94" s="4">
        <f>('TE BE'!$AB$5+'TE BF'!$AB$5+'TE CVA'!$AB$5)*1</f>
        <v>196.56876174373542</v>
      </c>
      <c r="AB94" s="4">
        <f>$K$94*$V$94</f>
        <v>0</v>
      </c>
      <c r="AC94" s="4">
        <f>$M$94*$W$94</f>
        <v>2597.6866399999999</v>
      </c>
      <c r="AD94" s="4">
        <f>$O$94*$X$94</f>
        <v>259.77112</v>
      </c>
      <c r="AE94" s="4">
        <f>$K$94*$Y$94</f>
        <v>0</v>
      </c>
      <c r="AF94" s="4">
        <f ca="1">$M$94*$Z$94</f>
        <v>2805.0171683606045</v>
      </c>
      <c r="AG94" s="4">
        <f>$O$94*$AA$94</f>
        <v>241.3864394213071</v>
      </c>
    </row>
    <row r="95" spans="1:33" ht="11.25" customHeight="1" x14ac:dyDescent="0.25">
      <c r="A95" s="3" t="s">
        <v>28</v>
      </c>
      <c r="B95" s="3" t="s">
        <v>35</v>
      </c>
      <c r="C95" s="3" t="s">
        <v>39</v>
      </c>
      <c r="D95" s="3" t="s">
        <v>40</v>
      </c>
      <c r="E95" s="3" t="s">
        <v>25</v>
      </c>
      <c r="F95" s="3" t="s">
        <v>25</v>
      </c>
      <c r="G95" s="3" t="s">
        <v>25</v>
      </c>
      <c r="H95" s="3" t="s">
        <v>37</v>
      </c>
      <c r="I95" s="6">
        <v>44378</v>
      </c>
      <c r="J95" s="4">
        <v>0</v>
      </c>
      <c r="K95" s="4">
        <v>0</v>
      </c>
      <c r="L95" s="4">
        <v>1.0920000000000001</v>
      </c>
      <c r="M95" s="4">
        <v>1.0920000000000001</v>
      </c>
      <c r="N95" s="4">
        <v>1.0920000000000001</v>
      </c>
      <c r="O95" s="4">
        <v>1.0920000000000001</v>
      </c>
      <c r="P95" s="4">
        <v>0</v>
      </c>
      <c r="Q95" s="3" t="s">
        <v>26</v>
      </c>
      <c r="R95" s="3">
        <v>0</v>
      </c>
      <c r="S95" s="4">
        <v>0</v>
      </c>
      <c r="T95" s="4">
        <v>15</v>
      </c>
      <c r="U95" s="4">
        <v>24</v>
      </c>
      <c r="V95" s="4">
        <f>IF(ISERROR(VLOOKUP($S$95,'TAR FIN'!$A$1:$O$86,15,0)),0,VLOOKUP($S$95,'TAR FIN'!$A$1:$O$86,15,0))</f>
        <v>0</v>
      </c>
      <c r="W95" s="4">
        <f>IF(ISERROR(VLOOKUP($T$95,'TAR FIN'!$A$1:$O$86,15,0)),0,VLOOKUP($T$95,'TAR FIN'!$A$1:$O$86,15,0))</f>
        <v>2115.38</v>
      </c>
      <c r="X95" s="4">
        <f>IF(ISERROR(VLOOKUP($U$95,'TAR FIN'!$A$1:$O$86,15,0)),0,VLOOKUP($U$95,'TAR FIN'!$A$1:$O$86,15,0))</f>
        <v>211.54</v>
      </c>
      <c r="Y95" s="4"/>
      <c r="Z95" s="4">
        <f ca="1">('TUSD BE'!$AM$11+'TUSD BF'!$AM$11+'TUSD CVA'!$AM$11)*1</f>
        <v>2284.2159351470723</v>
      </c>
      <c r="AA95" s="4">
        <f>('TE BE'!$AB$5+'TE BF'!$AB$5+'TE CVA'!$AB$5)*1</f>
        <v>196.56876174373542</v>
      </c>
      <c r="AB95" s="4">
        <f>$K$95*$V$95</f>
        <v>0</v>
      </c>
      <c r="AC95" s="4">
        <f>$M$95*$W$95</f>
        <v>2309.9949600000004</v>
      </c>
      <c r="AD95" s="4">
        <f>$O$95*$X$95</f>
        <v>231.00168000000002</v>
      </c>
      <c r="AE95" s="4">
        <f>$K$95*$Y$95</f>
        <v>0</v>
      </c>
      <c r="AF95" s="4">
        <f ca="1">$M$95*$Z$95</f>
        <v>2494.3638011806033</v>
      </c>
      <c r="AG95" s="4">
        <f>$O$95*$AA$95</f>
        <v>214.65308782415909</v>
      </c>
    </row>
    <row r="96" spans="1:33" ht="11.25" customHeight="1" x14ac:dyDescent="0.25">
      <c r="A96" s="3" t="s">
        <v>21</v>
      </c>
      <c r="B96" s="3" t="s">
        <v>35</v>
      </c>
      <c r="C96" s="3" t="s">
        <v>39</v>
      </c>
      <c r="D96" s="3" t="s">
        <v>40</v>
      </c>
      <c r="E96" s="3" t="s">
        <v>25</v>
      </c>
      <c r="F96" s="3" t="s">
        <v>25</v>
      </c>
      <c r="G96" s="3" t="s">
        <v>25</v>
      </c>
      <c r="H96" s="3" t="s">
        <v>37</v>
      </c>
      <c r="I96" s="6">
        <v>44409</v>
      </c>
      <c r="J96" s="4">
        <v>0</v>
      </c>
      <c r="K96" s="4">
        <v>0</v>
      </c>
      <c r="L96" s="4">
        <v>1.3069999999999999</v>
      </c>
      <c r="M96" s="4">
        <v>1.3069999999999999</v>
      </c>
      <c r="N96" s="4">
        <v>1.3069999999999999</v>
      </c>
      <c r="O96" s="4">
        <v>1.3069999999999999</v>
      </c>
      <c r="P96" s="4">
        <v>0</v>
      </c>
      <c r="Q96" s="3" t="s">
        <v>26</v>
      </c>
      <c r="R96" s="3">
        <v>0</v>
      </c>
      <c r="S96" s="4">
        <v>0</v>
      </c>
      <c r="T96" s="4">
        <v>15</v>
      </c>
      <c r="U96" s="4">
        <v>24</v>
      </c>
      <c r="V96" s="4">
        <f>IF(ISERROR(VLOOKUP($S$96,'TAR FIN'!$A$1:$O$86,15,0)),0,VLOOKUP($S$96,'TAR FIN'!$A$1:$O$86,15,0))</f>
        <v>0</v>
      </c>
      <c r="W96" s="4">
        <f>IF(ISERROR(VLOOKUP($T$96,'TAR FIN'!$A$1:$O$86,15,0)),0,VLOOKUP($T$96,'TAR FIN'!$A$1:$O$86,15,0))</f>
        <v>2115.38</v>
      </c>
      <c r="X96" s="4">
        <f>IF(ISERROR(VLOOKUP($U$96,'TAR FIN'!$A$1:$O$86,15,0)),0,VLOOKUP($U$96,'TAR FIN'!$A$1:$O$86,15,0))</f>
        <v>211.54</v>
      </c>
      <c r="Y96" s="4"/>
      <c r="Z96" s="4">
        <f ca="1">('TUSD BE'!$AM$11+'TUSD BF'!$AM$11+'TUSD CVA'!$AM$11)*1</f>
        <v>2284.2159351470723</v>
      </c>
      <c r="AA96" s="4">
        <f>('TE BE'!$AB$5+'TE BF'!$AB$5+'TE CVA'!$AB$5)*1</f>
        <v>196.56876174373542</v>
      </c>
      <c r="AB96" s="4">
        <f>$K$96*$V$96</f>
        <v>0</v>
      </c>
      <c r="AC96" s="4">
        <f>$M$96*$W$96</f>
        <v>2764.8016600000001</v>
      </c>
      <c r="AD96" s="4">
        <f>$O$96*$X$96</f>
        <v>276.48277999999999</v>
      </c>
      <c r="AE96" s="4">
        <f>$K$96*$Y$96</f>
        <v>0</v>
      </c>
      <c r="AF96" s="4">
        <f ca="1">$M$96*$Z$96</f>
        <v>2985.4702272372233</v>
      </c>
      <c r="AG96" s="4">
        <f>$O$96*$AA$96</f>
        <v>256.91537159906221</v>
      </c>
    </row>
    <row r="97" spans="1:33" ht="11.25" customHeight="1" x14ac:dyDescent="0.25">
      <c r="A97" s="3" t="s">
        <v>21</v>
      </c>
      <c r="B97" s="3" t="s">
        <v>35</v>
      </c>
      <c r="C97" s="3" t="s">
        <v>39</v>
      </c>
      <c r="D97" s="3" t="s">
        <v>40</v>
      </c>
      <c r="E97" s="3" t="s">
        <v>25</v>
      </c>
      <c r="F97" s="3" t="s">
        <v>25</v>
      </c>
      <c r="G97" s="3" t="s">
        <v>25</v>
      </c>
      <c r="H97" s="3" t="s">
        <v>37</v>
      </c>
      <c r="I97" s="6">
        <v>44440</v>
      </c>
      <c r="J97" s="4">
        <v>0</v>
      </c>
      <c r="K97" s="4">
        <v>0</v>
      </c>
      <c r="L97" s="4">
        <v>1.657</v>
      </c>
      <c r="M97" s="4">
        <v>1.657</v>
      </c>
      <c r="N97" s="4">
        <v>1.657</v>
      </c>
      <c r="O97" s="4">
        <v>1.657</v>
      </c>
      <c r="P97" s="4">
        <v>0</v>
      </c>
      <c r="Q97" s="3" t="s">
        <v>26</v>
      </c>
      <c r="R97" s="3">
        <v>0</v>
      </c>
      <c r="S97" s="4">
        <v>0</v>
      </c>
      <c r="T97" s="4">
        <v>15</v>
      </c>
      <c r="U97" s="4">
        <v>24</v>
      </c>
      <c r="V97" s="4">
        <f>IF(ISERROR(VLOOKUP($S$97,'TAR FIN'!$A$1:$O$86,15,0)),0,VLOOKUP($S$97,'TAR FIN'!$A$1:$O$86,15,0))</f>
        <v>0</v>
      </c>
      <c r="W97" s="4">
        <f>IF(ISERROR(VLOOKUP($T$97,'TAR FIN'!$A$1:$O$86,15,0)),0,VLOOKUP($T$97,'TAR FIN'!$A$1:$O$86,15,0))</f>
        <v>2115.38</v>
      </c>
      <c r="X97" s="4">
        <f>IF(ISERROR(VLOOKUP($U$97,'TAR FIN'!$A$1:$O$86,15,0)),0,VLOOKUP($U$97,'TAR FIN'!$A$1:$O$86,15,0))</f>
        <v>211.54</v>
      </c>
      <c r="Y97" s="4"/>
      <c r="Z97" s="4">
        <f ca="1">('TUSD BE'!$AM$11+'TUSD BF'!$AM$11+'TUSD CVA'!$AM$11)*1</f>
        <v>2284.2159351470723</v>
      </c>
      <c r="AA97" s="4">
        <f>('TE BE'!$AB$5+'TE BF'!$AB$5+'TE CVA'!$AB$5)*1</f>
        <v>196.56876174373542</v>
      </c>
      <c r="AB97" s="4">
        <f>$K$97*$V$97</f>
        <v>0</v>
      </c>
      <c r="AC97" s="4">
        <f>$M$97*$W$97</f>
        <v>3505.1846600000003</v>
      </c>
      <c r="AD97" s="4">
        <f>$O$97*$X$97</f>
        <v>350.52177999999998</v>
      </c>
      <c r="AE97" s="4">
        <f>$K$97*$Y$97</f>
        <v>0</v>
      </c>
      <c r="AF97" s="4">
        <f ca="1">$M$97*$Z$97</f>
        <v>3784.9458045386987</v>
      </c>
      <c r="AG97" s="4">
        <f>$O$97*$AA$97</f>
        <v>325.71443820936958</v>
      </c>
    </row>
    <row r="98" spans="1:33" ht="11.25" customHeight="1" x14ac:dyDescent="0.25">
      <c r="A98" s="3" t="s">
        <v>28</v>
      </c>
      <c r="B98" s="3" t="s">
        <v>35</v>
      </c>
      <c r="C98" s="3" t="s">
        <v>39</v>
      </c>
      <c r="D98" s="3" t="s">
        <v>40</v>
      </c>
      <c r="E98" s="3" t="s">
        <v>25</v>
      </c>
      <c r="F98" s="3" t="s">
        <v>25</v>
      </c>
      <c r="G98" s="3" t="s">
        <v>25</v>
      </c>
      <c r="H98" s="3" t="s">
        <v>37</v>
      </c>
      <c r="I98" s="6">
        <v>44440</v>
      </c>
      <c r="J98" s="4">
        <v>0</v>
      </c>
      <c r="K98" s="4">
        <v>0</v>
      </c>
      <c r="L98" s="4">
        <v>0.443</v>
      </c>
      <c r="M98" s="4">
        <v>0.443</v>
      </c>
      <c r="N98" s="4">
        <v>0.443</v>
      </c>
      <c r="O98" s="4">
        <v>0.443</v>
      </c>
      <c r="P98" s="4">
        <v>0</v>
      </c>
      <c r="Q98" s="3" t="s">
        <v>26</v>
      </c>
      <c r="R98" s="3">
        <v>0</v>
      </c>
      <c r="S98" s="4">
        <v>0</v>
      </c>
      <c r="T98" s="4">
        <v>15</v>
      </c>
      <c r="U98" s="4">
        <v>24</v>
      </c>
      <c r="V98" s="4">
        <f>IF(ISERROR(VLOOKUP($S$98,'TAR FIN'!$A$1:$O$86,15,0)),0,VLOOKUP($S$98,'TAR FIN'!$A$1:$O$86,15,0))</f>
        <v>0</v>
      </c>
      <c r="W98" s="4">
        <f>IF(ISERROR(VLOOKUP($T$98,'TAR FIN'!$A$1:$O$86,15,0)),0,VLOOKUP($T$98,'TAR FIN'!$A$1:$O$86,15,0))</f>
        <v>2115.38</v>
      </c>
      <c r="X98" s="4">
        <f>IF(ISERROR(VLOOKUP($U$98,'TAR FIN'!$A$1:$O$86,15,0)),0,VLOOKUP($U$98,'TAR FIN'!$A$1:$O$86,15,0))</f>
        <v>211.54</v>
      </c>
      <c r="Y98" s="4"/>
      <c r="Z98" s="4">
        <f ca="1">('TUSD BE'!$AM$11+'TUSD BF'!$AM$11+'TUSD CVA'!$AM$11)*1</f>
        <v>2284.2159351470723</v>
      </c>
      <c r="AA98" s="4">
        <f>('TE BE'!$AB$5+'TE BF'!$AB$5+'TE CVA'!$AB$5)*1</f>
        <v>196.56876174373542</v>
      </c>
      <c r="AB98" s="4">
        <f>$K$98*$V$98</f>
        <v>0</v>
      </c>
      <c r="AC98" s="4">
        <f>$M$98*$W$98</f>
        <v>937.11334000000011</v>
      </c>
      <c r="AD98" s="4">
        <f>$O$98*$X$98</f>
        <v>93.712220000000002</v>
      </c>
      <c r="AE98" s="4">
        <f>$K$98*$Y$98</f>
        <v>0</v>
      </c>
      <c r="AF98" s="4">
        <f ca="1">$M$98*$Z$98</f>
        <v>1011.9076592701531</v>
      </c>
      <c r="AG98" s="4">
        <f>$O$98*$AA$98</f>
        <v>87.079961452474791</v>
      </c>
    </row>
    <row r="99" spans="1:33" ht="11.25" customHeight="1" x14ac:dyDescent="0.25">
      <c r="A99" s="3" t="s">
        <v>21</v>
      </c>
      <c r="B99" s="3" t="s">
        <v>35</v>
      </c>
      <c r="C99" s="3" t="s">
        <v>39</v>
      </c>
      <c r="D99" s="3" t="s">
        <v>40</v>
      </c>
      <c r="E99" s="3" t="s">
        <v>25</v>
      </c>
      <c r="F99" s="3" t="s">
        <v>25</v>
      </c>
      <c r="G99" s="3" t="s">
        <v>25</v>
      </c>
      <c r="H99" s="3" t="s">
        <v>37</v>
      </c>
      <c r="I99" s="6">
        <v>44470</v>
      </c>
      <c r="J99" s="4">
        <v>0</v>
      </c>
      <c r="K99" s="4">
        <v>0</v>
      </c>
      <c r="L99" s="4">
        <v>6.5670000000000002</v>
      </c>
      <c r="M99" s="4">
        <v>6.5670000000000002</v>
      </c>
      <c r="N99" s="4">
        <v>6.5670000000000002</v>
      </c>
      <c r="O99" s="4">
        <v>6.5670000000000002</v>
      </c>
      <c r="P99" s="4">
        <v>0</v>
      </c>
      <c r="Q99" s="3" t="s">
        <v>26</v>
      </c>
      <c r="R99" s="3">
        <v>0</v>
      </c>
      <c r="S99" s="4">
        <v>0</v>
      </c>
      <c r="T99" s="4">
        <v>15</v>
      </c>
      <c r="U99" s="4">
        <v>24</v>
      </c>
      <c r="V99" s="4">
        <f>IF(ISERROR(VLOOKUP($S$99,'TAR FIN'!$A$1:$O$86,15,0)),0,VLOOKUP($S$99,'TAR FIN'!$A$1:$O$86,15,0))</f>
        <v>0</v>
      </c>
      <c r="W99" s="4">
        <f>IF(ISERROR(VLOOKUP($T$99,'TAR FIN'!$A$1:$O$86,15,0)),0,VLOOKUP($T$99,'TAR FIN'!$A$1:$O$86,15,0))</f>
        <v>2115.38</v>
      </c>
      <c r="X99" s="4">
        <f>IF(ISERROR(VLOOKUP($U$99,'TAR FIN'!$A$1:$O$86,15,0)),0,VLOOKUP($U$99,'TAR FIN'!$A$1:$O$86,15,0))</f>
        <v>211.54</v>
      </c>
      <c r="Y99" s="4"/>
      <c r="Z99" s="4">
        <f ca="1">('TUSD BE'!$AM$11+'TUSD BF'!$AM$11+'TUSD CVA'!$AM$11)*1</f>
        <v>2284.2159351470723</v>
      </c>
      <c r="AA99" s="4">
        <f>('TE BE'!$AB$5+'TE BF'!$AB$5+'TE CVA'!$AB$5)*1</f>
        <v>196.56876174373542</v>
      </c>
      <c r="AB99" s="4">
        <f>$K$99*$V$99</f>
        <v>0</v>
      </c>
      <c r="AC99" s="4">
        <f>$M$99*$W$99</f>
        <v>13891.700460000002</v>
      </c>
      <c r="AD99" s="4">
        <f>$O$99*$X$99</f>
        <v>1389.18318</v>
      </c>
      <c r="AE99" s="4">
        <f>$K$99*$Y$99</f>
        <v>0</v>
      </c>
      <c r="AF99" s="4">
        <f ca="1">$M$99*$Z$99</f>
        <v>15000.446046110825</v>
      </c>
      <c r="AG99" s="4">
        <f>$O$99*$AA$99</f>
        <v>1290.8670583711105</v>
      </c>
    </row>
    <row r="100" spans="1:33" ht="11.25" customHeight="1" x14ac:dyDescent="0.25">
      <c r="A100" s="3" t="s">
        <v>28</v>
      </c>
      <c r="B100" s="3" t="s">
        <v>35</v>
      </c>
      <c r="C100" s="3" t="s">
        <v>39</v>
      </c>
      <c r="D100" s="3" t="s">
        <v>40</v>
      </c>
      <c r="E100" s="3" t="s">
        <v>25</v>
      </c>
      <c r="F100" s="3" t="s">
        <v>25</v>
      </c>
      <c r="G100" s="3" t="s">
        <v>25</v>
      </c>
      <c r="H100" s="3" t="s">
        <v>37</v>
      </c>
      <c r="I100" s="6">
        <v>44470</v>
      </c>
      <c r="J100" s="4">
        <v>0</v>
      </c>
      <c r="K100" s="4">
        <v>0</v>
      </c>
      <c r="L100" s="4">
        <v>1.468</v>
      </c>
      <c r="M100" s="4">
        <v>1.468</v>
      </c>
      <c r="N100" s="4">
        <v>1.468</v>
      </c>
      <c r="O100" s="4">
        <v>1.468</v>
      </c>
      <c r="P100" s="4">
        <v>0</v>
      </c>
      <c r="Q100" s="3" t="s">
        <v>26</v>
      </c>
      <c r="R100" s="3">
        <v>0</v>
      </c>
      <c r="S100" s="4">
        <v>0</v>
      </c>
      <c r="T100" s="4">
        <v>15</v>
      </c>
      <c r="U100" s="4">
        <v>24</v>
      </c>
      <c r="V100" s="4">
        <f>IF(ISERROR(VLOOKUP($S$100,'TAR FIN'!$A$1:$O$86,15,0)),0,VLOOKUP($S$100,'TAR FIN'!$A$1:$O$86,15,0))</f>
        <v>0</v>
      </c>
      <c r="W100" s="4">
        <f>IF(ISERROR(VLOOKUP($T$100,'TAR FIN'!$A$1:$O$86,15,0)),0,VLOOKUP($T$100,'TAR FIN'!$A$1:$O$86,15,0))</f>
        <v>2115.38</v>
      </c>
      <c r="X100" s="4">
        <f>IF(ISERROR(VLOOKUP($U$100,'TAR FIN'!$A$1:$O$86,15,0)),0,VLOOKUP($U$100,'TAR FIN'!$A$1:$O$86,15,0))</f>
        <v>211.54</v>
      </c>
      <c r="Y100" s="4"/>
      <c r="Z100" s="4">
        <f ca="1">('TUSD BE'!$AM$11+'TUSD BF'!$AM$11+'TUSD CVA'!$AM$11)*1</f>
        <v>2284.2159351470723</v>
      </c>
      <c r="AA100" s="4">
        <f>('TE BE'!$AB$5+'TE BF'!$AB$5+'TE CVA'!$AB$5)*1</f>
        <v>196.56876174373542</v>
      </c>
      <c r="AB100" s="4">
        <f>$K$100*$V$100</f>
        <v>0</v>
      </c>
      <c r="AC100" s="4">
        <f>$M$100*$W$100</f>
        <v>3105.3778400000001</v>
      </c>
      <c r="AD100" s="4">
        <f>$O$100*$X$100</f>
        <v>310.54071999999996</v>
      </c>
      <c r="AE100" s="4">
        <f>$K$100*$Y$100</f>
        <v>0</v>
      </c>
      <c r="AF100" s="4">
        <f ca="1">$M$100*$Z$100</f>
        <v>3353.2289927959018</v>
      </c>
      <c r="AG100" s="4">
        <f>$O$100*$AA$100</f>
        <v>288.56294223980359</v>
      </c>
    </row>
    <row r="101" spans="1:33" ht="11.25" customHeight="1" x14ac:dyDescent="0.25">
      <c r="A101" s="3" t="s">
        <v>21</v>
      </c>
      <c r="B101" s="3" t="s">
        <v>35</v>
      </c>
      <c r="C101" s="3" t="s">
        <v>39</v>
      </c>
      <c r="D101" s="3" t="s">
        <v>40</v>
      </c>
      <c r="E101" s="3" t="s">
        <v>25</v>
      </c>
      <c r="F101" s="3" t="s">
        <v>25</v>
      </c>
      <c r="G101" s="3" t="s">
        <v>25</v>
      </c>
      <c r="H101" s="3" t="s">
        <v>37</v>
      </c>
      <c r="I101" s="6">
        <v>44501</v>
      </c>
      <c r="J101" s="4">
        <v>0</v>
      </c>
      <c r="K101" s="4">
        <v>0</v>
      </c>
      <c r="L101" s="4">
        <v>13.244999999999999</v>
      </c>
      <c r="M101" s="4">
        <v>13.244999999999999</v>
      </c>
      <c r="N101" s="4">
        <v>13.244999999999999</v>
      </c>
      <c r="O101" s="4">
        <v>13.244999999999999</v>
      </c>
      <c r="P101" s="4">
        <v>0</v>
      </c>
      <c r="Q101" s="3" t="s">
        <v>26</v>
      </c>
      <c r="R101" s="3">
        <v>0</v>
      </c>
      <c r="S101" s="4">
        <v>0</v>
      </c>
      <c r="T101" s="4">
        <v>15</v>
      </c>
      <c r="U101" s="4">
        <v>24</v>
      </c>
      <c r="V101" s="4">
        <f>IF(ISERROR(VLOOKUP($S$101,'TAR FIN'!$A$1:$O$86,15,0)),0,VLOOKUP($S$101,'TAR FIN'!$A$1:$O$86,15,0))</f>
        <v>0</v>
      </c>
      <c r="W101" s="4">
        <f>IF(ISERROR(VLOOKUP($T$101,'TAR FIN'!$A$1:$O$86,15,0)),0,VLOOKUP($T$101,'TAR FIN'!$A$1:$O$86,15,0))</f>
        <v>2115.38</v>
      </c>
      <c r="X101" s="4">
        <f>IF(ISERROR(VLOOKUP($U$101,'TAR FIN'!$A$1:$O$86,15,0)),0,VLOOKUP($U$101,'TAR FIN'!$A$1:$O$86,15,0))</f>
        <v>211.54</v>
      </c>
      <c r="Y101" s="4"/>
      <c r="Z101" s="4">
        <f ca="1">('TUSD BE'!$AM$11+'TUSD BF'!$AM$11+'TUSD CVA'!$AM$11)*1</f>
        <v>2284.2159351470723</v>
      </c>
      <c r="AA101" s="4">
        <f>('TE BE'!$AB$5+'TE BF'!$AB$5+'TE CVA'!$AB$5)*1</f>
        <v>196.56876174373542</v>
      </c>
      <c r="AB101" s="4">
        <f>$K$101*$V$101</f>
        <v>0</v>
      </c>
      <c r="AC101" s="4">
        <f>$M$101*$W$101</f>
        <v>28018.2081</v>
      </c>
      <c r="AD101" s="4">
        <f>$O$101*$X$101</f>
        <v>2801.8472999999999</v>
      </c>
      <c r="AE101" s="4">
        <f>$K$101*$Y$101</f>
        <v>0</v>
      </c>
      <c r="AF101" s="4">
        <f ca="1">$M$101*$Z$101</f>
        <v>30254.440061022971</v>
      </c>
      <c r="AG101" s="4">
        <f>$O$101*$AA$101</f>
        <v>2603.5532492957755</v>
      </c>
    </row>
    <row r="102" spans="1:33" ht="11.25" customHeight="1" x14ac:dyDescent="0.25">
      <c r="A102" s="3" t="s">
        <v>28</v>
      </c>
      <c r="B102" s="3" t="s">
        <v>35</v>
      </c>
      <c r="C102" s="3" t="s">
        <v>39</v>
      </c>
      <c r="D102" s="3" t="s">
        <v>40</v>
      </c>
      <c r="E102" s="3" t="s">
        <v>25</v>
      </c>
      <c r="F102" s="3" t="s">
        <v>25</v>
      </c>
      <c r="G102" s="3" t="s">
        <v>25</v>
      </c>
      <c r="H102" s="3" t="s">
        <v>37</v>
      </c>
      <c r="I102" s="6">
        <v>44501</v>
      </c>
      <c r="J102" s="4">
        <v>0</v>
      </c>
      <c r="K102" s="4">
        <v>0</v>
      </c>
      <c r="L102" s="4">
        <v>2.9860000000000002</v>
      </c>
      <c r="M102" s="4">
        <v>2.9860000000000002</v>
      </c>
      <c r="N102" s="4">
        <v>2.9860000000000002</v>
      </c>
      <c r="O102" s="4">
        <v>2.9860000000000002</v>
      </c>
      <c r="P102" s="4">
        <v>0</v>
      </c>
      <c r="Q102" s="3" t="s">
        <v>26</v>
      </c>
      <c r="R102" s="3">
        <v>0</v>
      </c>
      <c r="S102" s="4">
        <v>0</v>
      </c>
      <c r="T102" s="4">
        <v>15</v>
      </c>
      <c r="U102" s="4">
        <v>24</v>
      </c>
      <c r="V102" s="4">
        <f>IF(ISERROR(VLOOKUP($S$102,'TAR FIN'!$A$1:$O$86,15,0)),0,VLOOKUP($S$102,'TAR FIN'!$A$1:$O$86,15,0))</f>
        <v>0</v>
      </c>
      <c r="W102" s="4">
        <f>IF(ISERROR(VLOOKUP($T$102,'TAR FIN'!$A$1:$O$86,15,0)),0,VLOOKUP($T$102,'TAR FIN'!$A$1:$O$86,15,0))</f>
        <v>2115.38</v>
      </c>
      <c r="X102" s="4">
        <f>IF(ISERROR(VLOOKUP($U$102,'TAR FIN'!$A$1:$O$86,15,0)),0,VLOOKUP($U$102,'TAR FIN'!$A$1:$O$86,15,0))</f>
        <v>211.54</v>
      </c>
      <c r="Y102" s="4"/>
      <c r="Z102" s="4">
        <f ca="1">('TUSD BE'!$AM$11+'TUSD BF'!$AM$11+'TUSD CVA'!$AM$11)*1</f>
        <v>2284.2159351470723</v>
      </c>
      <c r="AA102" s="4">
        <f>('TE BE'!$AB$5+'TE BF'!$AB$5+'TE CVA'!$AB$5)*1</f>
        <v>196.56876174373542</v>
      </c>
      <c r="AB102" s="4">
        <f>$K$102*$V$102</f>
        <v>0</v>
      </c>
      <c r="AC102" s="4">
        <f>$M$102*$W$102</f>
        <v>6316.5246800000004</v>
      </c>
      <c r="AD102" s="4">
        <f>$O$102*$X$102</f>
        <v>631.65844000000004</v>
      </c>
      <c r="AE102" s="4">
        <f>$K$102*$Y$102</f>
        <v>0</v>
      </c>
      <c r="AF102" s="4">
        <f ca="1">$M$102*$Z$102</f>
        <v>6820.6687823491584</v>
      </c>
      <c r="AG102" s="4">
        <f>$O$102*$AA$102</f>
        <v>586.95432256679396</v>
      </c>
    </row>
    <row r="103" spans="1:33" ht="11.25" customHeight="1" x14ac:dyDescent="0.25">
      <c r="A103" s="3" t="s">
        <v>21</v>
      </c>
      <c r="B103" s="3" t="s">
        <v>35</v>
      </c>
      <c r="C103" s="3" t="s">
        <v>39</v>
      </c>
      <c r="D103" s="3" t="s">
        <v>40</v>
      </c>
      <c r="E103" s="3" t="s">
        <v>25</v>
      </c>
      <c r="F103" s="3" t="s">
        <v>25</v>
      </c>
      <c r="G103" s="3" t="s">
        <v>25</v>
      </c>
      <c r="H103" s="3" t="s">
        <v>37</v>
      </c>
      <c r="I103" s="6">
        <v>44531</v>
      </c>
      <c r="J103" s="4">
        <v>0</v>
      </c>
      <c r="K103" s="4">
        <v>0</v>
      </c>
      <c r="L103" s="4">
        <v>8.3859999999999992</v>
      </c>
      <c r="M103" s="4">
        <v>8.3859999999999992</v>
      </c>
      <c r="N103" s="4">
        <v>8.3859999999999992</v>
      </c>
      <c r="O103" s="4">
        <v>8.3859999999999992</v>
      </c>
      <c r="P103" s="4">
        <v>0</v>
      </c>
      <c r="Q103" s="3" t="s">
        <v>26</v>
      </c>
      <c r="R103" s="3">
        <v>0</v>
      </c>
      <c r="S103" s="4">
        <v>0</v>
      </c>
      <c r="T103" s="4">
        <v>15</v>
      </c>
      <c r="U103" s="4">
        <v>24</v>
      </c>
      <c r="V103" s="4">
        <f>IF(ISERROR(VLOOKUP($S$103,'TAR FIN'!$A$1:$O$86,15,0)),0,VLOOKUP($S$103,'TAR FIN'!$A$1:$O$86,15,0))</f>
        <v>0</v>
      </c>
      <c r="W103" s="4">
        <f>IF(ISERROR(VLOOKUP($T$103,'TAR FIN'!$A$1:$O$86,15,0)),0,VLOOKUP($T$103,'TAR FIN'!$A$1:$O$86,15,0))</f>
        <v>2115.38</v>
      </c>
      <c r="X103" s="4">
        <f>IF(ISERROR(VLOOKUP($U$103,'TAR FIN'!$A$1:$O$86,15,0)),0,VLOOKUP($U$103,'TAR FIN'!$A$1:$O$86,15,0))</f>
        <v>211.54</v>
      </c>
      <c r="Y103" s="4"/>
      <c r="Z103" s="4">
        <f ca="1">('TUSD BE'!$AM$11+'TUSD BF'!$AM$11+'TUSD CVA'!$AM$11)*1</f>
        <v>2284.2159351470723</v>
      </c>
      <c r="AA103" s="4">
        <f>('TE BE'!$AB$5+'TE BF'!$AB$5+'TE CVA'!$AB$5)*1</f>
        <v>196.56876174373542</v>
      </c>
      <c r="AB103" s="4">
        <f>$K$103*$V$103</f>
        <v>0</v>
      </c>
      <c r="AC103" s="4">
        <f>$M$103*$W$103</f>
        <v>17739.576679999998</v>
      </c>
      <c r="AD103" s="4">
        <f>$O$103*$X$103</f>
        <v>1773.9744399999997</v>
      </c>
      <c r="AE103" s="4">
        <f>$K$103*$Y$103</f>
        <v>0</v>
      </c>
      <c r="AF103" s="4">
        <f ca="1">$M$103*$Z$103</f>
        <v>19155.434832143346</v>
      </c>
      <c r="AG103" s="4">
        <f>$O$103*$AA$103</f>
        <v>1648.4256359829651</v>
      </c>
    </row>
    <row r="104" spans="1:33" ht="11.25" customHeight="1" x14ac:dyDescent="0.25">
      <c r="A104" s="3" t="s">
        <v>21</v>
      </c>
      <c r="B104" s="3" t="s">
        <v>35</v>
      </c>
      <c r="C104" s="3" t="s">
        <v>39</v>
      </c>
      <c r="D104" s="3" t="s">
        <v>40</v>
      </c>
      <c r="E104" s="3" t="s">
        <v>25</v>
      </c>
      <c r="F104" s="3" t="s">
        <v>25</v>
      </c>
      <c r="G104" s="3" t="s">
        <v>25</v>
      </c>
      <c r="H104" s="3" t="s">
        <v>37</v>
      </c>
      <c r="I104" s="6">
        <v>44562</v>
      </c>
      <c r="J104" s="4">
        <v>0</v>
      </c>
      <c r="K104" s="4">
        <v>0</v>
      </c>
      <c r="L104" s="4">
        <v>2.1819999999999999</v>
      </c>
      <c r="M104" s="4">
        <v>2.1819999999999999</v>
      </c>
      <c r="N104" s="4">
        <v>2.1819999999999999</v>
      </c>
      <c r="O104" s="4">
        <v>2.1819999999999999</v>
      </c>
      <c r="P104" s="4">
        <v>0</v>
      </c>
      <c r="Q104" s="3" t="s">
        <v>26</v>
      </c>
      <c r="R104" s="3">
        <v>0</v>
      </c>
      <c r="S104" s="4">
        <v>0</v>
      </c>
      <c r="T104" s="4">
        <v>15</v>
      </c>
      <c r="U104" s="4">
        <v>24</v>
      </c>
      <c r="V104" s="4">
        <f>IF(ISERROR(VLOOKUP($S$104,'TAR FIN'!$A$1:$O$86,15,0)),0,VLOOKUP($S$104,'TAR FIN'!$A$1:$O$86,15,0))</f>
        <v>0</v>
      </c>
      <c r="W104" s="4">
        <f>IF(ISERROR(VLOOKUP($T$104,'TAR FIN'!$A$1:$O$86,15,0)),0,VLOOKUP($T$104,'TAR FIN'!$A$1:$O$86,15,0))</f>
        <v>2115.38</v>
      </c>
      <c r="X104" s="4">
        <f>IF(ISERROR(VLOOKUP($U$104,'TAR FIN'!$A$1:$O$86,15,0)),0,VLOOKUP($U$104,'TAR FIN'!$A$1:$O$86,15,0))</f>
        <v>211.54</v>
      </c>
      <c r="Y104" s="4"/>
      <c r="Z104" s="4">
        <f ca="1">('TUSD BE'!$AM$11+'TUSD BF'!$AM$11+'TUSD CVA'!$AM$11)*1</f>
        <v>2284.2159351470723</v>
      </c>
      <c r="AA104" s="4">
        <f>('TE BE'!$AB$5+'TE BF'!$AB$5+'TE CVA'!$AB$5)*1</f>
        <v>196.56876174373542</v>
      </c>
      <c r="AB104" s="4">
        <f>$K$104*$V$104</f>
        <v>0</v>
      </c>
      <c r="AC104" s="4">
        <f>$M$104*$W$104</f>
        <v>4615.7591600000005</v>
      </c>
      <c r="AD104" s="4">
        <f>$O$104*$X$104</f>
        <v>461.58027999999996</v>
      </c>
      <c r="AE104" s="4">
        <f>$K$104*$Y$104</f>
        <v>0</v>
      </c>
      <c r="AF104" s="4">
        <f ca="1">$M$104*$Z$104</f>
        <v>4984.1591704909115</v>
      </c>
      <c r="AG104" s="4">
        <f>$O$104*$AA$104</f>
        <v>428.91303812483068</v>
      </c>
    </row>
    <row r="105" spans="1:33" ht="11.25" customHeight="1" x14ac:dyDescent="0.25">
      <c r="A105" s="3" t="s">
        <v>28</v>
      </c>
      <c r="B105" s="3" t="s">
        <v>35</v>
      </c>
      <c r="C105" s="3" t="s">
        <v>39</v>
      </c>
      <c r="D105" s="3" t="s">
        <v>40</v>
      </c>
      <c r="E105" s="3" t="s">
        <v>25</v>
      </c>
      <c r="F105" s="3" t="s">
        <v>25</v>
      </c>
      <c r="G105" s="3" t="s">
        <v>25</v>
      </c>
      <c r="H105" s="3" t="s">
        <v>37</v>
      </c>
      <c r="I105" s="6">
        <v>44562</v>
      </c>
      <c r="J105" s="4">
        <v>0</v>
      </c>
      <c r="K105" s="4">
        <v>0</v>
      </c>
      <c r="L105" s="4">
        <v>0.14599999999999999</v>
      </c>
      <c r="M105" s="4">
        <v>0.14599999999999999</v>
      </c>
      <c r="N105" s="4">
        <v>0.14599999999999999</v>
      </c>
      <c r="O105" s="4">
        <v>0.14599999999999999</v>
      </c>
      <c r="P105" s="4">
        <v>0</v>
      </c>
      <c r="Q105" s="3" t="s">
        <v>26</v>
      </c>
      <c r="R105" s="3">
        <v>0</v>
      </c>
      <c r="S105" s="4">
        <v>0</v>
      </c>
      <c r="T105" s="4">
        <v>15</v>
      </c>
      <c r="U105" s="4">
        <v>24</v>
      </c>
      <c r="V105" s="4">
        <f>IF(ISERROR(VLOOKUP($S$105,'TAR FIN'!$A$1:$O$86,15,0)),0,VLOOKUP($S$105,'TAR FIN'!$A$1:$O$86,15,0))</f>
        <v>0</v>
      </c>
      <c r="W105" s="4">
        <f>IF(ISERROR(VLOOKUP($T$105,'TAR FIN'!$A$1:$O$86,15,0)),0,VLOOKUP($T$105,'TAR FIN'!$A$1:$O$86,15,0))</f>
        <v>2115.38</v>
      </c>
      <c r="X105" s="4">
        <f>IF(ISERROR(VLOOKUP($U$105,'TAR FIN'!$A$1:$O$86,15,0)),0,VLOOKUP($U$105,'TAR FIN'!$A$1:$O$86,15,0))</f>
        <v>211.54</v>
      </c>
      <c r="Y105" s="4"/>
      <c r="Z105" s="4">
        <f ca="1">('TUSD BE'!$AM$11+'TUSD BF'!$AM$11+'TUSD CVA'!$AM$11)*1</f>
        <v>2284.2159351470723</v>
      </c>
      <c r="AA105" s="4">
        <f>('TE BE'!$AB$5+'TE BF'!$AB$5+'TE CVA'!$AB$5)*1</f>
        <v>196.56876174373542</v>
      </c>
      <c r="AB105" s="4">
        <f>$K$105*$V$105</f>
        <v>0</v>
      </c>
      <c r="AC105" s="4">
        <f>$M$105*$W$105</f>
        <v>308.84548000000001</v>
      </c>
      <c r="AD105" s="4">
        <f>$O$105*$X$105</f>
        <v>30.884839999999997</v>
      </c>
      <c r="AE105" s="4">
        <f>$K$105*$Y$105</f>
        <v>0</v>
      </c>
      <c r="AF105" s="4">
        <f ca="1">$M$105*$Z$105</f>
        <v>333.49552653147254</v>
      </c>
      <c r="AG105" s="4">
        <f>$O$105*$AA$105</f>
        <v>28.699039214585369</v>
      </c>
    </row>
    <row r="106" spans="1:33" ht="11.25" customHeight="1" x14ac:dyDescent="0.25">
      <c r="A106" s="3" t="s">
        <v>21</v>
      </c>
      <c r="B106" s="3" t="s">
        <v>35</v>
      </c>
      <c r="C106" s="3" t="s">
        <v>39</v>
      </c>
      <c r="D106" s="3" t="s">
        <v>40</v>
      </c>
      <c r="E106" s="3" t="s">
        <v>25</v>
      </c>
      <c r="F106" s="3" t="s">
        <v>25</v>
      </c>
      <c r="G106" s="3" t="s">
        <v>25</v>
      </c>
      <c r="H106" s="3" t="s">
        <v>37</v>
      </c>
      <c r="I106" s="6">
        <v>44593</v>
      </c>
      <c r="J106" s="4">
        <v>0</v>
      </c>
      <c r="K106" s="4">
        <v>0</v>
      </c>
      <c r="L106" s="4">
        <v>4.4729999999999999</v>
      </c>
      <c r="M106" s="4">
        <v>4.4729999999999999</v>
      </c>
      <c r="N106" s="4">
        <v>4.4729999999999999</v>
      </c>
      <c r="O106" s="4">
        <v>4.4729999999999999</v>
      </c>
      <c r="P106" s="4">
        <v>0</v>
      </c>
      <c r="Q106" s="3" t="s">
        <v>26</v>
      </c>
      <c r="R106" s="3">
        <v>0</v>
      </c>
      <c r="S106" s="4">
        <v>0</v>
      </c>
      <c r="T106" s="4">
        <v>15</v>
      </c>
      <c r="U106" s="4">
        <v>24</v>
      </c>
      <c r="V106" s="4">
        <f>IF(ISERROR(VLOOKUP($S$106,'TAR FIN'!$A$1:$O$86,15,0)),0,VLOOKUP($S$106,'TAR FIN'!$A$1:$O$86,15,0))</f>
        <v>0</v>
      </c>
      <c r="W106" s="4">
        <f>IF(ISERROR(VLOOKUP($T$106,'TAR FIN'!$A$1:$O$86,15,0)),0,VLOOKUP($T$106,'TAR FIN'!$A$1:$O$86,15,0))</f>
        <v>2115.38</v>
      </c>
      <c r="X106" s="4">
        <f>IF(ISERROR(VLOOKUP($U$106,'TAR FIN'!$A$1:$O$86,15,0)),0,VLOOKUP($U$106,'TAR FIN'!$A$1:$O$86,15,0))</f>
        <v>211.54</v>
      </c>
      <c r="Y106" s="4"/>
      <c r="Z106" s="4">
        <f ca="1">('TUSD BE'!$AM$11+'TUSD BF'!$AM$11+'TUSD CVA'!$AM$11)*1</f>
        <v>2284.2159351470723</v>
      </c>
      <c r="AA106" s="4">
        <f>('TE BE'!$AB$5+'TE BF'!$AB$5+'TE CVA'!$AB$5)*1</f>
        <v>196.56876174373542</v>
      </c>
      <c r="AB106" s="4">
        <f>$K$106*$V$106</f>
        <v>0</v>
      </c>
      <c r="AC106" s="4">
        <f>$M$106*$W$106</f>
        <v>9462.0947400000005</v>
      </c>
      <c r="AD106" s="4">
        <f>$O$106*$X$106</f>
        <v>946.21841999999992</v>
      </c>
      <c r="AE106" s="4">
        <f>$K$106*$Y$106</f>
        <v>0</v>
      </c>
      <c r="AF106" s="4">
        <f ca="1">$M$106*$Z$106</f>
        <v>10217.297877912853</v>
      </c>
      <c r="AG106" s="4">
        <f>$O$106*$AA$106</f>
        <v>879.25207127972851</v>
      </c>
    </row>
    <row r="107" spans="1:33" ht="11.25" customHeight="1" x14ac:dyDescent="0.25">
      <c r="A107" s="3" t="s">
        <v>28</v>
      </c>
      <c r="B107" s="3" t="s">
        <v>35</v>
      </c>
      <c r="C107" s="3" t="s">
        <v>39</v>
      </c>
      <c r="D107" s="3" t="s">
        <v>40</v>
      </c>
      <c r="E107" s="3" t="s">
        <v>25</v>
      </c>
      <c r="F107" s="3" t="s">
        <v>25</v>
      </c>
      <c r="G107" s="3" t="s">
        <v>25</v>
      </c>
      <c r="H107" s="3" t="s">
        <v>37</v>
      </c>
      <c r="I107" s="6">
        <v>44593</v>
      </c>
      <c r="J107" s="4">
        <v>0</v>
      </c>
      <c r="K107" s="4">
        <v>0</v>
      </c>
      <c r="L107" s="4">
        <v>2.1549999999999998</v>
      </c>
      <c r="M107" s="4">
        <v>2.1549999999999998</v>
      </c>
      <c r="N107" s="4">
        <v>2.1549999999999998</v>
      </c>
      <c r="O107" s="4">
        <v>2.1549999999999998</v>
      </c>
      <c r="P107" s="4">
        <v>0</v>
      </c>
      <c r="Q107" s="3" t="s">
        <v>26</v>
      </c>
      <c r="R107" s="3">
        <v>0</v>
      </c>
      <c r="S107" s="4">
        <v>0</v>
      </c>
      <c r="T107" s="4">
        <v>15</v>
      </c>
      <c r="U107" s="4">
        <v>24</v>
      </c>
      <c r="V107" s="4">
        <f>IF(ISERROR(VLOOKUP($S$107,'TAR FIN'!$A$1:$O$86,15,0)),0,VLOOKUP($S$107,'TAR FIN'!$A$1:$O$86,15,0))</f>
        <v>0</v>
      </c>
      <c r="W107" s="4">
        <f>IF(ISERROR(VLOOKUP($T$107,'TAR FIN'!$A$1:$O$86,15,0)),0,VLOOKUP($T$107,'TAR FIN'!$A$1:$O$86,15,0))</f>
        <v>2115.38</v>
      </c>
      <c r="X107" s="4">
        <f>IF(ISERROR(VLOOKUP($U$107,'TAR FIN'!$A$1:$O$86,15,0)),0,VLOOKUP($U$107,'TAR FIN'!$A$1:$O$86,15,0))</f>
        <v>211.54</v>
      </c>
      <c r="Y107" s="4"/>
      <c r="Z107" s="4">
        <f ca="1">('TUSD BE'!$AM$11+'TUSD BF'!$AM$11+'TUSD CVA'!$AM$11)*1</f>
        <v>2284.2159351470723</v>
      </c>
      <c r="AA107" s="4">
        <f>('TE BE'!$AB$5+'TE BF'!$AB$5+'TE CVA'!$AB$5)*1</f>
        <v>196.56876174373542</v>
      </c>
      <c r="AB107" s="4">
        <f>$K$107*$V$107</f>
        <v>0</v>
      </c>
      <c r="AC107" s="4">
        <f>$M$107*$W$107</f>
        <v>4558.6439</v>
      </c>
      <c r="AD107" s="4">
        <f>$O$107*$X$107</f>
        <v>455.86869999999993</v>
      </c>
      <c r="AE107" s="4">
        <f>$K$107*$Y$107</f>
        <v>0</v>
      </c>
      <c r="AF107" s="4">
        <f ca="1">$M$107*$Z$107</f>
        <v>4922.4853402419403</v>
      </c>
      <c r="AG107" s="4">
        <f>$O$107*$AA$107</f>
        <v>423.60568155774979</v>
      </c>
    </row>
    <row r="108" spans="1:33" ht="11.25" customHeight="1" x14ac:dyDescent="0.25">
      <c r="A108" s="3" t="s">
        <v>21</v>
      </c>
      <c r="B108" s="3" t="s">
        <v>35</v>
      </c>
      <c r="C108" s="3" t="s">
        <v>39</v>
      </c>
      <c r="D108" s="3" t="s">
        <v>40</v>
      </c>
      <c r="E108" s="3" t="s">
        <v>25</v>
      </c>
      <c r="F108" s="3" t="s">
        <v>25</v>
      </c>
      <c r="G108" s="3" t="s">
        <v>25</v>
      </c>
      <c r="H108" s="3" t="s">
        <v>37</v>
      </c>
      <c r="I108" s="6">
        <v>44621</v>
      </c>
      <c r="J108" s="4">
        <v>0</v>
      </c>
      <c r="K108" s="4">
        <v>0</v>
      </c>
      <c r="L108" s="4">
        <v>12.638</v>
      </c>
      <c r="M108" s="4">
        <v>12.638</v>
      </c>
      <c r="N108" s="4">
        <v>12.638</v>
      </c>
      <c r="O108" s="4">
        <v>12.638</v>
      </c>
      <c r="P108" s="4">
        <v>0</v>
      </c>
      <c r="Q108" s="3" t="s">
        <v>26</v>
      </c>
      <c r="R108" s="3">
        <v>0</v>
      </c>
      <c r="S108" s="4">
        <v>0</v>
      </c>
      <c r="T108" s="4">
        <v>15</v>
      </c>
      <c r="U108" s="4">
        <v>24</v>
      </c>
      <c r="V108" s="4">
        <f>IF(ISERROR(VLOOKUP($S$108,'TAR FIN'!$A$1:$O$86,15,0)),0,VLOOKUP($S$108,'TAR FIN'!$A$1:$O$86,15,0))</f>
        <v>0</v>
      </c>
      <c r="W108" s="4">
        <f>IF(ISERROR(VLOOKUP($T$108,'TAR FIN'!$A$1:$O$86,15,0)),0,VLOOKUP($T$108,'TAR FIN'!$A$1:$O$86,15,0))</f>
        <v>2115.38</v>
      </c>
      <c r="X108" s="4">
        <f>IF(ISERROR(VLOOKUP($U$108,'TAR FIN'!$A$1:$O$86,15,0)),0,VLOOKUP($U$108,'TAR FIN'!$A$1:$O$86,15,0))</f>
        <v>211.54</v>
      </c>
      <c r="Y108" s="4"/>
      <c r="Z108" s="4">
        <f ca="1">('TUSD BE'!$AM$11+'TUSD BF'!$AM$11+'TUSD CVA'!$AM$11)*1</f>
        <v>2284.2159351470723</v>
      </c>
      <c r="AA108" s="4">
        <f>('TE BE'!$AB$5+'TE BF'!$AB$5+'TE CVA'!$AB$5)*1</f>
        <v>196.56876174373542</v>
      </c>
      <c r="AB108" s="4">
        <f>$K$108*$V$108</f>
        <v>0</v>
      </c>
      <c r="AC108" s="4">
        <f>$M$108*$W$108</f>
        <v>26734.172440000002</v>
      </c>
      <c r="AD108" s="4">
        <f>$O$108*$X$108</f>
        <v>2673.4425200000001</v>
      </c>
      <c r="AE108" s="4">
        <f>$K$108*$Y$108</f>
        <v>0</v>
      </c>
      <c r="AF108" s="4">
        <f ca="1">$M$108*$Z$108</f>
        <v>28867.920988388698</v>
      </c>
      <c r="AG108" s="4">
        <f>$O$108*$AA$108</f>
        <v>2484.2360109173283</v>
      </c>
    </row>
    <row r="109" spans="1:33" ht="11.25" customHeight="1" x14ac:dyDescent="0.25">
      <c r="A109" s="3" t="s">
        <v>28</v>
      </c>
      <c r="B109" s="3" t="s">
        <v>35</v>
      </c>
      <c r="C109" s="3" t="s">
        <v>39</v>
      </c>
      <c r="D109" s="3" t="s">
        <v>40</v>
      </c>
      <c r="E109" s="3" t="s">
        <v>25</v>
      </c>
      <c r="F109" s="3" t="s">
        <v>25</v>
      </c>
      <c r="G109" s="3" t="s">
        <v>25</v>
      </c>
      <c r="H109" s="3" t="s">
        <v>37</v>
      </c>
      <c r="I109" s="6">
        <v>44621</v>
      </c>
      <c r="J109" s="4">
        <v>0</v>
      </c>
      <c r="K109" s="4">
        <v>0</v>
      </c>
      <c r="L109" s="4">
        <v>2.5649999999999999</v>
      </c>
      <c r="M109" s="4">
        <v>2.5649999999999999</v>
      </c>
      <c r="N109" s="4">
        <v>2.5649999999999999</v>
      </c>
      <c r="O109" s="4">
        <v>2.5649999999999999</v>
      </c>
      <c r="P109" s="4">
        <v>0</v>
      </c>
      <c r="Q109" s="3" t="s">
        <v>26</v>
      </c>
      <c r="R109" s="3">
        <v>0</v>
      </c>
      <c r="S109" s="4">
        <v>0</v>
      </c>
      <c r="T109" s="4">
        <v>15</v>
      </c>
      <c r="U109" s="4">
        <v>24</v>
      </c>
      <c r="V109" s="4">
        <f>IF(ISERROR(VLOOKUP($S$109,'TAR FIN'!$A$1:$O$86,15,0)),0,VLOOKUP($S$109,'TAR FIN'!$A$1:$O$86,15,0))</f>
        <v>0</v>
      </c>
      <c r="W109" s="4">
        <f>IF(ISERROR(VLOOKUP($T$109,'TAR FIN'!$A$1:$O$86,15,0)),0,VLOOKUP($T$109,'TAR FIN'!$A$1:$O$86,15,0))</f>
        <v>2115.38</v>
      </c>
      <c r="X109" s="4">
        <f>IF(ISERROR(VLOOKUP($U$109,'TAR FIN'!$A$1:$O$86,15,0)),0,VLOOKUP($U$109,'TAR FIN'!$A$1:$O$86,15,0))</f>
        <v>211.54</v>
      </c>
      <c r="Y109" s="4"/>
      <c r="Z109" s="4">
        <f ca="1">('TUSD BE'!$AM$11+'TUSD BF'!$AM$11+'TUSD CVA'!$AM$11)*1</f>
        <v>2284.2159351470723</v>
      </c>
      <c r="AA109" s="4">
        <f>('TE BE'!$AB$5+'TE BF'!$AB$5+'TE CVA'!$AB$5)*1</f>
        <v>196.56876174373542</v>
      </c>
      <c r="AB109" s="4">
        <f>$K$109*$V$109</f>
        <v>0</v>
      </c>
      <c r="AC109" s="4">
        <f>$M$109*$W$109</f>
        <v>5425.9497000000001</v>
      </c>
      <c r="AD109" s="4">
        <f>$O$109*$X$109</f>
        <v>542.6001</v>
      </c>
      <c r="AE109" s="4">
        <f>$K$109*$Y$109</f>
        <v>0</v>
      </c>
      <c r="AF109" s="4">
        <f ca="1">$M$109*$Z$109</f>
        <v>5859.0138736522404</v>
      </c>
      <c r="AG109" s="4">
        <f>$O$109*$AA$109</f>
        <v>504.19887387268136</v>
      </c>
    </row>
    <row r="110" spans="1:33" ht="11.25" customHeight="1" x14ac:dyDescent="0.25">
      <c r="A110" s="3" t="s">
        <v>21</v>
      </c>
      <c r="B110" s="3" t="s">
        <v>35</v>
      </c>
      <c r="C110" s="3" t="s">
        <v>39</v>
      </c>
      <c r="D110" s="3" t="s">
        <v>40</v>
      </c>
      <c r="E110" s="3" t="s">
        <v>25</v>
      </c>
      <c r="F110" s="3" t="s">
        <v>25</v>
      </c>
      <c r="G110" s="3" t="s">
        <v>25</v>
      </c>
      <c r="H110" s="3" t="s">
        <v>37</v>
      </c>
      <c r="I110" s="6">
        <v>44652</v>
      </c>
      <c r="J110" s="4">
        <v>0</v>
      </c>
      <c r="K110" s="4">
        <v>0</v>
      </c>
      <c r="L110" s="4">
        <v>13.042999999999999</v>
      </c>
      <c r="M110" s="4">
        <v>13.042999999999999</v>
      </c>
      <c r="N110" s="4">
        <v>13.042999999999999</v>
      </c>
      <c r="O110" s="4">
        <v>13.042999999999999</v>
      </c>
      <c r="P110" s="4">
        <v>0</v>
      </c>
      <c r="Q110" s="3" t="s">
        <v>26</v>
      </c>
      <c r="R110" s="3">
        <v>0</v>
      </c>
      <c r="S110" s="4">
        <v>0</v>
      </c>
      <c r="T110" s="4">
        <v>15</v>
      </c>
      <c r="U110" s="4">
        <v>24</v>
      </c>
      <c r="V110" s="4">
        <f>IF(ISERROR(VLOOKUP($S$110,'TAR FIN'!$A$1:$O$86,15,0)),0,VLOOKUP($S$110,'TAR FIN'!$A$1:$O$86,15,0))</f>
        <v>0</v>
      </c>
      <c r="W110" s="4">
        <f>IF(ISERROR(VLOOKUP($T$110,'TAR FIN'!$A$1:$O$86,15,0)),0,VLOOKUP($T$110,'TAR FIN'!$A$1:$O$86,15,0))</f>
        <v>2115.38</v>
      </c>
      <c r="X110" s="4">
        <f>IF(ISERROR(VLOOKUP($U$110,'TAR FIN'!$A$1:$O$86,15,0)),0,VLOOKUP($U$110,'TAR FIN'!$A$1:$O$86,15,0))</f>
        <v>211.54</v>
      </c>
      <c r="Y110" s="4"/>
      <c r="Z110" s="4">
        <f ca="1">('TUSD BE'!$AM$11+'TUSD BF'!$AM$11+'TUSD CVA'!$AM$11)*1</f>
        <v>2284.2159351470723</v>
      </c>
      <c r="AA110" s="4">
        <f>('TE BE'!$AB$5+'TE BF'!$AB$5+'TE CVA'!$AB$5)*1</f>
        <v>196.56876174373542</v>
      </c>
      <c r="AB110" s="4">
        <f>$K$110*$V$110</f>
        <v>0</v>
      </c>
      <c r="AC110" s="4">
        <f>$M$110*$W$110</f>
        <v>27590.90134</v>
      </c>
      <c r="AD110" s="4">
        <f>$O$110*$X$110</f>
        <v>2759.1162199999999</v>
      </c>
      <c r="AE110" s="4">
        <f>$K$110*$Y$110</f>
        <v>0</v>
      </c>
      <c r="AF110" s="4">
        <f ca="1">$M$110*$Z$110</f>
        <v>29793.028442123261</v>
      </c>
      <c r="AG110" s="4">
        <f>$O$110*$AA$110</f>
        <v>2563.8463594235409</v>
      </c>
    </row>
    <row r="111" spans="1:33" ht="11.25" customHeight="1" x14ac:dyDescent="0.25">
      <c r="A111" s="3" t="s">
        <v>28</v>
      </c>
      <c r="B111" s="3" t="s">
        <v>35</v>
      </c>
      <c r="C111" s="3" t="s">
        <v>39</v>
      </c>
      <c r="D111" s="3" t="s">
        <v>40</v>
      </c>
      <c r="E111" s="3" t="s">
        <v>25</v>
      </c>
      <c r="F111" s="3" t="s">
        <v>25</v>
      </c>
      <c r="G111" s="3" t="s">
        <v>25</v>
      </c>
      <c r="H111" s="3" t="s">
        <v>37</v>
      </c>
      <c r="I111" s="6">
        <v>44652</v>
      </c>
      <c r="J111" s="4">
        <v>0</v>
      </c>
      <c r="K111" s="4">
        <v>0</v>
      </c>
      <c r="L111" s="4">
        <v>1.2010000000000001</v>
      </c>
      <c r="M111" s="4">
        <v>1.2010000000000001</v>
      </c>
      <c r="N111" s="4">
        <v>1.2010000000000001</v>
      </c>
      <c r="O111" s="4">
        <v>1.2010000000000001</v>
      </c>
      <c r="P111" s="4">
        <v>0</v>
      </c>
      <c r="Q111" s="3" t="s">
        <v>26</v>
      </c>
      <c r="R111" s="3">
        <v>0</v>
      </c>
      <c r="S111" s="4">
        <v>0</v>
      </c>
      <c r="T111" s="4">
        <v>15</v>
      </c>
      <c r="U111" s="4">
        <v>24</v>
      </c>
      <c r="V111" s="4">
        <f>IF(ISERROR(VLOOKUP($S$111,'TAR FIN'!$A$1:$O$86,15,0)),0,VLOOKUP($S$111,'TAR FIN'!$A$1:$O$86,15,0))</f>
        <v>0</v>
      </c>
      <c r="W111" s="4">
        <f>IF(ISERROR(VLOOKUP($T$111,'TAR FIN'!$A$1:$O$86,15,0)),0,VLOOKUP($T$111,'TAR FIN'!$A$1:$O$86,15,0))</f>
        <v>2115.38</v>
      </c>
      <c r="X111" s="4">
        <f>IF(ISERROR(VLOOKUP($U$111,'TAR FIN'!$A$1:$O$86,15,0)),0,VLOOKUP($U$111,'TAR FIN'!$A$1:$O$86,15,0))</f>
        <v>211.54</v>
      </c>
      <c r="Y111" s="4"/>
      <c r="Z111" s="4">
        <f ca="1">('TUSD BE'!$AM$11+'TUSD BF'!$AM$11+'TUSD CVA'!$AM$11)*1</f>
        <v>2284.2159351470723</v>
      </c>
      <c r="AA111" s="4">
        <f>('TE BE'!$AB$5+'TE BF'!$AB$5+'TE CVA'!$AB$5)*1</f>
        <v>196.56876174373542</v>
      </c>
      <c r="AB111" s="4">
        <f>$K$111*$V$111</f>
        <v>0</v>
      </c>
      <c r="AC111" s="4">
        <f>$M$111*$W$111</f>
        <v>2540.5713800000003</v>
      </c>
      <c r="AD111" s="4">
        <f>$O$111*$X$111</f>
        <v>254.05954</v>
      </c>
      <c r="AE111" s="4">
        <f>$K$111*$Y$111</f>
        <v>0</v>
      </c>
      <c r="AF111" s="4">
        <f ca="1">$M$111*$Z$111</f>
        <v>2743.3433381116338</v>
      </c>
      <c r="AG111" s="4">
        <f>$O$111*$AA$111</f>
        <v>236.07908285422624</v>
      </c>
    </row>
    <row r="112" spans="1:33" ht="11.25" customHeight="1" x14ac:dyDescent="0.25">
      <c r="A112" s="3" t="s">
        <v>21</v>
      </c>
      <c r="B112" s="3" t="s">
        <v>35</v>
      </c>
      <c r="C112" s="3" t="s">
        <v>39</v>
      </c>
      <c r="D112" s="3" t="s">
        <v>40</v>
      </c>
      <c r="E112" s="3" t="s">
        <v>25</v>
      </c>
      <c r="F112" s="3" t="s">
        <v>25</v>
      </c>
      <c r="G112" s="3" t="s">
        <v>25</v>
      </c>
      <c r="H112" s="3" t="s">
        <v>37</v>
      </c>
      <c r="I112" s="6">
        <v>44682</v>
      </c>
      <c r="J112" s="4">
        <v>0</v>
      </c>
      <c r="K112" s="4">
        <v>0</v>
      </c>
      <c r="L112" s="4">
        <v>5.9960000000000004</v>
      </c>
      <c r="M112" s="4">
        <v>5.9960000000000004</v>
      </c>
      <c r="N112" s="4">
        <v>5.9960000000000004</v>
      </c>
      <c r="O112" s="4">
        <v>5.9960000000000004</v>
      </c>
      <c r="P112" s="4">
        <v>0</v>
      </c>
      <c r="Q112" s="3" t="s">
        <v>26</v>
      </c>
      <c r="R112" s="3">
        <v>0</v>
      </c>
      <c r="S112" s="4">
        <v>0</v>
      </c>
      <c r="T112" s="4">
        <v>15</v>
      </c>
      <c r="U112" s="4">
        <v>24</v>
      </c>
      <c r="V112" s="4">
        <f>IF(ISERROR(VLOOKUP($S$112,'TAR FIN'!$A$1:$O$86,15,0)),0,VLOOKUP($S$112,'TAR FIN'!$A$1:$O$86,15,0))</f>
        <v>0</v>
      </c>
      <c r="W112" s="4">
        <f>IF(ISERROR(VLOOKUP($T$112,'TAR FIN'!$A$1:$O$86,15,0)),0,VLOOKUP($T$112,'TAR FIN'!$A$1:$O$86,15,0))</f>
        <v>2115.38</v>
      </c>
      <c r="X112" s="4">
        <f>IF(ISERROR(VLOOKUP($U$112,'TAR FIN'!$A$1:$O$86,15,0)),0,VLOOKUP($U$112,'TAR FIN'!$A$1:$O$86,15,0))</f>
        <v>211.54</v>
      </c>
      <c r="Y112" s="4"/>
      <c r="Z112" s="4">
        <f ca="1">('TUSD BE'!$AM$11+'TUSD BF'!$AM$11+'TUSD CVA'!$AM$11)*1</f>
        <v>2284.2159351470723</v>
      </c>
      <c r="AA112" s="4">
        <f>('TE BE'!$AB$5+'TE BF'!$AB$5+'TE CVA'!$AB$5)*1</f>
        <v>196.56876174373542</v>
      </c>
      <c r="AB112" s="4">
        <f>$K$112*$V$112</f>
        <v>0</v>
      </c>
      <c r="AC112" s="4">
        <f>$M$112*$W$112</f>
        <v>12683.818480000002</v>
      </c>
      <c r="AD112" s="4">
        <f>$O$112*$X$112</f>
        <v>1268.39384</v>
      </c>
      <c r="AE112" s="4">
        <f>$K$112*$Y$112</f>
        <v>0</v>
      </c>
      <c r="AF112" s="4">
        <f ca="1">$M$112*$Z$112</f>
        <v>13696.158747141846</v>
      </c>
      <c r="AG112" s="4">
        <f>$O$112*$AA$112</f>
        <v>1178.6262954154377</v>
      </c>
    </row>
    <row r="113" spans="1:33" ht="11.25" customHeight="1" x14ac:dyDescent="0.25">
      <c r="A113" s="3" t="s">
        <v>28</v>
      </c>
      <c r="B113" s="3" t="s">
        <v>35</v>
      </c>
      <c r="C113" s="3" t="s">
        <v>39</v>
      </c>
      <c r="D113" s="3" t="s">
        <v>40</v>
      </c>
      <c r="E113" s="3" t="s">
        <v>25</v>
      </c>
      <c r="F113" s="3" t="s">
        <v>25</v>
      </c>
      <c r="G113" s="3" t="s">
        <v>25</v>
      </c>
      <c r="H113" s="3" t="s">
        <v>37</v>
      </c>
      <c r="I113" s="6">
        <v>44682</v>
      </c>
      <c r="J113" s="4">
        <v>0</v>
      </c>
      <c r="K113" s="4">
        <v>0</v>
      </c>
      <c r="L113" s="4">
        <v>2.4550000000000001</v>
      </c>
      <c r="M113" s="4">
        <v>2.4550000000000001</v>
      </c>
      <c r="N113" s="4">
        <v>2.4550000000000001</v>
      </c>
      <c r="O113" s="4">
        <v>2.4550000000000001</v>
      </c>
      <c r="P113" s="4">
        <v>0</v>
      </c>
      <c r="Q113" s="3" t="s">
        <v>26</v>
      </c>
      <c r="R113" s="3">
        <v>0</v>
      </c>
      <c r="S113" s="4">
        <v>0</v>
      </c>
      <c r="T113" s="4">
        <v>15</v>
      </c>
      <c r="U113" s="4">
        <v>24</v>
      </c>
      <c r="V113" s="4">
        <f>IF(ISERROR(VLOOKUP($S$113,'TAR FIN'!$A$1:$O$86,15,0)),0,VLOOKUP($S$113,'TAR FIN'!$A$1:$O$86,15,0))</f>
        <v>0</v>
      </c>
      <c r="W113" s="4">
        <f>IF(ISERROR(VLOOKUP($T$113,'TAR FIN'!$A$1:$O$86,15,0)),0,VLOOKUP($T$113,'TAR FIN'!$A$1:$O$86,15,0))</f>
        <v>2115.38</v>
      </c>
      <c r="X113" s="4">
        <f>IF(ISERROR(VLOOKUP($U$113,'TAR FIN'!$A$1:$O$86,15,0)),0,VLOOKUP($U$113,'TAR FIN'!$A$1:$O$86,15,0))</f>
        <v>211.54</v>
      </c>
      <c r="Y113" s="4"/>
      <c r="Z113" s="4">
        <f ca="1">('TUSD BE'!$AM$11+'TUSD BF'!$AM$11+'TUSD CVA'!$AM$11)*1</f>
        <v>2284.2159351470723</v>
      </c>
      <c r="AA113" s="4">
        <f>('TE BE'!$AB$5+'TE BF'!$AB$5+'TE CVA'!$AB$5)*1</f>
        <v>196.56876174373542</v>
      </c>
      <c r="AB113" s="4">
        <f>$K$113*$V$113</f>
        <v>0</v>
      </c>
      <c r="AC113" s="4">
        <f>$M$113*$W$113</f>
        <v>5193.2579000000005</v>
      </c>
      <c r="AD113" s="4">
        <f>$O$113*$X$113</f>
        <v>519.33069999999998</v>
      </c>
      <c r="AE113" s="4">
        <f>$K$113*$Y$113</f>
        <v>0</v>
      </c>
      <c r="AF113" s="4">
        <f ca="1">$M$113*$Z$113</f>
        <v>5607.7501207860623</v>
      </c>
      <c r="AG113" s="4">
        <f>$O$113*$AA$113</f>
        <v>482.57631008087048</v>
      </c>
    </row>
    <row r="114" spans="1:33" ht="11.25" customHeight="1" x14ac:dyDescent="0.25">
      <c r="A114" s="3" t="s">
        <v>21</v>
      </c>
      <c r="B114" s="3" t="s">
        <v>35</v>
      </c>
      <c r="C114" s="3" t="s">
        <v>39</v>
      </c>
      <c r="D114" s="3" t="s">
        <v>40</v>
      </c>
      <c r="E114" s="3" t="s">
        <v>25</v>
      </c>
      <c r="F114" s="3" t="s">
        <v>25</v>
      </c>
      <c r="G114" s="3" t="s">
        <v>25</v>
      </c>
      <c r="H114" s="3" t="s">
        <v>37</v>
      </c>
      <c r="I114" s="6">
        <v>44713</v>
      </c>
      <c r="J114" s="4">
        <v>0</v>
      </c>
      <c r="K114" s="4">
        <v>0</v>
      </c>
      <c r="L114" s="4">
        <v>3.198</v>
      </c>
      <c r="M114" s="4">
        <v>3.198</v>
      </c>
      <c r="N114" s="4">
        <v>3.198</v>
      </c>
      <c r="O114" s="4">
        <v>3.198</v>
      </c>
      <c r="P114" s="4">
        <v>0</v>
      </c>
      <c r="Q114" s="3" t="s">
        <v>26</v>
      </c>
      <c r="R114" s="3">
        <v>0</v>
      </c>
      <c r="S114" s="4">
        <v>0</v>
      </c>
      <c r="T114" s="4">
        <v>15</v>
      </c>
      <c r="U114" s="4">
        <v>24</v>
      </c>
      <c r="V114" s="4">
        <f>IF(ISERROR(VLOOKUP($S$114,'TAR FIN'!$A$1:$O$86,15,0)),0,VLOOKUP($S$114,'TAR FIN'!$A$1:$O$86,15,0))</f>
        <v>0</v>
      </c>
      <c r="W114" s="4">
        <f>IF(ISERROR(VLOOKUP($T$114,'TAR FIN'!$A$1:$O$86,15,0)),0,VLOOKUP($T$114,'TAR FIN'!$A$1:$O$86,15,0))</f>
        <v>2115.38</v>
      </c>
      <c r="X114" s="4">
        <f>IF(ISERROR(VLOOKUP($U$114,'TAR FIN'!$A$1:$O$86,15,0)),0,VLOOKUP($U$114,'TAR FIN'!$A$1:$O$86,15,0))</f>
        <v>211.54</v>
      </c>
      <c r="Y114" s="4"/>
      <c r="Z114" s="4">
        <f ca="1">('TUSD BE'!$AM$11+'TUSD BF'!$AM$11+'TUSD CVA'!$AM$11)*1</f>
        <v>2284.2159351470723</v>
      </c>
      <c r="AA114" s="4">
        <f>('TE BE'!$AB$5+'TE BF'!$AB$5+'TE CVA'!$AB$5)*1</f>
        <v>196.56876174373542</v>
      </c>
      <c r="AB114" s="4">
        <f>$K$114*$V$114</f>
        <v>0</v>
      </c>
      <c r="AC114" s="4">
        <f>$M$114*$W$114</f>
        <v>6764.98524</v>
      </c>
      <c r="AD114" s="4">
        <f>$O$114*$X$114</f>
        <v>676.50491999999997</v>
      </c>
      <c r="AE114" s="4">
        <f>$K$114*$Y$114</f>
        <v>0</v>
      </c>
      <c r="AF114" s="4">
        <f ca="1">$M$114*$Z$114</f>
        <v>7304.9225606003374</v>
      </c>
      <c r="AG114" s="4">
        <f>$O$114*$AA$114</f>
        <v>628.62690005646584</v>
      </c>
    </row>
    <row r="115" spans="1:33" ht="11.25" customHeight="1" x14ac:dyDescent="0.25">
      <c r="A115" s="3" t="s">
        <v>28</v>
      </c>
      <c r="B115" s="3" t="s">
        <v>35</v>
      </c>
      <c r="C115" s="3" t="s">
        <v>39</v>
      </c>
      <c r="D115" s="3" t="s">
        <v>40</v>
      </c>
      <c r="E115" s="3" t="s">
        <v>25</v>
      </c>
      <c r="F115" s="3" t="s">
        <v>25</v>
      </c>
      <c r="G115" s="3" t="s">
        <v>25</v>
      </c>
      <c r="H115" s="3" t="s">
        <v>37</v>
      </c>
      <c r="I115" s="6">
        <v>44713</v>
      </c>
      <c r="J115" s="4">
        <v>0</v>
      </c>
      <c r="K115" s="4">
        <v>0</v>
      </c>
      <c r="L115" s="4">
        <v>0.752</v>
      </c>
      <c r="M115" s="4">
        <v>0.752</v>
      </c>
      <c r="N115" s="4">
        <v>0.752</v>
      </c>
      <c r="O115" s="4">
        <v>0.752</v>
      </c>
      <c r="P115" s="4">
        <v>0</v>
      </c>
      <c r="Q115" s="3" t="s">
        <v>26</v>
      </c>
      <c r="R115" s="3">
        <v>0</v>
      </c>
      <c r="S115" s="4">
        <v>0</v>
      </c>
      <c r="T115" s="4">
        <v>15</v>
      </c>
      <c r="U115" s="4">
        <v>24</v>
      </c>
      <c r="V115" s="4">
        <f>IF(ISERROR(VLOOKUP($S$115,'TAR FIN'!$A$1:$O$86,15,0)),0,VLOOKUP($S$115,'TAR FIN'!$A$1:$O$86,15,0))</f>
        <v>0</v>
      </c>
      <c r="W115" s="4">
        <f>IF(ISERROR(VLOOKUP($T$115,'TAR FIN'!$A$1:$O$86,15,0)),0,VLOOKUP($T$115,'TAR FIN'!$A$1:$O$86,15,0))</f>
        <v>2115.38</v>
      </c>
      <c r="X115" s="4">
        <f>IF(ISERROR(VLOOKUP($U$115,'TAR FIN'!$A$1:$O$86,15,0)),0,VLOOKUP($U$115,'TAR FIN'!$A$1:$O$86,15,0))</f>
        <v>211.54</v>
      </c>
      <c r="Y115" s="4"/>
      <c r="Z115" s="4">
        <f ca="1">('TUSD BE'!$AM$11+'TUSD BF'!$AM$11+'TUSD CVA'!$AM$11)*1</f>
        <v>2284.2159351470723</v>
      </c>
      <c r="AA115" s="4">
        <f>('TE BE'!$AB$5+'TE BF'!$AB$5+'TE CVA'!$AB$5)*1</f>
        <v>196.56876174373542</v>
      </c>
      <c r="AB115" s="4">
        <f>$K$115*$V$115</f>
        <v>0</v>
      </c>
      <c r="AC115" s="4">
        <f>$M$115*$W$115</f>
        <v>1590.76576</v>
      </c>
      <c r="AD115" s="4">
        <f>$O$115*$X$115</f>
        <v>159.07808</v>
      </c>
      <c r="AE115" s="4">
        <f>$K$115*$Y$115</f>
        <v>0</v>
      </c>
      <c r="AF115" s="4">
        <f ca="1">$M$115*$Z$115</f>
        <v>1717.7303832305984</v>
      </c>
      <c r="AG115" s="4">
        <f>$O$115*$AA$115</f>
        <v>147.81970883128903</v>
      </c>
    </row>
    <row r="116" spans="1:33" ht="11.25" customHeight="1" x14ac:dyDescent="0.25">
      <c r="A116" s="3" t="s">
        <v>21</v>
      </c>
      <c r="B116" s="3" t="s">
        <v>35</v>
      </c>
      <c r="C116" s="3" t="s">
        <v>39</v>
      </c>
      <c r="D116" s="3" t="s">
        <v>34</v>
      </c>
      <c r="E116" s="3" t="s">
        <v>25</v>
      </c>
      <c r="F116" s="3" t="s">
        <v>25</v>
      </c>
      <c r="G116" s="3" t="s">
        <v>25</v>
      </c>
      <c r="H116" s="3" t="s">
        <v>38</v>
      </c>
      <c r="I116" s="6">
        <v>44378</v>
      </c>
      <c r="J116" s="4">
        <v>0</v>
      </c>
      <c r="K116" s="4">
        <v>0</v>
      </c>
      <c r="L116" s="4">
        <v>1086.672</v>
      </c>
      <c r="M116" s="4">
        <v>1086.672</v>
      </c>
      <c r="N116" s="4">
        <v>1086.672</v>
      </c>
      <c r="O116" s="4">
        <v>1086.672</v>
      </c>
      <c r="P116" s="4">
        <v>0</v>
      </c>
      <c r="Q116" s="3" t="s">
        <v>26</v>
      </c>
      <c r="R116" s="3">
        <v>0</v>
      </c>
      <c r="S116" s="4">
        <v>0</v>
      </c>
      <c r="T116" s="4">
        <v>3</v>
      </c>
      <c r="U116" s="4">
        <v>48</v>
      </c>
      <c r="V116" s="4">
        <f>IF(ISERROR(VLOOKUP($S$116,'TAR FIN'!$A$1:$O$86,15,0)),0,VLOOKUP($S$116,'TAR FIN'!$A$1:$O$86,15,0))</f>
        <v>0</v>
      </c>
      <c r="W116" s="4">
        <f>IF(ISERROR(VLOOKUP($T$116,'TAR FIN'!$A$1:$O$86,15,0)),0,VLOOKUP($T$116,'TAR FIN'!$A$1:$O$86,15,0))</f>
        <v>68.55</v>
      </c>
      <c r="X116" s="4">
        <f>IF(ISERROR(VLOOKUP($U$116,'TAR FIN'!$A$1:$O$86,15,0)),0,VLOOKUP($U$116,'TAR FIN'!$A$1:$O$86,15,0))</f>
        <v>211.54</v>
      </c>
      <c r="Y116" s="4"/>
      <c r="Z116" s="4">
        <f ca="1">('TUSD BE'!$AM$12+'TUSD BF'!$AM$12+'TUSD CVA'!$AM$12)*1</f>
        <v>96.693682586652571</v>
      </c>
      <c r="AA116" s="4">
        <f>('TE BE'!$AB$6+'TE BF'!$AB$6+'TE CVA'!$AB$6)*1</f>
        <v>196.56876174373542</v>
      </c>
      <c r="AB116" s="4">
        <f>$K$116*$V$116</f>
        <v>0</v>
      </c>
      <c r="AC116" s="4">
        <f>$M$116*$W$116</f>
        <v>74491.365600000005</v>
      </c>
      <c r="AD116" s="4">
        <f>$O$116*$X$116</f>
        <v>229874.59487999999</v>
      </c>
      <c r="AE116" s="4">
        <f>$K$116*$Y$116</f>
        <v>0</v>
      </c>
      <c r="AF116" s="4">
        <f ca="1">$M$116*$Z$116</f>
        <v>105074.31744380292</v>
      </c>
      <c r="AG116" s="4">
        <f>$O$116*$AA$116</f>
        <v>213605.76946158847</v>
      </c>
    </row>
    <row r="117" spans="1:33" ht="11.25" customHeight="1" x14ac:dyDescent="0.25">
      <c r="A117" s="3" t="s">
        <v>21</v>
      </c>
      <c r="B117" s="3" t="s">
        <v>35</v>
      </c>
      <c r="C117" s="3" t="s">
        <v>39</v>
      </c>
      <c r="D117" s="3" t="s">
        <v>34</v>
      </c>
      <c r="E117" s="3" t="s">
        <v>25</v>
      </c>
      <c r="F117" s="3" t="s">
        <v>25</v>
      </c>
      <c r="G117" s="3" t="s">
        <v>25</v>
      </c>
      <c r="H117" s="3" t="s">
        <v>38</v>
      </c>
      <c r="I117" s="6">
        <v>44409</v>
      </c>
      <c r="J117" s="4">
        <v>0</v>
      </c>
      <c r="K117" s="4">
        <v>0</v>
      </c>
      <c r="L117" s="4">
        <v>1091.9949999999999</v>
      </c>
      <c r="M117" s="4">
        <v>1091.9949999999999</v>
      </c>
      <c r="N117" s="4">
        <v>1091.9949999999999</v>
      </c>
      <c r="O117" s="4">
        <v>1091.9949999999999</v>
      </c>
      <c r="P117" s="4">
        <v>0</v>
      </c>
      <c r="Q117" s="3" t="s">
        <v>26</v>
      </c>
      <c r="R117" s="3">
        <v>0</v>
      </c>
      <c r="S117" s="4">
        <v>0</v>
      </c>
      <c r="T117" s="4">
        <v>3</v>
      </c>
      <c r="U117" s="4">
        <v>48</v>
      </c>
      <c r="V117" s="4">
        <f>IF(ISERROR(VLOOKUP($S$117,'TAR FIN'!$A$1:$O$86,15,0)),0,VLOOKUP($S$117,'TAR FIN'!$A$1:$O$86,15,0))</f>
        <v>0</v>
      </c>
      <c r="W117" s="4">
        <f>IF(ISERROR(VLOOKUP($T$117,'TAR FIN'!$A$1:$O$86,15,0)),0,VLOOKUP($T$117,'TAR FIN'!$A$1:$O$86,15,0))</f>
        <v>68.55</v>
      </c>
      <c r="X117" s="4">
        <f>IF(ISERROR(VLOOKUP($U$117,'TAR FIN'!$A$1:$O$86,15,0)),0,VLOOKUP($U$117,'TAR FIN'!$A$1:$O$86,15,0))</f>
        <v>211.54</v>
      </c>
      <c r="Y117" s="4"/>
      <c r="Z117" s="4">
        <f ca="1">('TUSD BE'!$AM$12+'TUSD BF'!$AM$12+'TUSD CVA'!$AM$12)*1</f>
        <v>96.693682586652571</v>
      </c>
      <c r="AA117" s="4">
        <f>('TE BE'!$AB$6+'TE BF'!$AB$6+'TE CVA'!$AB$6)*1</f>
        <v>196.56876174373542</v>
      </c>
      <c r="AB117" s="4">
        <f>$K$117*$V$117</f>
        <v>0</v>
      </c>
      <c r="AC117" s="4">
        <f>$M$117*$W$117</f>
        <v>74856.257249999995</v>
      </c>
      <c r="AD117" s="4">
        <f>$O$117*$X$117</f>
        <v>231000.62229999996</v>
      </c>
      <c r="AE117" s="4">
        <f>$K$117*$Y$117</f>
        <v>0</v>
      </c>
      <c r="AF117" s="4">
        <f ca="1">$M$117*$Z$117</f>
        <v>105589.01791621167</v>
      </c>
      <c r="AG117" s="4">
        <f>$O$117*$AA$117</f>
        <v>214652.10498035033</v>
      </c>
    </row>
    <row r="118" spans="1:33" ht="11.25" customHeight="1" x14ac:dyDescent="0.25">
      <c r="A118" s="3" t="s">
        <v>21</v>
      </c>
      <c r="B118" s="3" t="s">
        <v>35</v>
      </c>
      <c r="C118" s="3" t="s">
        <v>39</v>
      </c>
      <c r="D118" s="3" t="s">
        <v>34</v>
      </c>
      <c r="E118" s="3" t="s">
        <v>25</v>
      </c>
      <c r="F118" s="3" t="s">
        <v>25</v>
      </c>
      <c r="G118" s="3" t="s">
        <v>25</v>
      </c>
      <c r="H118" s="3" t="s">
        <v>38</v>
      </c>
      <c r="I118" s="6">
        <v>44440</v>
      </c>
      <c r="J118" s="4">
        <v>0</v>
      </c>
      <c r="K118" s="4">
        <v>0</v>
      </c>
      <c r="L118" s="4">
        <v>1082.499</v>
      </c>
      <c r="M118" s="4">
        <v>1082.499</v>
      </c>
      <c r="N118" s="4">
        <v>1082.499</v>
      </c>
      <c r="O118" s="4">
        <v>1082.499</v>
      </c>
      <c r="P118" s="4">
        <v>0</v>
      </c>
      <c r="Q118" s="3" t="s">
        <v>26</v>
      </c>
      <c r="R118" s="3">
        <v>0</v>
      </c>
      <c r="S118" s="4">
        <v>0</v>
      </c>
      <c r="T118" s="4">
        <v>3</v>
      </c>
      <c r="U118" s="4">
        <v>48</v>
      </c>
      <c r="V118" s="4">
        <f>IF(ISERROR(VLOOKUP($S$118,'TAR FIN'!$A$1:$O$86,15,0)),0,VLOOKUP($S$118,'TAR FIN'!$A$1:$O$86,15,0))</f>
        <v>0</v>
      </c>
      <c r="W118" s="4">
        <f>IF(ISERROR(VLOOKUP($T$118,'TAR FIN'!$A$1:$O$86,15,0)),0,VLOOKUP($T$118,'TAR FIN'!$A$1:$O$86,15,0))</f>
        <v>68.55</v>
      </c>
      <c r="X118" s="4">
        <f>IF(ISERROR(VLOOKUP($U$118,'TAR FIN'!$A$1:$O$86,15,0)),0,VLOOKUP($U$118,'TAR FIN'!$A$1:$O$86,15,0))</f>
        <v>211.54</v>
      </c>
      <c r="Y118" s="4"/>
      <c r="Z118" s="4">
        <f ca="1">('TUSD BE'!$AM$12+'TUSD BF'!$AM$12+'TUSD CVA'!$AM$12)*1</f>
        <v>96.693682586652571</v>
      </c>
      <c r="AA118" s="4">
        <f>('TE BE'!$AB$6+'TE BF'!$AB$6+'TE CVA'!$AB$6)*1</f>
        <v>196.56876174373542</v>
      </c>
      <c r="AB118" s="4">
        <f>$K$118*$V$118</f>
        <v>0</v>
      </c>
      <c r="AC118" s="4">
        <f>$M$118*$W$118</f>
        <v>74205.306450000004</v>
      </c>
      <c r="AD118" s="4">
        <f>$O$118*$X$118</f>
        <v>228991.83846</v>
      </c>
      <c r="AE118" s="4">
        <f>$K$118*$Y$118</f>
        <v>0</v>
      </c>
      <c r="AF118" s="4">
        <f ca="1">$M$118*$Z$118</f>
        <v>104670.81470636882</v>
      </c>
      <c r="AG118" s="4">
        <f>$O$118*$AA$118</f>
        <v>212785.48801883185</v>
      </c>
    </row>
    <row r="119" spans="1:33" ht="11.25" customHeight="1" x14ac:dyDescent="0.25">
      <c r="A119" s="3" t="s">
        <v>21</v>
      </c>
      <c r="B119" s="3" t="s">
        <v>35</v>
      </c>
      <c r="C119" s="3" t="s">
        <v>39</v>
      </c>
      <c r="D119" s="3" t="s">
        <v>34</v>
      </c>
      <c r="E119" s="3" t="s">
        <v>25</v>
      </c>
      <c r="F119" s="3" t="s">
        <v>25</v>
      </c>
      <c r="G119" s="3" t="s">
        <v>25</v>
      </c>
      <c r="H119" s="3" t="s">
        <v>38</v>
      </c>
      <c r="I119" s="6">
        <v>44470</v>
      </c>
      <c r="J119" s="4">
        <v>0</v>
      </c>
      <c r="K119" s="4">
        <v>0</v>
      </c>
      <c r="L119" s="4">
        <v>1057.127</v>
      </c>
      <c r="M119" s="4">
        <v>1057.127</v>
      </c>
      <c r="N119" s="4">
        <v>1057.127</v>
      </c>
      <c r="O119" s="4">
        <v>1057.127</v>
      </c>
      <c r="P119" s="4">
        <v>0</v>
      </c>
      <c r="Q119" s="3" t="s">
        <v>26</v>
      </c>
      <c r="R119" s="3">
        <v>0</v>
      </c>
      <c r="S119" s="4">
        <v>0</v>
      </c>
      <c r="T119" s="4">
        <v>3</v>
      </c>
      <c r="U119" s="4">
        <v>48</v>
      </c>
      <c r="V119" s="4">
        <f>IF(ISERROR(VLOOKUP($S$119,'TAR FIN'!$A$1:$O$86,15,0)),0,VLOOKUP($S$119,'TAR FIN'!$A$1:$O$86,15,0))</f>
        <v>0</v>
      </c>
      <c r="W119" s="4">
        <f>IF(ISERROR(VLOOKUP($T$119,'TAR FIN'!$A$1:$O$86,15,0)),0,VLOOKUP($T$119,'TAR FIN'!$A$1:$O$86,15,0))</f>
        <v>68.55</v>
      </c>
      <c r="X119" s="4">
        <f>IF(ISERROR(VLOOKUP($U$119,'TAR FIN'!$A$1:$O$86,15,0)),0,VLOOKUP($U$119,'TAR FIN'!$A$1:$O$86,15,0))</f>
        <v>211.54</v>
      </c>
      <c r="Y119" s="4"/>
      <c r="Z119" s="4">
        <f ca="1">('TUSD BE'!$AM$12+'TUSD BF'!$AM$12+'TUSD CVA'!$AM$12)*1</f>
        <v>96.693682586652571</v>
      </c>
      <c r="AA119" s="4">
        <f>('TE BE'!$AB$6+'TE BF'!$AB$6+'TE CVA'!$AB$6)*1</f>
        <v>196.56876174373542</v>
      </c>
      <c r="AB119" s="4">
        <f>$K$119*$V$119</f>
        <v>0</v>
      </c>
      <c r="AC119" s="4">
        <f>$M$119*$W$119</f>
        <v>72466.05584999999</v>
      </c>
      <c r="AD119" s="4">
        <f>$O$119*$X$119</f>
        <v>223624.64557999998</v>
      </c>
      <c r="AE119" s="4">
        <f>$K$119*$Y$119</f>
        <v>0</v>
      </c>
      <c r="AF119" s="4">
        <f ca="1">$M$119*$Z$119</f>
        <v>102217.50259178027</v>
      </c>
      <c r="AG119" s="4">
        <f>$O$119*$AA$119</f>
        <v>207798.1453958698</v>
      </c>
    </row>
    <row r="120" spans="1:33" ht="11.25" customHeight="1" x14ac:dyDescent="0.25">
      <c r="A120" s="3" t="s">
        <v>21</v>
      </c>
      <c r="B120" s="3" t="s">
        <v>35</v>
      </c>
      <c r="C120" s="3" t="s">
        <v>39</v>
      </c>
      <c r="D120" s="3" t="s">
        <v>34</v>
      </c>
      <c r="E120" s="3" t="s">
        <v>25</v>
      </c>
      <c r="F120" s="3" t="s">
        <v>25</v>
      </c>
      <c r="G120" s="3" t="s">
        <v>25</v>
      </c>
      <c r="H120" s="3" t="s">
        <v>38</v>
      </c>
      <c r="I120" s="6">
        <v>44501</v>
      </c>
      <c r="J120" s="4">
        <v>0</v>
      </c>
      <c r="K120" s="4">
        <v>0</v>
      </c>
      <c r="L120" s="4">
        <v>952.18200000000002</v>
      </c>
      <c r="M120" s="4">
        <v>952.18200000000002</v>
      </c>
      <c r="N120" s="4">
        <v>952.18200000000002</v>
      </c>
      <c r="O120" s="4">
        <v>952.18200000000002</v>
      </c>
      <c r="P120" s="4">
        <v>0</v>
      </c>
      <c r="Q120" s="3" t="s">
        <v>26</v>
      </c>
      <c r="R120" s="3">
        <v>0</v>
      </c>
      <c r="S120" s="4">
        <v>0</v>
      </c>
      <c r="T120" s="4">
        <v>3</v>
      </c>
      <c r="U120" s="4">
        <v>48</v>
      </c>
      <c r="V120" s="4">
        <f>IF(ISERROR(VLOOKUP($S$120,'TAR FIN'!$A$1:$O$86,15,0)),0,VLOOKUP($S$120,'TAR FIN'!$A$1:$O$86,15,0))</f>
        <v>0</v>
      </c>
      <c r="W120" s="4">
        <f>IF(ISERROR(VLOOKUP($T$120,'TAR FIN'!$A$1:$O$86,15,0)),0,VLOOKUP($T$120,'TAR FIN'!$A$1:$O$86,15,0))</f>
        <v>68.55</v>
      </c>
      <c r="X120" s="4">
        <f>IF(ISERROR(VLOOKUP($U$120,'TAR FIN'!$A$1:$O$86,15,0)),0,VLOOKUP($U$120,'TAR FIN'!$A$1:$O$86,15,0))</f>
        <v>211.54</v>
      </c>
      <c r="Y120" s="4"/>
      <c r="Z120" s="4">
        <f ca="1">('TUSD BE'!$AM$12+'TUSD BF'!$AM$12+'TUSD CVA'!$AM$12)*1</f>
        <v>96.693682586652571</v>
      </c>
      <c r="AA120" s="4">
        <f>('TE BE'!$AB$6+'TE BF'!$AB$6+'TE CVA'!$AB$6)*1</f>
        <v>196.56876174373542</v>
      </c>
      <c r="AB120" s="4">
        <f>$K$120*$V$120</f>
        <v>0</v>
      </c>
      <c r="AC120" s="4">
        <f>$M$120*$W$120</f>
        <v>65272.076099999998</v>
      </c>
      <c r="AD120" s="4">
        <f>$O$120*$X$120</f>
        <v>201424.58027999999</v>
      </c>
      <c r="AE120" s="4">
        <f>$K$120*$Y$120</f>
        <v>0</v>
      </c>
      <c r="AF120" s="4">
        <f ca="1">$M$120*$Z$120</f>
        <v>92069.984072724023</v>
      </c>
      <c r="AG120" s="4">
        <f>$O$120*$AA$120</f>
        <v>187169.23669467348</v>
      </c>
    </row>
    <row r="121" spans="1:33" ht="11.25" customHeight="1" x14ac:dyDescent="0.25">
      <c r="A121" s="3" t="s">
        <v>21</v>
      </c>
      <c r="B121" s="3" t="s">
        <v>35</v>
      </c>
      <c r="C121" s="3" t="s">
        <v>39</v>
      </c>
      <c r="D121" s="3" t="s">
        <v>34</v>
      </c>
      <c r="E121" s="3" t="s">
        <v>25</v>
      </c>
      <c r="F121" s="3" t="s">
        <v>25</v>
      </c>
      <c r="G121" s="3" t="s">
        <v>25</v>
      </c>
      <c r="H121" s="3" t="s">
        <v>38</v>
      </c>
      <c r="I121" s="6">
        <v>44531</v>
      </c>
      <c r="J121" s="4">
        <v>0</v>
      </c>
      <c r="K121" s="4">
        <v>0</v>
      </c>
      <c r="L121" s="4">
        <v>1038.0909999999999</v>
      </c>
      <c r="M121" s="4">
        <v>1038.0909999999999</v>
      </c>
      <c r="N121" s="4">
        <v>1038.0909999999999</v>
      </c>
      <c r="O121" s="4">
        <v>1038.0909999999999</v>
      </c>
      <c r="P121" s="4">
        <v>0</v>
      </c>
      <c r="Q121" s="3" t="s">
        <v>26</v>
      </c>
      <c r="R121" s="3">
        <v>0</v>
      </c>
      <c r="S121" s="4">
        <v>0</v>
      </c>
      <c r="T121" s="4">
        <v>3</v>
      </c>
      <c r="U121" s="4">
        <v>48</v>
      </c>
      <c r="V121" s="4">
        <f>IF(ISERROR(VLOOKUP($S$121,'TAR FIN'!$A$1:$O$86,15,0)),0,VLOOKUP($S$121,'TAR FIN'!$A$1:$O$86,15,0))</f>
        <v>0</v>
      </c>
      <c r="W121" s="4">
        <f>IF(ISERROR(VLOOKUP($T$121,'TAR FIN'!$A$1:$O$86,15,0)),0,VLOOKUP($T$121,'TAR FIN'!$A$1:$O$86,15,0))</f>
        <v>68.55</v>
      </c>
      <c r="X121" s="4">
        <f>IF(ISERROR(VLOOKUP($U$121,'TAR FIN'!$A$1:$O$86,15,0)),0,VLOOKUP($U$121,'TAR FIN'!$A$1:$O$86,15,0))</f>
        <v>211.54</v>
      </c>
      <c r="Y121" s="4"/>
      <c r="Z121" s="4">
        <f ca="1">('TUSD BE'!$AM$12+'TUSD BF'!$AM$12+'TUSD CVA'!$AM$12)*1</f>
        <v>96.693682586652571</v>
      </c>
      <c r="AA121" s="4">
        <f>('TE BE'!$AB$6+'TE BF'!$AB$6+'TE CVA'!$AB$6)*1</f>
        <v>196.56876174373542</v>
      </c>
      <c r="AB121" s="4">
        <f>$K$121*$V$121</f>
        <v>0</v>
      </c>
      <c r="AC121" s="4">
        <f>$M$121*$W$121</f>
        <v>71161.138049999994</v>
      </c>
      <c r="AD121" s="4">
        <f>$O$121*$X$121</f>
        <v>219597.77013999998</v>
      </c>
      <c r="AE121" s="4">
        <f>$K$121*$Y$121</f>
        <v>0</v>
      </c>
      <c r="AF121" s="4">
        <f ca="1">$M$121*$Z$121</f>
        <v>100376.84165006074</v>
      </c>
      <c r="AG121" s="4">
        <f>$O$121*$AA$121</f>
        <v>204056.26244731602</v>
      </c>
    </row>
    <row r="122" spans="1:33" ht="11.25" customHeight="1" x14ac:dyDescent="0.25">
      <c r="A122" s="3" t="s">
        <v>21</v>
      </c>
      <c r="B122" s="3" t="s">
        <v>35</v>
      </c>
      <c r="C122" s="3" t="s">
        <v>39</v>
      </c>
      <c r="D122" s="3" t="s">
        <v>34</v>
      </c>
      <c r="E122" s="3" t="s">
        <v>25</v>
      </c>
      <c r="F122" s="3" t="s">
        <v>25</v>
      </c>
      <c r="G122" s="3" t="s">
        <v>25</v>
      </c>
      <c r="H122" s="3" t="s">
        <v>38</v>
      </c>
      <c r="I122" s="6">
        <v>44562</v>
      </c>
      <c r="J122" s="4">
        <v>0</v>
      </c>
      <c r="K122" s="4">
        <v>0</v>
      </c>
      <c r="L122" s="4">
        <v>1046.152</v>
      </c>
      <c r="M122" s="4">
        <v>1046.152</v>
      </c>
      <c r="N122" s="4">
        <v>1046.152</v>
      </c>
      <c r="O122" s="4">
        <v>1046.152</v>
      </c>
      <c r="P122" s="4">
        <v>0</v>
      </c>
      <c r="Q122" s="3" t="s">
        <v>26</v>
      </c>
      <c r="R122" s="3">
        <v>0</v>
      </c>
      <c r="S122" s="4">
        <v>0</v>
      </c>
      <c r="T122" s="4">
        <v>3</v>
      </c>
      <c r="U122" s="4">
        <v>48</v>
      </c>
      <c r="V122" s="4">
        <f>IF(ISERROR(VLOOKUP($S$122,'TAR FIN'!$A$1:$O$86,15,0)),0,VLOOKUP($S$122,'TAR FIN'!$A$1:$O$86,15,0))</f>
        <v>0</v>
      </c>
      <c r="W122" s="4">
        <f>IF(ISERROR(VLOOKUP($T$122,'TAR FIN'!$A$1:$O$86,15,0)),0,VLOOKUP($T$122,'TAR FIN'!$A$1:$O$86,15,0))</f>
        <v>68.55</v>
      </c>
      <c r="X122" s="4">
        <f>IF(ISERROR(VLOOKUP($U$122,'TAR FIN'!$A$1:$O$86,15,0)),0,VLOOKUP($U$122,'TAR FIN'!$A$1:$O$86,15,0))</f>
        <v>211.54</v>
      </c>
      <c r="Y122" s="4"/>
      <c r="Z122" s="4">
        <f ca="1">('TUSD BE'!$AM$12+'TUSD BF'!$AM$12+'TUSD CVA'!$AM$12)*1</f>
        <v>96.693682586652571</v>
      </c>
      <c r="AA122" s="4">
        <f>('TE BE'!$AB$6+'TE BF'!$AB$6+'TE CVA'!$AB$6)*1</f>
        <v>196.56876174373542</v>
      </c>
      <c r="AB122" s="4">
        <f>$K$122*$V$122</f>
        <v>0</v>
      </c>
      <c r="AC122" s="4">
        <f>$M$122*$W$122</f>
        <v>71713.719599999997</v>
      </c>
      <c r="AD122" s="4">
        <f>$O$122*$X$122</f>
        <v>221302.99408</v>
      </c>
      <c r="AE122" s="4">
        <f>$K$122*$Y$122</f>
        <v>0</v>
      </c>
      <c r="AF122" s="4">
        <f ca="1">$M$122*$Z$122</f>
        <v>101156.28942539176</v>
      </c>
      <c r="AG122" s="4">
        <f>$O$122*$AA$122</f>
        <v>205640.80323573231</v>
      </c>
    </row>
    <row r="123" spans="1:33" ht="11.25" customHeight="1" x14ac:dyDescent="0.25">
      <c r="A123" s="3" t="s">
        <v>21</v>
      </c>
      <c r="B123" s="3" t="s">
        <v>35</v>
      </c>
      <c r="C123" s="3" t="s">
        <v>39</v>
      </c>
      <c r="D123" s="3" t="s">
        <v>34</v>
      </c>
      <c r="E123" s="3" t="s">
        <v>25</v>
      </c>
      <c r="F123" s="3" t="s">
        <v>25</v>
      </c>
      <c r="G123" s="3" t="s">
        <v>25</v>
      </c>
      <c r="H123" s="3" t="s">
        <v>38</v>
      </c>
      <c r="I123" s="6">
        <v>44593</v>
      </c>
      <c r="J123" s="4">
        <v>0</v>
      </c>
      <c r="K123" s="4">
        <v>0</v>
      </c>
      <c r="L123" s="4">
        <v>1024.1579999999999</v>
      </c>
      <c r="M123" s="4">
        <v>1024.1579999999999</v>
      </c>
      <c r="N123" s="4">
        <v>1024.1579999999999</v>
      </c>
      <c r="O123" s="4">
        <v>1024.1579999999999</v>
      </c>
      <c r="P123" s="4">
        <v>0</v>
      </c>
      <c r="Q123" s="3" t="s">
        <v>26</v>
      </c>
      <c r="R123" s="3">
        <v>0</v>
      </c>
      <c r="S123" s="4">
        <v>0</v>
      </c>
      <c r="T123" s="4">
        <v>3</v>
      </c>
      <c r="U123" s="4">
        <v>48</v>
      </c>
      <c r="V123" s="4">
        <f>IF(ISERROR(VLOOKUP($S$123,'TAR FIN'!$A$1:$O$86,15,0)),0,VLOOKUP($S$123,'TAR FIN'!$A$1:$O$86,15,0))</f>
        <v>0</v>
      </c>
      <c r="W123" s="4">
        <f>IF(ISERROR(VLOOKUP($T$123,'TAR FIN'!$A$1:$O$86,15,0)),0,VLOOKUP($T$123,'TAR FIN'!$A$1:$O$86,15,0))</f>
        <v>68.55</v>
      </c>
      <c r="X123" s="4">
        <f>IF(ISERROR(VLOOKUP($U$123,'TAR FIN'!$A$1:$O$86,15,0)),0,VLOOKUP($U$123,'TAR FIN'!$A$1:$O$86,15,0))</f>
        <v>211.54</v>
      </c>
      <c r="Y123" s="4"/>
      <c r="Z123" s="4">
        <f ca="1">('TUSD BE'!$AM$12+'TUSD BF'!$AM$12+'TUSD CVA'!$AM$12)*1</f>
        <v>96.693682586652571</v>
      </c>
      <c r="AA123" s="4">
        <f>('TE BE'!$AB$6+'TE BF'!$AB$6+'TE CVA'!$AB$6)*1</f>
        <v>196.56876174373542</v>
      </c>
      <c r="AB123" s="4">
        <f>$K$123*$V$123</f>
        <v>0</v>
      </c>
      <c r="AC123" s="4">
        <f>$M$123*$W$123</f>
        <v>70206.030899999983</v>
      </c>
      <c r="AD123" s="4">
        <f>$O$123*$X$123</f>
        <v>216650.38331999996</v>
      </c>
      <c r="AE123" s="4">
        <f>$K$123*$Y$123</f>
        <v>0</v>
      </c>
      <c r="AF123" s="4">
        <f ca="1">$M$123*$Z$123</f>
        <v>99029.608570580909</v>
      </c>
      <c r="AG123" s="4">
        <f>$O$123*$AA$123</f>
        <v>201317.46988994058</v>
      </c>
    </row>
    <row r="124" spans="1:33" ht="11.25" customHeight="1" x14ac:dyDescent="0.25">
      <c r="A124" s="3" t="s">
        <v>21</v>
      </c>
      <c r="B124" s="3" t="s">
        <v>35</v>
      </c>
      <c r="C124" s="3" t="s">
        <v>39</v>
      </c>
      <c r="D124" s="3" t="s">
        <v>34</v>
      </c>
      <c r="E124" s="3" t="s">
        <v>25</v>
      </c>
      <c r="F124" s="3" t="s">
        <v>25</v>
      </c>
      <c r="G124" s="3" t="s">
        <v>25</v>
      </c>
      <c r="H124" s="3" t="s">
        <v>38</v>
      </c>
      <c r="I124" s="6">
        <v>44621</v>
      </c>
      <c r="J124" s="4">
        <v>0</v>
      </c>
      <c r="K124" s="4">
        <v>0</v>
      </c>
      <c r="L124" s="4">
        <v>1130.4449999999999</v>
      </c>
      <c r="M124" s="4">
        <v>1130.4449999999999</v>
      </c>
      <c r="N124" s="4">
        <v>1130.4449999999999</v>
      </c>
      <c r="O124" s="4">
        <v>1130.4449999999999</v>
      </c>
      <c r="P124" s="4">
        <v>0</v>
      </c>
      <c r="Q124" s="3" t="s">
        <v>26</v>
      </c>
      <c r="R124" s="3">
        <v>0</v>
      </c>
      <c r="S124" s="4">
        <v>0</v>
      </c>
      <c r="T124" s="4">
        <v>3</v>
      </c>
      <c r="U124" s="4">
        <v>48</v>
      </c>
      <c r="V124" s="4">
        <f>IF(ISERROR(VLOOKUP($S$124,'TAR FIN'!$A$1:$O$86,15,0)),0,VLOOKUP($S$124,'TAR FIN'!$A$1:$O$86,15,0))</f>
        <v>0</v>
      </c>
      <c r="W124" s="4">
        <f>IF(ISERROR(VLOOKUP($T$124,'TAR FIN'!$A$1:$O$86,15,0)),0,VLOOKUP($T$124,'TAR FIN'!$A$1:$O$86,15,0))</f>
        <v>68.55</v>
      </c>
      <c r="X124" s="4">
        <f>IF(ISERROR(VLOOKUP($U$124,'TAR FIN'!$A$1:$O$86,15,0)),0,VLOOKUP($U$124,'TAR FIN'!$A$1:$O$86,15,0))</f>
        <v>211.54</v>
      </c>
      <c r="Y124" s="4"/>
      <c r="Z124" s="4">
        <f ca="1">('TUSD BE'!$AM$12+'TUSD BF'!$AM$12+'TUSD CVA'!$AM$12)*1</f>
        <v>96.693682586652571</v>
      </c>
      <c r="AA124" s="4">
        <f>('TE BE'!$AB$6+'TE BF'!$AB$6+'TE CVA'!$AB$6)*1</f>
        <v>196.56876174373542</v>
      </c>
      <c r="AB124" s="4">
        <f>$K$124*$V$124</f>
        <v>0</v>
      </c>
      <c r="AC124" s="4">
        <f>$M$124*$W$124</f>
        <v>77492.004749999993</v>
      </c>
      <c r="AD124" s="4">
        <f>$O$124*$X$124</f>
        <v>239134.33529999998</v>
      </c>
      <c r="AE124" s="4">
        <f>$K$124*$Y$124</f>
        <v>0</v>
      </c>
      <c r="AF124" s="4">
        <f ca="1">$M$124*$Z$124</f>
        <v>109306.89001166845</v>
      </c>
      <c r="AG124" s="4">
        <f>$O$124*$AA$124</f>
        <v>222210.17386939697</v>
      </c>
    </row>
    <row r="125" spans="1:33" ht="11.25" customHeight="1" x14ac:dyDescent="0.25">
      <c r="A125" s="3" t="s">
        <v>21</v>
      </c>
      <c r="B125" s="3" t="s">
        <v>35</v>
      </c>
      <c r="C125" s="3" t="s">
        <v>39</v>
      </c>
      <c r="D125" s="3" t="s">
        <v>34</v>
      </c>
      <c r="E125" s="3" t="s">
        <v>25</v>
      </c>
      <c r="F125" s="3" t="s">
        <v>25</v>
      </c>
      <c r="G125" s="3" t="s">
        <v>25</v>
      </c>
      <c r="H125" s="3" t="s">
        <v>38</v>
      </c>
      <c r="I125" s="6">
        <v>44652</v>
      </c>
      <c r="J125" s="4">
        <v>0</v>
      </c>
      <c r="K125" s="4">
        <v>0</v>
      </c>
      <c r="L125" s="4">
        <v>998.76900000000001</v>
      </c>
      <c r="M125" s="4">
        <v>998.76900000000001</v>
      </c>
      <c r="N125" s="4">
        <v>998.76900000000001</v>
      </c>
      <c r="O125" s="4">
        <v>998.76900000000001</v>
      </c>
      <c r="P125" s="4">
        <v>0</v>
      </c>
      <c r="Q125" s="3" t="s">
        <v>26</v>
      </c>
      <c r="R125" s="3">
        <v>0</v>
      </c>
      <c r="S125" s="4">
        <v>0</v>
      </c>
      <c r="T125" s="4">
        <v>3</v>
      </c>
      <c r="U125" s="4">
        <v>48</v>
      </c>
      <c r="V125" s="4">
        <f>IF(ISERROR(VLOOKUP($S$125,'TAR FIN'!$A$1:$O$86,15,0)),0,VLOOKUP($S$125,'TAR FIN'!$A$1:$O$86,15,0))</f>
        <v>0</v>
      </c>
      <c r="W125" s="4">
        <f>IF(ISERROR(VLOOKUP($T$125,'TAR FIN'!$A$1:$O$86,15,0)),0,VLOOKUP($T$125,'TAR FIN'!$A$1:$O$86,15,0))</f>
        <v>68.55</v>
      </c>
      <c r="X125" s="4">
        <f>IF(ISERROR(VLOOKUP($U$125,'TAR FIN'!$A$1:$O$86,15,0)),0,VLOOKUP($U$125,'TAR FIN'!$A$1:$O$86,15,0))</f>
        <v>211.54</v>
      </c>
      <c r="Y125" s="4"/>
      <c r="Z125" s="4">
        <f ca="1">('TUSD BE'!$AM$12+'TUSD BF'!$AM$12+'TUSD CVA'!$AM$12)*1</f>
        <v>96.693682586652571</v>
      </c>
      <c r="AA125" s="4">
        <f>('TE BE'!$AB$6+'TE BF'!$AB$6+'TE CVA'!$AB$6)*1</f>
        <v>196.56876174373542</v>
      </c>
      <c r="AB125" s="4">
        <f>$K$125*$V$125</f>
        <v>0</v>
      </c>
      <c r="AC125" s="4">
        <f>$M$125*$W$125</f>
        <v>68465.614950000003</v>
      </c>
      <c r="AD125" s="4">
        <f>$O$125*$X$125</f>
        <v>211279.59425999998</v>
      </c>
      <c r="AE125" s="4">
        <f>$K$125*$Y$125</f>
        <v>0</v>
      </c>
      <c r="AF125" s="4">
        <f ca="1">$M$125*$Z$125</f>
        <v>96574.652663388406</v>
      </c>
      <c r="AG125" s="4">
        <f>$O$125*$AA$125</f>
        <v>196326.78559802889</v>
      </c>
    </row>
    <row r="126" spans="1:33" ht="11.25" customHeight="1" x14ac:dyDescent="0.25">
      <c r="A126" s="3" t="s">
        <v>21</v>
      </c>
      <c r="B126" s="3" t="s">
        <v>35</v>
      </c>
      <c r="C126" s="3" t="s">
        <v>39</v>
      </c>
      <c r="D126" s="3" t="s">
        <v>34</v>
      </c>
      <c r="E126" s="3" t="s">
        <v>25</v>
      </c>
      <c r="F126" s="3" t="s">
        <v>25</v>
      </c>
      <c r="G126" s="3" t="s">
        <v>25</v>
      </c>
      <c r="H126" s="3" t="s">
        <v>38</v>
      </c>
      <c r="I126" s="6">
        <v>44682</v>
      </c>
      <c r="J126" s="4">
        <v>0</v>
      </c>
      <c r="K126" s="4">
        <v>0</v>
      </c>
      <c r="L126" s="4">
        <v>1016.205</v>
      </c>
      <c r="M126" s="4">
        <v>1016.205</v>
      </c>
      <c r="N126" s="4">
        <v>1016.205</v>
      </c>
      <c r="O126" s="4">
        <v>1016.205</v>
      </c>
      <c r="P126" s="4">
        <v>0</v>
      </c>
      <c r="Q126" s="3" t="s">
        <v>26</v>
      </c>
      <c r="R126" s="3">
        <v>0</v>
      </c>
      <c r="S126" s="4">
        <v>0</v>
      </c>
      <c r="T126" s="4">
        <v>3</v>
      </c>
      <c r="U126" s="4">
        <v>48</v>
      </c>
      <c r="V126" s="4">
        <f>IF(ISERROR(VLOOKUP($S$126,'TAR FIN'!$A$1:$O$86,15,0)),0,VLOOKUP($S$126,'TAR FIN'!$A$1:$O$86,15,0))</f>
        <v>0</v>
      </c>
      <c r="W126" s="4">
        <f>IF(ISERROR(VLOOKUP($T$126,'TAR FIN'!$A$1:$O$86,15,0)),0,VLOOKUP($T$126,'TAR FIN'!$A$1:$O$86,15,0))</f>
        <v>68.55</v>
      </c>
      <c r="X126" s="4">
        <f>IF(ISERROR(VLOOKUP($U$126,'TAR FIN'!$A$1:$O$86,15,0)),0,VLOOKUP($U$126,'TAR FIN'!$A$1:$O$86,15,0))</f>
        <v>211.54</v>
      </c>
      <c r="Y126" s="4"/>
      <c r="Z126" s="4">
        <f ca="1">('TUSD BE'!$AM$12+'TUSD BF'!$AM$12+'TUSD CVA'!$AM$12)*1</f>
        <v>96.693682586652571</v>
      </c>
      <c r="AA126" s="4">
        <f>('TE BE'!$AB$6+'TE BF'!$AB$6+'TE CVA'!$AB$6)*1</f>
        <v>196.56876174373542</v>
      </c>
      <c r="AB126" s="4">
        <f>$K$126*$V$126</f>
        <v>0</v>
      </c>
      <c r="AC126" s="4">
        <f>$M$126*$W$126</f>
        <v>69660.852750000005</v>
      </c>
      <c r="AD126" s="4">
        <f>$O$126*$X$126</f>
        <v>214968.00570000001</v>
      </c>
      <c r="AE126" s="4">
        <f>$K$126*$Y$126</f>
        <v>0</v>
      </c>
      <c r="AF126" s="4">
        <f ca="1">$M$126*$Z$126</f>
        <v>98260.603712969285</v>
      </c>
      <c r="AG126" s="4">
        <f>$O$126*$AA$126</f>
        <v>199754.15852779266</v>
      </c>
    </row>
    <row r="127" spans="1:33" ht="11.25" customHeight="1" x14ac:dyDescent="0.25">
      <c r="A127" s="3" t="s">
        <v>21</v>
      </c>
      <c r="B127" s="3" t="s">
        <v>35</v>
      </c>
      <c r="C127" s="3" t="s">
        <v>39</v>
      </c>
      <c r="D127" s="3" t="s">
        <v>34</v>
      </c>
      <c r="E127" s="3" t="s">
        <v>25</v>
      </c>
      <c r="F127" s="3" t="s">
        <v>25</v>
      </c>
      <c r="G127" s="3" t="s">
        <v>25</v>
      </c>
      <c r="H127" s="3" t="s">
        <v>38</v>
      </c>
      <c r="I127" s="6">
        <v>44713</v>
      </c>
      <c r="J127" s="4">
        <v>0</v>
      </c>
      <c r="K127" s="4">
        <v>0</v>
      </c>
      <c r="L127" s="4">
        <v>929.51199999999994</v>
      </c>
      <c r="M127" s="4">
        <v>929.51199999999994</v>
      </c>
      <c r="N127" s="4">
        <v>929.51199999999994</v>
      </c>
      <c r="O127" s="4">
        <v>929.51199999999994</v>
      </c>
      <c r="P127" s="4">
        <v>0</v>
      </c>
      <c r="Q127" s="3" t="s">
        <v>26</v>
      </c>
      <c r="R127" s="3">
        <v>0</v>
      </c>
      <c r="S127" s="4">
        <v>0</v>
      </c>
      <c r="T127" s="4">
        <v>3</v>
      </c>
      <c r="U127" s="4">
        <v>48</v>
      </c>
      <c r="V127" s="4">
        <f>IF(ISERROR(VLOOKUP($S$127,'TAR FIN'!$A$1:$O$86,15,0)),0,VLOOKUP($S$127,'TAR FIN'!$A$1:$O$86,15,0))</f>
        <v>0</v>
      </c>
      <c r="W127" s="4">
        <f>IF(ISERROR(VLOOKUP($T$127,'TAR FIN'!$A$1:$O$86,15,0)),0,VLOOKUP($T$127,'TAR FIN'!$A$1:$O$86,15,0))</f>
        <v>68.55</v>
      </c>
      <c r="X127" s="4">
        <f>IF(ISERROR(VLOOKUP($U$127,'TAR FIN'!$A$1:$O$86,15,0)),0,VLOOKUP($U$127,'TAR FIN'!$A$1:$O$86,15,0))</f>
        <v>211.54</v>
      </c>
      <c r="Y127" s="4"/>
      <c r="Z127" s="4">
        <f ca="1">('TUSD BE'!$AM$12+'TUSD BF'!$AM$12+'TUSD CVA'!$AM$12)*1</f>
        <v>96.693682586652571</v>
      </c>
      <c r="AA127" s="4">
        <f>('TE BE'!$AB$6+'TE BF'!$AB$6+'TE CVA'!$AB$6)*1</f>
        <v>196.56876174373542</v>
      </c>
      <c r="AB127" s="4">
        <f>$K$127*$V$127</f>
        <v>0</v>
      </c>
      <c r="AC127" s="4">
        <f>$M$127*$W$127</f>
        <v>63718.047599999991</v>
      </c>
      <c r="AD127" s="4">
        <f>$O$127*$X$127</f>
        <v>196628.96847999998</v>
      </c>
      <c r="AE127" s="4">
        <f>$K$127*$Y$127</f>
        <v>0</v>
      </c>
      <c r="AF127" s="4">
        <f ca="1">$M$127*$Z$127</f>
        <v>89877.938288484598</v>
      </c>
      <c r="AG127" s="4">
        <f>$O$127*$AA$127</f>
        <v>182713.022865943</v>
      </c>
    </row>
    <row r="128" spans="1:33" ht="11.25" customHeight="1" x14ac:dyDescent="0.25">
      <c r="A128" s="3" t="s">
        <v>21</v>
      </c>
      <c r="B128" s="3" t="s">
        <v>35</v>
      </c>
      <c r="C128" s="3" t="s">
        <v>39</v>
      </c>
      <c r="D128" s="3" t="s">
        <v>34</v>
      </c>
      <c r="E128" s="3" t="s">
        <v>25</v>
      </c>
      <c r="F128" s="3" t="s">
        <v>25</v>
      </c>
      <c r="G128" s="3" t="s">
        <v>25</v>
      </c>
      <c r="H128" s="3" t="s">
        <v>25</v>
      </c>
      <c r="I128" s="6">
        <v>44378</v>
      </c>
      <c r="J128" s="4">
        <v>4099</v>
      </c>
      <c r="K128" s="4">
        <v>4099</v>
      </c>
      <c r="L128" s="4">
        <v>0</v>
      </c>
      <c r="M128" s="4">
        <v>0</v>
      </c>
      <c r="N128" s="4">
        <v>0</v>
      </c>
      <c r="O128" s="4">
        <v>0</v>
      </c>
      <c r="P128" s="4">
        <v>15</v>
      </c>
      <c r="Q128" s="3" t="s">
        <v>26</v>
      </c>
      <c r="R128" s="3">
        <v>0</v>
      </c>
      <c r="S128" s="4">
        <v>31</v>
      </c>
      <c r="T128" s="4">
        <v>0</v>
      </c>
      <c r="U128" s="4">
        <v>0</v>
      </c>
      <c r="V128" s="4">
        <f>IF(ISERROR(VLOOKUP($S$128,'TAR FIN'!$A$1:$O$86,15,0)),0,VLOOKUP($S$128,'TAR FIN'!$A$1:$O$86,15,0))</f>
        <v>38.520000000000003</v>
      </c>
      <c r="W128" s="4">
        <f>IF(ISERROR(VLOOKUP($T$128,'TAR FIN'!$A$1:$O$86,15,0)),0,VLOOKUP($T$128,'TAR FIN'!$A$1:$O$86,15,0))</f>
        <v>0</v>
      </c>
      <c r="X128" s="4">
        <f>IF(ISERROR(VLOOKUP($U$128,'TAR FIN'!$A$1:$O$86,15,0)),0,VLOOKUP($U$128,'TAR FIN'!$A$1:$O$86,15,0))</f>
        <v>0</v>
      </c>
      <c r="Y128" s="4">
        <f ca="1">('TUSD BE'!$AM$10+'TUSD BF'!$AM$10+'TUSD CVA'!$AM$10)*1</f>
        <v>44.255213546385811</v>
      </c>
      <c r="Z128" s="4"/>
      <c r="AA128" s="4"/>
      <c r="AB128" s="4">
        <f>$K$128*$V$128</f>
        <v>157893.48000000001</v>
      </c>
      <c r="AC128" s="4">
        <f>$M$128*$W$128</f>
        <v>0</v>
      </c>
      <c r="AD128" s="4">
        <f>$O$128*$X$128</f>
        <v>0</v>
      </c>
      <c r="AE128" s="4">
        <f ca="1">$K$128*$Y$128</f>
        <v>181402.12032663543</v>
      </c>
      <c r="AF128" s="4">
        <f>$M$128*$Z$128</f>
        <v>0</v>
      </c>
      <c r="AG128" s="4">
        <f>$O$128*$AA$128</f>
        <v>0</v>
      </c>
    </row>
    <row r="129" spans="1:33" ht="11.25" customHeight="1" x14ac:dyDescent="0.25">
      <c r="A129" s="3" t="s">
        <v>21</v>
      </c>
      <c r="B129" s="3" t="s">
        <v>35</v>
      </c>
      <c r="C129" s="3" t="s">
        <v>39</v>
      </c>
      <c r="D129" s="3" t="s">
        <v>34</v>
      </c>
      <c r="E129" s="3" t="s">
        <v>25</v>
      </c>
      <c r="F129" s="3" t="s">
        <v>25</v>
      </c>
      <c r="G129" s="3" t="s">
        <v>25</v>
      </c>
      <c r="H129" s="3" t="s">
        <v>25</v>
      </c>
      <c r="I129" s="6">
        <v>44409</v>
      </c>
      <c r="J129" s="4">
        <v>3969</v>
      </c>
      <c r="K129" s="4">
        <v>3969</v>
      </c>
      <c r="L129" s="4">
        <v>0</v>
      </c>
      <c r="M129" s="4">
        <v>0</v>
      </c>
      <c r="N129" s="4">
        <v>0</v>
      </c>
      <c r="O129" s="4">
        <v>0</v>
      </c>
      <c r="P129" s="4">
        <v>15</v>
      </c>
      <c r="Q129" s="3" t="s">
        <v>26</v>
      </c>
      <c r="R129" s="3">
        <v>0</v>
      </c>
      <c r="S129" s="4">
        <v>31</v>
      </c>
      <c r="T129" s="4">
        <v>0</v>
      </c>
      <c r="U129" s="4">
        <v>0</v>
      </c>
      <c r="V129" s="4">
        <f>IF(ISERROR(VLOOKUP($S$129,'TAR FIN'!$A$1:$O$86,15,0)),0,VLOOKUP($S$129,'TAR FIN'!$A$1:$O$86,15,0))</f>
        <v>38.520000000000003</v>
      </c>
      <c r="W129" s="4">
        <f>IF(ISERROR(VLOOKUP($T$129,'TAR FIN'!$A$1:$O$86,15,0)),0,VLOOKUP($T$129,'TAR FIN'!$A$1:$O$86,15,0))</f>
        <v>0</v>
      </c>
      <c r="X129" s="4">
        <f>IF(ISERROR(VLOOKUP($U$129,'TAR FIN'!$A$1:$O$86,15,0)),0,VLOOKUP($U$129,'TAR FIN'!$A$1:$O$86,15,0))</f>
        <v>0</v>
      </c>
      <c r="Y129" s="4">
        <f ca="1">('TUSD BE'!$AM$10+'TUSD BF'!$AM$10+'TUSD CVA'!$AM$10)*1</f>
        <v>44.255213546385811</v>
      </c>
      <c r="Z129" s="4"/>
      <c r="AA129" s="4"/>
      <c r="AB129" s="4">
        <f>$K$129*$V$129</f>
        <v>152885.88</v>
      </c>
      <c r="AC129" s="4">
        <f>$M$129*$W$129</f>
        <v>0</v>
      </c>
      <c r="AD129" s="4">
        <f>$O$129*$X$129</f>
        <v>0</v>
      </c>
      <c r="AE129" s="4">
        <f ca="1">$K$129*$Y$129</f>
        <v>175648.94256560528</v>
      </c>
      <c r="AF129" s="4">
        <f>$M$129*$Z$129</f>
        <v>0</v>
      </c>
      <c r="AG129" s="4">
        <f>$O$129*$AA$129</f>
        <v>0</v>
      </c>
    </row>
    <row r="130" spans="1:33" ht="11.25" customHeight="1" x14ac:dyDescent="0.25">
      <c r="A130" s="3" t="s">
        <v>27</v>
      </c>
      <c r="B130" s="3" t="s">
        <v>35</v>
      </c>
      <c r="C130" s="3" t="s">
        <v>39</v>
      </c>
      <c r="D130" s="3" t="s">
        <v>34</v>
      </c>
      <c r="E130" s="3" t="s">
        <v>25</v>
      </c>
      <c r="F130" s="3" t="s">
        <v>25</v>
      </c>
      <c r="G130" s="3" t="s">
        <v>25</v>
      </c>
      <c r="H130" s="3" t="s">
        <v>25</v>
      </c>
      <c r="I130" s="6">
        <v>44409</v>
      </c>
      <c r="J130" s="4">
        <v>-107</v>
      </c>
      <c r="K130" s="4">
        <v>-107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3" t="s">
        <v>26</v>
      </c>
      <c r="R130" s="3">
        <v>0</v>
      </c>
      <c r="S130" s="4">
        <v>31</v>
      </c>
      <c r="T130" s="4">
        <v>0</v>
      </c>
      <c r="U130" s="4">
        <v>0</v>
      </c>
      <c r="V130" s="4">
        <f>IF(ISERROR(VLOOKUP($S$130,'TAR FIN'!$A$1:$O$86,15,0)),0,VLOOKUP($S$130,'TAR FIN'!$A$1:$O$86,15,0))</f>
        <v>38.520000000000003</v>
      </c>
      <c r="W130" s="4">
        <f>IF(ISERROR(VLOOKUP($T$130,'TAR FIN'!$A$1:$O$86,15,0)),0,VLOOKUP($T$130,'TAR FIN'!$A$1:$O$86,15,0))</f>
        <v>0</v>
      </c>
      <c r="X130" s="4">
        <f>IF(ISERROR(VLOOKUP($U$130,'TAR FIN'!$A$1:$O$86,15,0)),0,VLOOKUP($U$130,'TAR FIN'!$A$1:$O$86,15,0))</f>
        <v>0</v>
      </c>
      <c r="Y130" s="4">
        <f ca="1">('TUSD BE'!$AM$10+'TUSD BF'!$AM$10+'TUSD CVA'!$AM$10)*1</f>
        <v>44.255213546385811</v>
      </c>
      <c r="Z130" s="4"/>
      <c r="AA130" s="4"/>
      <c r="AB130" s="4">
        <f>$K$130*$V$130</f>
        <v>-4121.6400000000003</v>
      </c>
      <c r="AC130" s="4">
        <f>$M$130*$W$130</f>
        <v>0</v>
      </c>
      <c r="AD130" s="4">
        <f>$O$130*$X$130</f>
        <v>0</v>
      </c>
      <c r="AE130" s="4">
        <f ca="1">$K$130*$Y$130</f>
        <v>-4735.3078494632819</v>
      </c>
      <c r="AF130" s="4">
        <f>$M$130*$Z$130</f>
        <v>0</v>
      </c>
      <c r="AG130" s="4">
        <f>$O$130*$AA$130</f>
        <v>0</v>
      </c>
    </row>
    <row r="131" spans="1:33" ht="11.25" customHeight="1" x14ac:dyDescent="0.25">
      <c r="A131" s="3" t="s">
        <v>21</v>
      </c>
      <c r="B131" s="3" t="s">
        <v>35</v>
      </c>
      <c r="C131" s="3" t="s">
        <v>39</v>
      </c>
      <c r="D131" s="3" t="s">
        <v>34</v>
      </c>
      <c r="E131" s="3" t="s">
        <v>25</v>
      </c>
      <c r="F131" s="3" t="s">
        <v>25</v>
      </c>
      <c r="G131" s="3" t="s">
        <v>25</v>
      </c>
      <c r="H131" s="3" t="s">
        <v>25</v>
      </c>
      <c r="I131" s="6">
        <v>44440</v>
      </c>
      <c r="J131" s="4">
        <v>3996</v>
      </c>
      <c r="K131" s="4">
        <v>3996</v>
      </c>
      <c r="L131" s="4">
        <v>0</v>
      </c>
      <c r="M131" s="4">
        <v>0</v>
      </c>
      <c r="N131" s="4">
        <v>0</v>
      </c>
      <c r="O131" s="4">
        <v>0</v>
      </c>
      <c r="P131" s="4">
        <v>15</v>
      </c>
      <c r="Q131" s="3" t="s">
        <v>26</v>
      </c>
      <c r="R131" s="3">
        <v>0</v>
      </c>
      <c r="S131" s="4">
        <v>31</v>
      </c>
      <c r="T131" s="4">
        <v>0</v>
      </c>
      <c r="U131" s="4">
        <v>0</v>
      </c>
      <c r="V131" s="4">
        <f>IF(ISERROR(VLOOKUP($S$131,'TAR FIN'!$A$1:$O$86,15,0)),0,VLOOKUP($S$131,'TAR FIN'!$A$1:$O$86,15,0))</f>
        <v>38.520000000000003</v>
      </c>
      <c r="W131" s="4">
        <f>IF(ISERROR(VLOOKUP($T$131,'TAR FIN'!$A$1:$O$86,15,0)),0,VLOOKUP($T$131,'TAR FIN'!$A$1:$O$86,15,0))</f>
        <v>0</v>
      </c>
      <c r="X131" s="4">
        <f>IF(ISERROR(VLOOKUP($U$131,'TAR FIN'!$A$1:$O$86,15,0)),0,VLOOKUP($U$131,'TAR FIN'!$A$1:$O$86,15,0))</f>
        <v>0</v>
      </c>
      <c r="Y131" s="4">
        <f ca="1">('TUSD BE'!$AM$10+'TUSD BF'!$AM$10+'TUSD CVA'!$AM$10)*1</f>
        <v>44.255213546385811</v>
      </c>
      <c r="Z131" s="4"/>
      <c r="AA131" s="4"/>
      <c r="AB131" s="4">
        <f>$K$131*$V$131</f>
        <v>153925.92000000001</v>
      </c>
      <c r="AC131" s="4">
        <f>$M$131*$W$131</f>
        <v>0</v>
      </c>
      <c r="AD131" s="4">
        <f>$O$131*$X$131</f>
        <v>0</v>
      </c>
      <c r="AE131" s="4">
        <f ca="1">$K$131*$Y$131</f>
        <v>176843.83333135769</v>
      </c>
      <c r="AF131" s="4">
        <f>$M$131*$Z$131</f>
        <v>0</v>
      </c>
      <c r="AG131" s="4">
        <f>$O$131*$AA$131</f>
        <v>0</v>
      </c>
    </row>
    <row r="132" spans="1:33" ht="11.25" customHeight="1" x14ac:dyDescent="0.25">
      <c r="A132" s="3" t="s">
        <v>21</v>
      </c>
      <c r="B132" s="3" t="s">
        <v>35</v>
      </c>
      <c r="C132" s="3" t="s">
        <v>39</v>
      </c>
      <c r="D132" s="3" t="s">
        <v>34</v>
      </c>
      <c r="E132" s="3" t="s">
        <v>25</v>
      </c>
      <c r="F132" s="3" t="s">
        <v>25</v>
      </c>
      <c r="G132" s="3" t="s">
        <v>25</v>
      </c>
      <c r="H132" s="3" t="s">
        <v>25</v>
      </c>
      <c r="I132" s="6">
        <v>44470</v>
      </c>
      <c r="J132" s="4">
        <v>3949</v>
      </c>
      <c r="K132" s="4">
        <v>3949</v>
      </c>
      <c r="L132" s="4">
        <v>0</v>
      </c>
      <c r="M132" s="4">
        <v>0</v>
      </c>
      <c r="N132" s="4">
        <v>0</v>
      </c>
      <c r="O132" s="4">
        <v>0</v>
      </c>
      <c r="P132" s="4">
        <v>15</v>
      </c>
      <c r="Q132" s="3" t="s">
        <v>26</v>
      </c>
      <c r="R132" s="3">
        <v>0</v>
      </c>
      <c r="S132" s="4">
        <v>31</v>
      </c>
      <c r="T132" s="4">
        <v>0</v>
      </c>
      <c r="U132" s="4">
        <v>0</v>
      </c>
      <c r="V132" s="4">
        <f>IF(ISERROR(VLOOKUP($S$132,'TAR FIN'!$A$1:$O$86,15,0)),0,VLOOKUP($S$132,'TAR FIN'!$A$1:$O$86,15,0))</f>
        <v>38.520000000000003</v>
      </c>
      <c r="W132" s="4">
        <f>IF(ISERROR(VLOOKUP($T$132,'TAR FIN'!$A$1:$O$86,15,0)),0,VLOOKUP($T$132,'TAR FIN'!$A$1:$O$86,15,0))</f>
        <v>0</v>
      </c>
      <c r="X132" s="4">
        <f>IF(ISERROR(VLOOKUP($U$132,'TAR FIN'!$A$1:$O$86,15,0)),0,VLOOKUP($U$132,'TAR FIN'!$A$1:$O$86,15,0))</f>
        <v>0</v>
      </c>
      <c r="Y132" s="4">
        <f ca="1">('TUSD BE'!$AM$10+'TUSD BF'!$AM$10+'TUSD CVA'!$AM$10)*1</f>
        <v>44.255213546385811</v>
      </c>
      <c r="Z132" s="4"/>
      <c r="AA132" s="4"/>
      <c r="AB132" s="4">
        <f>$K$132*$V$132</f>
        <v>152115.48000000001</v>
      </c>
      <c r="AC132" s="4">
        <f>$M$132*$W$132</f>
        <v>0</v>
      </c>
      <c r="AD132" s="4">
        <f>$O$132*$X$132</f>
        <v>0</v>
      </c>
      <c r="AE132" s="4">
        <f ca="1">$K$132*$Y$132</f>
        <v>174763.83829467755</v>
      </c>
      <c r="AF132" s="4">
        <f>$M$132*$Z$132</f>
        <v>0</v>
      </c>
      <c r="AG132" s="4">
        <f>$O$132*$AA$132</f>
        <v>0</v>
      </c>
    </row>
    <row r="133" spans="1:33" ht="11.25" customHeight="1" x14ac:dyDescent="0.25">
      <c r="A133" s="3" t="s">
        <v>21</v>
      </c>
      <c r="B133" s="3" t="s">
        <v>35</v>
      </c>
      <c r="C133" s="3" t="s">
        <v>39</v>
      </c>
      <c r="D133" s="3" t="s">
        <v>34</v>
      </c>
      <c r="E133" s="3" t="s">
        <v>25</v>
      </c>
      <c r="F133" s="3" t="s">
        <v>25</v>
      </c>
      <c r="G133" s="3" t="s">
        <v>25</v>
      </c>
      <c r="H133" s="3" t="s">
        <v>25</v>
      </c>
      <c r="I133" s="6">
        <v>44501</v>
      </c>
      <c r="J133" s="4">
        <v>3981</v>
      </c>
      <c r="K133" s="4">
        <v>3981</v>
      </c>
      <c r="L133" s="4">
        <v>0</v>
      </c>
      <c r="M133" s="4">
        <v>0</v>
      </c>
      <c r="N133" s="4">
        <v>0</v>
      </c>
      <c r="O133" s="4">
        <v>0</v>
      </c>
      <c r="P133" s="4">
        <v>15</v>
      </c>
      <c r="Q133" s="3" t="s">
        <v>26</v>
      </c>
      <c r="R133" s="3">
        <v>0</v>
      </c>
      <c r="S133" s="4">
        <v>31</v>
      </c>
      <c r="T133" s="4">
        <v>0</v>
      </c>
      <c r="U133" s="4">
        <v>0</v>
      </c>
      <c r="V133" s="4">
        <f>IF(ISERROR(VLOOKUP($S$133,'TAR FIN'!$A$1:$O$86,15,0)),0,VLOOKUP($S$133,'TAR FIN'!$A$1:$O$86,15,0))</f>
        <v>38.520000000000003</v>
      </c>
      <c r="W133" s="4">
        <f>IF(ISERROR(VLOOKUP($T$133,'TAR FIN'!$A$1:$O$86,15,0)),0,VLOOKUP($T$133,'TAR FIN'!$A$1:$O$86,15,0))</f>
        <v>0</v>
      </c>
      <c r="X133" s="4">
        <f>IF(ISERROR(VLOOKUP($U$133,'TAR FIN'!$A$1:$O$86,15,0)),0,VLOOKUP($U$133,'TAR FIN'!$A$1:$O$86,15,0))</f>
        <v>0</v>
      </c>
      <c r="Y133" s="4">
        <f ca="1">('TUSD BE'!$AM$10+'TUSD BF'!$AM$10+'TUSD CVA'!$AM$10)*1</f>
        <v>44.255213546385811</v>
      </c>
      <c r="Z133" s="4"/>
      <c r="AA133" s="4"/>
      <c r="AB133" s="4">
        <f>$K$133*$V$133</f>
        <v>153348.12000000002</v>
      </c>
      <c r="AC133" s="4">
        <f>$M$133*$W$133</f>
        <v>0</v>
      </c>
      <c r="AD133" s="4">
        <f>$O$133*$X$133</f>
        <v>0</v>
      </c>
      <c r="AE133" s="4">
        <f ca="1">$K$133*$Y$133</f>
        <v>176180.00512816192</v>
      </c>
      <c r="AF133" s="4">
        <f>$M$133*$Z$133</f>
        <v>0</v>
      </c>
      <c r="AG133" s="4">
        <f>$O$133*$AA$133</f>
        <v>0</v>
      </c>
    </row>
    <row r="134" spans="1:33" ht="11.25" customHeight="1" x14ac:dyDescent="0.25">
      <c r="A134" s="3" t="s">
        <v>21</v>
      </c>
      <c r="B134" s="3" t="s">
        <v>35</v>
      </c>
      <c r="C134" s="3" t="s">
        <v>39</v>
      </c>
      <c r="D134" s="3" t="s">
        <v>34</v>
      </c>
      <c r="E134" s="3" t="s">
        <v>25</v>
      </c>
      <c r="F134" s="3" t="s">
        <v>25</v>
      </c>
      <c r="G134" s="3" t="s">
        <v>25</v>
      </c>
      <c r="H134" s="3" t="s">
        <v>25</v>
      </c>
      <c r="I134" s="6">
        <v>44531</v>
      </c>
      <c r="J134" s="4">
        <v>4076</v>
      </c>
      <c r="K134" s="4">
        <v>4076</v>
      </c>
      <c r="L134" s="4">
        <v>0</v>
      </c>
      <c r="M134" s="4">
        <v>0</v>
      </c>
      <c r="N134" s="4">
        <v>0</v>
      </c>
      <c r="O134" s="4">
        <v>0</v>
      </c>
      <c r="P134" s="4">
        <v>15</v>
      </c>
      <c r="Q134" s="3" t="s">
        <v>26</v>
      </c>
      <c r="R134" s="3">
        <v>0</v>
      </c>
      <c r="S134" s="4">
        <v>31</v>
      </c>
      <c r="T134" s="4">
        <v>0</v>
      </c>
      <c r="U134" s="4">
        <v>0</v>
      </c>
      <c r="V134" s="4">
        <f>IF(ISERROR(VLOOKUP($S$134,'TAR FIN'!$A$1:$O$86,15,0)),0,VLOOKUP($S$134,'TAR FIN'!$A$1:$O$86,15,0))</f>
        <v>38.520000000000003</v>
      </c>
      <c r="W134" s="4">
        <f>IF(ISERROR(VLOOKUP($T$134,'TAR FIN'!$A$1:$O$86,15,0)),0,VLOOKUP($T$134,'TAR FIN'!$A$1:$O$86,15,0))</f>
        <v>0</v>
      </c>
      <c r="X134" s="4">
        <f>IF(ISERROR(VLOOKUP($U$134,'TAR FIN'!$A$1:$O$86,15,0)),0,VLOOKUP($U$134,'TAR FIN'!$A$1:$O$86,15,0))</f>
        <v>0</v>
      </c>
      <c r="Y134" s="4">
        <f ca="1">('TUSD BE'!$AM$10+'TUSD BF'!$AM$10+'TUSD CVA'!$AM$10)*1</f>
        <v>44.255213546385811</v>
      </c>
      <c r="Z134" s="4"/>
      <c r="AA134" s="4"/>
      <c r="AB134" s="4">
        <f>$K$134*$V$134</f>
        <v>157007.52000000002</v>
      </c>
      <c r="AC134" s="4">
        <f>$M$134*$W$134</f>
        <v>0</v>
      </c>
      <c r="AD134" s="4">
        <f>$O$134*$X$134</f>
        <v>0</v>
      </c>
      <c r="AE134" s="4">
        <f ca="1">$K$134*$Y$134</f>
        <v>180384.25041506856</v>
      </c>
      <c r="AF134" s="4">
        <f>$M$134*$Z$134</f>
        <v>0</v>
      </c>
      <c r="AG134" s="4">
        <f>$O$134*$AA$134</f>
        <v>0</v>
      </c>
    </row>
    <row r="135" spans="1:33" ht="11.25" customHeight="1" x14ac:dyDescent="0.25">
      <c r="A135" s="3" t="s">
        <v>21</v>
      </c>
      <c r="B135" s="3" t="s">
        <v>35</v>
      </c>
      <c r="C135" s="3" t="s">
        <v>39</v>
      </c>
      <c r="D135" s="3" t="s">
        <v>34</v>
      </c>
      <c r="E135" s="3" t="s">
        <v>25</v>
      </c>
      <c r="F135" s="3" t="s">
        <v>25</v>
      </c>
      <c r="G135" s="3" t="s">
        <v>25</v>
      </c>
      <c r="H135" s="3" t="s">
        <v>25</v>
      </c>
      <c r="I135" s="6">
        <v>44562</v>
      </c>
      <c r="J135" s="4">
        <v>3928</v>
      </c>
      <c r="K135" s="4">
        <v>3928</v>
      </c>
      <c r="L135" s="4">
        <v>0</v>
      </c>
      <c r="M135" s="4">
        <v>0</v>
      </c>
      <c r="N135" s="4">
        <v>0</v>
      </c>
      <c r="O135" s="4">
        <v>0</v>
      </c>
      <c r="P135" s="4">
        <v>14</v>
      </c>
      <c r="Q135" s="3" t="s">
        <v>26</v>
      </c>
      <c r="R135" s="3">
        <v>0</v>
      </c>
      <c r="S135" s="4">
        <v>31</v>
      </c>
      <c r="T135" s="4">
        <v>0</v>
      </c>
      <c r="U135" s="4">
        <v>0</v>
      </c>
      <c r="V135" s="4">
        <f>IF(ISERROR(VLOOKUP($S$135,'TAR FIN'!$A$1:$O$86,15,0)),0,VLOOKUP($S$135,'TAR FIN'!$A$1:$O$86,15,0))</f>
        <v>38.520000000000003</v>
      </c>
      <c r="W135" s="4">
        <f>IF(ISERROR(VLOOKUP($T$135,'TAR FIN'!$A$1:$O$86,15,0)),0,VLOOKUP($T$135,'TAR FIN'!$A$1:$O$86,15,0))</f>
        <v>0</v>
      </c>
      <c r="X135" s="4">
        <f>IF(ISERROR(VLOOKUP($U$135,'TAR FIN'!$A$1:$O$86,15,0)),0,VLOOKUP($U$135,'TAR FIN'!$A$1:$O$86,15,0))</f>
        <v>0</v>
      </c>
      <c r="Y135" s="4">
        <f ca="1">('TUSD BE'!$AM$10+'TUSD BF'!$AM$10+'TUSD CVA'!$AM$10)*1</f>
        <v>44.255213546385811</v>
      </c>
      <c r="Z135" s="4"/>
      <c r="AA135" s="4"/>
      <c r="AB135" s="4">
        <f>$K$135*$V$135</f>
        <v>151306.56000000003</v>
      </c>
      <c r="AC135" s="4">
        <f>$M$135*$W$135</f>
        <v>0</v>
      </c>
      <c r="AD135" s="4">
        <f>$O$135*$X$135</f>
        <v>0</v>
      </c>
      <c r="AE135" s="4">
        <f ca="1">$K$135*$Y$135</f>
        <v>173834.47881020347</v>
      </c>
      <c r="AF135" s="4">
        <f>$M$135*$Z$135</f>
        <v>0</v>
      </c>
      <c r="AG135" s="4">
        <f>$O$135*$AA$135</f>
        <v>0</v>
      </c>
    </row>
    <row r="136" spans="1:33" ht="11.25" customHeight="1" x14ac:dyDescent="0.25">
      <c r="A136" s="3" t="s">
        <v>21</v>
      </c>
      <c r="B136" s="3" t="s">
        <v>35</v>
      </c>
      <c r="C136" s="3" t="s">
        <v>39</v>
      </c>
      <c r="D136" s="3" t="s">
        <v>34</v>
      </c>
      <c r="E136" s="3" t="s">
        <v>25</v>
      </c>
      <c r="F136" s="3" t="s">
        <v>25</v>
      </c>
      <c r="G136" s="3" t="s">
        <v>25</v>
      </c>
      <c r="H136" s="3" t="s">
        <v>25</v>
      </c>
      <c r="I136" s="6">
        <v>44593</v>
      </c>
      <c r="J136" s="4">
        <v>4044</v>
      </c>
      <c r="K136" s="4">
        <v>4044</v>
      </c>
      <c r="L136" s="4">
        <v>0</v>
      </c>
      <c r="M136" s="4">
        <v>0</v>
      </c>
      <c r="N136" s="4">
        <v>0</v>
      </c>
      <c r="O136" s="4">
        <v>0</v>
      </c>
      <c r="P136" s="4">
        <v>15</v>
      </c>
      <c r="Q136" s="3" t="s">
        <v>26</v>
      </c>
      <c r="R136" s="3">
        <v>0</v>
      </c>
      <c r="S136" s="4">
        <v>31</v>
      </c>
      <c r="T136" s="4">
        <v>0</v>
      </c>
      <c r="U136" s="4">
        <v>0</v>
      </c>
      <c r="V136" s="4">
        <f>IF(ISERROR(VLOOKUP($S$136,'TAR FIN'!$A$1:$O$86,15,0)),0,VLOOKUP($S$136,'TAR FIN'!$A$1:$O$86,15,0))</f>
        <v>38.520000000000003</v>
      </c>
      <c r="W136" s="4">
        <f>IF(ISERROR(VLOOKUP($T$136,'TAR FIN'!$A$1:$O$86,15,0)),0,VLOOKUP($T$136,'TAR FIN'!$A$1:$O$86,15,0))</f>
        <v>0</v>
      </c>
      <c r="X136" s="4">
        <f>IF(ISERROR(VLOOKUP($U$136,'TAR FIN'!$A$1:$O$86,15,0)),0,VLOOKUP($U$136,'TAR FIN'!$A$1:$O$86,15,0))</f>
        <v>0</v>
      </c>
      <c r="Y136" s="4">
        <f ca="1">('TUSD BE'!$AM$10+'TUSD BF'!$AM$10+'TUSD CVA'!$AM$10)*1</f>
        <v>44.255213546385811</v>
      </c>
      <c r="Z136" s="4"/>
      <c r="AA136" s="4"/>
      <c r="AB136" s="4">
        <f>$K$136*$V$136</f>
        <v>155774.88</v>
      </c>
      <c r="AC136" s="4">
        <f>$M$136*$W$136</f>
        <v>0</v>
      </c>
      <c r="AD136" s="4">
        <f>$O$136*$X$136</f>
        <v>0</v>
      </c>
      <c r="AE136" s="4">
        <f ca="1">$K$136*$Y$136</f>
        <v>178968.08358158421</v>
      </c>
      <c r="AF136" s="4">
        <f>$M$136*$Z$136</f>
        <v>0</v>
      </c>
      <c r="AG136" s="4">
        <f>$O$136*$AA$136</f>
        <v>0</v>
      </c>
    </row>
    <row r="137" spans="1:33" ht="11.25" customHeight="1" x14ac:dyDescent="0.25">
      <c r="A137" s="3" t="s">
        <v>21</v>
      </c>
      <c r="B137" s="3" t="s">
        <v>35</v>
      </c>
      <c r="C137" s="3" t="s">
        <v>39</v>
      </c>
      <c r="D137" s="3" t="s">
        <v>34</v>
      </c>
      <c r="E137" s="3" t="s">
        <v>25</v>
      </c>
      <c r="F137" s="3" t="s">
        <v>25</v>
      </c>
      <c r="G137" s="3" t="s">
        <v>25</v>
      </c>
      <c r="H137" s="3" t="s">
        <v>25</v>
      </c>
      <c r="I137" s="6">
        <v>44621</v>
      </c>
      <c r="J137" s="4">
        <v>4189</v>
      </c>
      <c r="K137" s="4">
        <v>4189</v>
      </c>
      <c r="L137" s="4">
        <v>0</v>
      </c>
      <c r="M137" s="4">
        <v>0</v>
      </c>
      <c r="N137" s="4">
        <v>0</v>
      </c>
      <c r="O137" s="4">
        <v>0</v>
      </c>
      <c r="P137" s="4">
        <v>15</v>
      </c>
      <c r="Q137" s="3" t="s">
        <v>26</v>
      </c>
      <c r="R137" s="3">
        <v>0</v>
      </c>
      <c r="S137" s="4">
        <v>31</v>
      </c>
      <c r="T137" s="4">
        <v>0</v>
      </c>
      <c r="U137" s="4">
        <v>0</v>
      </c>
      <c r="V137" s="4">
        <f>IF(ISERROR(VLOOKUP($S$137,'TAR FIN'!$A$1:$O$86,15,0)),0,VLOOKUP($S$137,'TAR FIN'!$A$1:$O$86,15,0))</f>
        <v>38.520000000000003</v>
      </c>
      <c r="W137" s="4">
        <f>IF(ISERROR(VLOOKUP($T$137,'TAR FIN'!$A$1:$O$86,15,0)),0,VLOOKUP($T$137,'TAR FIN'!$A$1:$O$86,15,0))</f>
        <v>0</v>
      </c>
      <c r="X137" s="4">
        <f>IF(ISERROR(VLOOKUP($U$137,'TAR FIN'!$A$1:$O$86,15,0)),0,VLOOKUP($U$137,'TAR FIN'!$A$1:$O$86,15,0))</f>
        <v>0</v>
      </c>
      <c r="Y137" s="4">
        <f ca="1">('TUSD BE'!$AM$10+'TUSD BF'!$AM$10+'TUSD CVA'!$AM$10)*1</f>
        <v>44.255213546385811</v>
      </c>
      <c r="Z137" s="4"/>
      <c r="AA137" s="4"/>
      <c r="AB137" s="4">
        <f>$K$137*$V$137</f>
        <v>161360.28</v>
      </c>
      <c r="AC137" s="4">
        <f>$M$137*$W$137</f>
        <v>0</v>
      </c>
      <c r="AD137" s="4">
        <f>$O$137*$X$137</f>
        <v>0</v>
      </c>
      <c r="AE137" s="4">
        <f ca="1">$K$137*$Y$137</f>
        <v>185385.08954581016</v>
      </c>
      <c r="AF137" s="4">
        <f>$M$137*$Z$137</f>
        <v>0</v>
      </c>
      <c r="AG137" s="4">
        <f>$O$137*$AA$137</f>
        <v>0</v>
      </c>
    </row>
    <row r="138" spans="1:33" ht="11.25" customHeight="1" x14ac:dyDescent="0.25">
      <c r="A138" s="3" t="s">
        <v>21</v>
      </c>
      <c r="B138" s="3" t="s">
        <v>35</v>
      </c>
      <c r="C138" s="3" t="s">
        <v>39</v>
      </c>
      <c r="D138" s="3" t="s">
        <v>34</v>
      </c>
      <c r="E138" s="3" t="s">
        <v>25</v>
      </c>
      <c r="F138" s="3" t="s">
        <v>25</v>
      </c>
      <c r="G138" s="3" t="s">
        <v>25</v>
      </c>
      <c r="H138" s="3" t="s">
        <v>25</v>
      </c>
      <c r="I138" s="6">
        <v>44652</v>
      </c>
      <c r="J138" s="4">
        <v>4169</v>
      </c>
      <c r="K138" s="4">
        <v>4169</v>
      </c>
      <c r="L138" s="4">
        <v>0</v>
      </c>
      <c r="M138" s="4">
        <v>0</v>
      </c>
      <c r="N138" s="4">
        <v>0</v>
      </c>
      <c r="O138" s="4">
        <v>0</v>
      </c>
      <c r="P138" s="4">
        <v>15</v>
      </c>
      <c r="Q138" s="3" t="s">
        <v>26</v>
      </c>
      <c r="R138" s="3">
        <v>0</v>
      </c>
      <c r="S138" s="4">
        <v>31</v>
      </c>
      <c r="T138" s="4">
        <v>0</v>
      </c>
      <c r="U138" s="4">
        <v>0</v>
      </c>
      <c r="V138" s="4">
        <f>IF(ISERROR(VLOOKUP($S$138,'TAR FIN'!$A$1:$O$86,15,0)),0,VLOOKUP($S$138,'TAR FIN'!$A$1:$O$86,15,0))</f>
        <v>38.520000000000003</v>
      </c>
      <c r="W138" s="4">
        <f>IF(ISERROR(VLOOKUP($T$138,'TAR FIN'!$A$1:$O$86,15,0)),0,VLOOKUP($T$138,'TAR FIN'!$A$1:$O$86,15,0))</f>
        <v>0</v>
      </c>
      <c r="X138" s="4">
        <f>IF(ISERROR(VLOOKUP($U$138,'TAR FIN'!$A$1:$O$86,15,0)),0,VLOOKUP($U$138,'TAR FIN'!$A$1:$O$86,15,0))</f>
        <v>0</v>
      </c>
      <c r="Y138" s="4">
        <f ca="1">('TUSD BE'!$AM$10+'TUSD BF'!$AM$10+'TUSD CVA'!$AM$10)*1</f>
        <v>44.255213546385811</v>
      </c>
      <c r="Z138" s="4"/>
      <c r="AA138" s="4"/>
      <c r="AB138" s="4">
        <f>$K$138*$V$138</f>
        <v>160589.88</v>
      </c>
      <c r="AC138" s="4">
        <f>$M$138*$W$138</f>
        <v>0</v>
      </c>
      <c r="AD138" s="4">
        <f>$O$138*$X$138</f>
        <v>0</v>
      </c>
      <c r="AE138" s="4">
        <f ca="1">$K$138*$Y$138</f>
        <v>184499.98527488243</v>
      </c>
      <c r="AF138" s="4">
        <f>$M$138*$Z$138</f>
        <v>0</v>
      </c>
      <c r="AG138" s="4">
        <f>$O$138*$AA$138</f>
        <v>0</v>
      </c>
    </row>
    <row r="139" spans="1:33" ht="11.25" customHeight="1" x14ac:dyDescent="0.25">
      <c r="A139" s="3" t="s">
        <v>21</v>
      </c>
      <c r="B139" s="3" t="s">
        <v>35</v>
      </c>
      <c r="C139" s="3" t="s">
        <v>39</v>
      </c>
      <c r="D139" s="3" t="s">
        <v>34</v>
      </c>
      <c r="E139" s="3" t="s">
        <v>25</v>
      </c>
      <c r="F139" s="3" t="s">
        <v>25</v>
      </c>
      <c r="G139" s="3" t="s">
        <v>25</v>
      </c>
      <c r="H139" s="3" t="s">
        <v>25</v>
      </c>
      <c r="I139" s="6">
        <v>44682</v>
      </c>
      <c r="J139" s="4">
        <v>4091</v>
      </c>
      <c r="K139" s="4">
        <v>4091</v>
      </c>
      <c r="L139" s="4">
        <v>0</v>
      </c>
      <c r="M139" s="4">
        <v>0</v>
      </c>
      <c r="N139" s="4">
        <v>0</v>
      </c>
      <c r="O139" s="4">
        <v>0</v>
      </c>
      <c r="P139" s="4">
        <v>15</v>
      </c>
      <c r="Q139" s="3" t="s">
        <v>26</v>
      </c>
      <c r="R139" s="3">
        <v>0</v>
      </c>
      <c r="S139" s="4">
        <v>31</v>
      </c>
      <c r="T139" s="4">
        <v>0</v>
      </c>
      <c r="U139" s="4">
        <v>0</v>
      </c>
      <c r="V139" s="4">
        <f>IF(ISERROR(VLOOKUP($S$139,'TAR FIN'!$A$1:$O$86,15,0)),0,VLOOKUP($S$139,'TAR FIN'!$A$1:$O$86,15,0))</f>
        <v>38.520000000000003</v>
      </c>
      <c r="W139" s="4">
        <f>IF(ISERROR(VLOOKUP($T$139,'TAR FIN'!$A$1:$O$86,15,0)),0,VLOOKUP($T$139,'TAR FIN'!$A$1:$O$86,15,0))</f>
        <v>0</v>
      </c>
      <c r="X139" s="4">
        <f>IF(ISERROR(VLOOKUP($U$139,'TAR FIN'!$A$1:$O$86,15,0)),0,VLOOKUP($U$139,'TAR FIN'!$A$1:$O$86,15,0))</f>
        <v>0</v>
      </c>
      <c r="Y139" s="4">
        <f ca="1">('TUSD BE'!$AM$10+'TUSD BF'!$AM$10+'TUSD CVA'!$AM$10)*1</f>
        <v>44.255213546385811</v>
      </c>
      <c r="Z139" s="4"/>
      <c r="AA139" s="4"/>
      <c r="AB139" s="4">
        <f>$K$139*$V$139</f>
        <v>157585.32</v>
      </c>
      <c r="AC139" s="4">
        <f>$M$139*$W$139</f>
        <v>0</v>
      </c>
      <c r="AD139" s="4">
        <f>$O$139*$X$139</f>
        <v>0</v>
      </c>
      <c r="AE139" s="4">
        <f ca="1">$K$139*$Y$139</f>
        <v>181048.07861826435</v>
      </c>
      <c r="AF139" s="4">
        <f>$M$139*$Z$139</f>
        <v>0</v>
      </c>
      <c r="AG139" s="4">
        <f>$O$139*$AA$139</f>
        <v>0</v>
      </c>
    </row>
    <row r="140" spans="1:33" ht="11.25" customHeight="1" x14ac:dyDescent="0.25">
      <c r="A140" s="3" t="s">
        <v>21</v>
      </c>
      <c r="B140" s="3" t="s">
        <v>35</v>
      </c>
      <c r="C140" s="3" t="s">
        <v>39</v>
      </c>
      <c r="D140" s="3" t="s">
        <v>34</v>
      </c>
      <c r="E140" s="3" t="s">
        <v>25</v>
      </c>
      <c r="F140" s="3" t="s">
        <v>25</v>
      </c>
      <c r="G140" s="3" t="s">
        <v>25</v>
      </c>
      <c r="H140" s="3" t="s">
        <v>25</v>
      </c>
      <c r="I140" s="6">
        <v>44713</v>
      </c>
      <c r="J140" s="4">
        <v>4046</v>
      </c>
      <c r="K140" s="4">
        <v>4046</v>
      </c>
      <c r="L140" s="4">
        <v>0</v>
      </c>
      <c r="M140" s="4">
        <v>0</v>
      </c>
      <c r="N140" s="4">
        <v>0</v>
      </c>
      <c r="O140" s="4">
        <v>0</v>
      </c>
      <c r="P140" s="4">
        <v>15</v>
      </c>
      <c r="Q140" s="3" t="s">
        <v>26</v>
      </c>
      <c r="R140" s="3">
        <v>0</v>
      </c>
      <c r="S140" s="4">
        <v>31</v>
      </c>
      <c r="T140" s="4">
        <v>0</v>
      </c>
      <c r="U140" s="4">
        <v>0</v>
      </c>
      <c r="V140" s="4">
        <f>IF(ISERROR(VLOOKUP($S$140,'TAR FIN'!$A$1:$O$86,15,0)),0,VLOOKUP($S$140,'TAR FIN'!$A$1:$O$86,15,0))</f>
        <v>38.520000000000003</v>
      </c>
      <c r="W140" s="4">
        <f>IF(ISERROR(VLOOKUP($T$140,'TAR FIN'!$A$1:$O$86,15,0)),0,VLOOKUP($T$140,'TAR FIN'!$A$1:$O$86,15,0))</f>
        <v>0</v>
      </c>
      <c r="X140" s="4">
        <f>IF(ISERROR(VLOOKUP($U$140,'TAR FIN'!$A$1:$O$86,15,0)),0,VLOOKUP($U$140,'TAR FIN'!$A$1:$O$86,15,0))</f>
        <v>0</v>
      </c>
      <c r="Y140" s="4">
        <f ca="1">('TUSD BE'!$AM$10+'TUSD BF'!$AM$10+'TUSD CVA'!$AM$10)*1</f>
        <v>44.255213546385811</v>
      </c>
      <c r="Z140" s="4"/>
      <c r="AA140" s="4"/>
      <c r="AB140" s="4">
        <f>$K$140*$V$140</f>
        <v>155851.92000000001</v>
      </c>
      <c r="AC140" s="4">
        <f>$M$140*$W$140</f>
        <v>0</v>
      </c>
      <c r="AD140" s="4">
        <f>$O$140*$X$140</f>
        <v>0</v>
      </c>
      <c r="AE140" s="4">
        <f ca="1">$K$140*$Y$140</f>
        <v>179056.594008677</v>
      </c>
      <c r="AF140" s="4">
        <f>$M$140*$Z$140</f>
        <v>0</v>
      </c>
      <c r="AG140" s="4">
        <f>$O$140*$AA$140</f>
        <v>0</v>
      </c>
    </row>
    <row r="141" spans="1:33" ht="11.25" customHeight="1" x14ac:dyDescent="0.25">
      <c r="A141" s="3" t="s">
        <v>21</v>
      </c>
      <c r="B141" s="3" t="s">
        <v>35</v>
      </c>
      <c r="C141" s="3" t="s">
        <v>39</v>
      </c>
      <c r="D141" s="3" t="s">
        <v>34</v>
      </c>
      <c r="E141" s="3" t="s">
        <v>25</v>
      </c>
      <c r="F141" s="3" t="s">
        <v>25</v>
      </c>
      <c r="G141" s="3" t="s">
        <v>25</v>
      </c>
      <c r="H141" s="3" t="s">
        <v>37</v>
      </c>
      <c r="I141" s="6">
        <v>44378</v>
      </c>
      <c r="J141" s="4">
        <v>0</v>
      </c>
      <c r="K141" s="4">
        <v>0</v>
      </c>
      <c r="L141" s="4">
        <v>19.138000000000002</v>
      </c>
      <c r="M141" s="4">
        <v>19.138000000000002</v>
      </c>
      <c r="N141" s="4">
        <v>19.138000000000002</v>
      </c>
      <c r="O141" s="4">
        <v>19.138000000000002</v>
      </c>
      <c r="P141" s="4">
        <v>0</v>
      </c>
      <c r="Q141" s="3" t="s">
        <v>26</v>
      </c>
      <c r="R141" s="3">
        <v>0</v>
      </c>
      <c r="S141" s="4">
        <v>0</v>
      </c>
      <c r="T141" s="4">
        <v>15</v>
      </c>
      <c r="U141" s="4">
        <v>24</v>
      </c>
      <c r="V141" s="4">
        <f>IF(ISERROR(VLOOKUP($S$141,'TAR FIN'!$A$1:$O$86,15,0)),0,VLOOKUP($S$141,'TAR FIN'!$A$1:$O$86,15,0))</f>
        <v>0</v>
      </c>
      <c r="W141" s="4">
        <f>IF(ISERROR(VLOOKUP($T$141,'TAR FIN'!$A$1:$O$86,15,0)),0,VLOOKUP($T$141,'TAR FIN'!$A$1:$O$86,15,0))</f>
        <v>2115.38</v>
      </c>
      <c r="X141" s="4">
        <f>IF(ISERROR(VLOOKUP($U$141,'TAR FIN'!$A$1:$O$86,15,0)),0,VLOOKUP($U$141,'TAR FIN'!$A$1:$O$86,15,0))</f>
        <v>211.54</v>
      </c>
      <c r="Y141" s="4"/>
      <c r="Z141" s="4">
        <f ca="1">('TUSD BE'!$AM$11+'TUSD BF'!$AM$11+'TUSD CVA'!$AM$11)*1</f>
        <v>2284.2159351470723</v>
      </c>
      <c r="AA141" s="4">
        <f>('TE BE'!$AB$5+'TE BF'!$AB$5+'TE CVA'!$AB$5)*1</f>
        <v>196.56876174373542</v>
      </c>
      <c r="AB141" s="4">
        <f>$K$141*$V$141</f>
        <v>0</v>
      </c>
      <c r="AC141" s="4">
        <f>$M$141*$W$141</f>
        <v>40484.142440000003</v>
      </c>
      <c r="AD141" s="4">
        <f>$O$141*$X$141</f>
        <v>4048.4525200000003</v>
      </c>
      <c r="AE141" s="4">
        <f>$K$141*$Y$141</f>
        <v>0</v>
      </c>
      <c r="AF141" s="4">
        <f ca="1">$M$141*$Z$141</f>
        <v>43715.324566844676</v>
      </c>
      <c r="AG141" s="4">
        <f>$O$141*$AA$141</f>
        <v>3761.9329622516088</v>
      </c>
    </row>
    <row r="142" spans="1:33" ht="11.25" customHeight="1" x14ac:dyDescent="0.25">
      <c r="A142" s="3" t="s">
        <v>21</v>
      </c>
      <c r="B142" s="3" t="s">
        <v>35</v>
      </c>
      <c r="C142" s="3" t="s">
        <v>39</v>
      </c>
      <c r="D142" s="3" t="s">
        <v>34</v>
      </c>
      <c r="E142" s="3" t="s">
        <v>25</v>
      </c>
      <c r="F142" s="3" t="s">
        <v>25</v>
      </c>
      <c r="G142" s="3" t="s">
        <v>25</v>
      </c>
      <c r="H142" s="3" t="s">
        <v>37</v>
      </c>
      <c r="I142" s="6">
        <v>44409</v>
      </c>
      <c r="J142" s="4">
        <v>0</v>
      </c>
      <c r="K142" s="4">
        <v>0</v>
      </c>
      <c r="L142" s="4">
        <v>14.223000000000001</v>
      </c>
      <c r="M142" s="4">
        <v>14.223000000000001</v>
      </c>
      <c r="N142" s="4">
        <v>14.223000000000001</v>
      </c>
      <c r="O142" s="4">
        <v>14.223000000000001</v>
      </c>
      <c r="P142" s="4">
        <v>0</v>
      </c>
      <c r="Q142" s="3" t="s">
        <v>26</v>
      </c>
      <c r="R142" s="3">
        <v>0</v>
      </c>
      <c r="S142" s="4">
        <v>0</v>
      </c>
      <c r="T142" s="4">
        <v>15</v>
      </c>
      <c r="U142" s="4">
        <v>24</v>
      </c>
      <c r="V142" s="4">
        <f>IF(ISERROR(VLOOKUP($S$142,'TAR FIN'!$A$1:$O$86,15,0)),0,VLOOKUP($S$142,'TAR FIN'!$A$1:$O$86,15,0))</f>
        <v>0</v>
      </c>
      <c r="W142" s="4">
        <f>IF(ISERROR(VLOOKUP($T$142,'TAR FIN'!$A$1:$O$86,15,0)),0,VLOOKUP($T$142,'TAR FIN'!$A$1:$O$86,15,0))</f>
        <v>2115.38</v>
      </c>
      <c r="X142" s="4">
        <f>IF(ISERROR(VLOOKUP($U$142,'TAR FIN'!$A$1:$O$86,15,0)),0,VLOOKUP($U$142,'TAR FIN'!$A$1:$O$86,15,0))</f>
        <v>211.54</v>
      </c>
      <c r="Y142" s="4"/>
      <c r="Z142" s="4">
        <f ca="1">('TUSD BE'!$AM$11+'TUSD BF'!$AM$11+'TUSD CVA'!$AM$11)*1</f>
        <v>2284.2159351470723</v>
      </c>
      <c r="AA142" s="4">
        <f>('TE BE'!$AB$5+'TE BF'!$AB$5+'TE CVA'!$AB$5)*1</f>
        <v>196.56876174373542</v>
      </c>
      <c r="AB142" s="4">
        <f>$K$142*$V$142</f>
        <v>0</v>
      </c>
      <c r="AC142" s="4">
        <f>$M$142*$W$142</f>
        <v>30087.049740000002</v>
      </c>
      <c r="AD142" s="4">
        <f>$O$142*$X$142</f>
        <v>3008.73342</v>
      </c>
      <c r="AE142" s="4">
        <f>$K$142*$Y$142</f>
        <v>0</v>
      </c>
      <c r="AF142" s="4">
        <f ca="1">$M$142*$Z$142</f>
        <v>32488.403245596812</v>
      </c>
      <c r="AG142" s="4">
        <f>$O$142*$AA$142</f>
        <v>2795.7974982811493</v>
      </c>
    </row>
    <row r="143" spans="1:33" ht="11.25" customHeight="1" x14ac:dyDescent="0.25">
      <c r="A143" s="3" t="s">
        <v>21</v>
      </c>
      <c r="B143" s="3" t="s">
        <v>35</v>
      </c>
      <c r="C143" s="3" t="s">
        <v>39</v>
      </c>
      <c r="D143" s="3" t="s">
        <v>34</v>
      </c>
      <c r="E143" s="3" t="s">
        <v>25</v>
      </c>
      <c r="F143" s="3" t="s">
        <v>25</v>
      </c>
      <c r="G143" s="3" t="s">
        <v>25</v>
      </c>
      <c r="H143" s="3" t="s">
        <v>37</v>
      </c>
      <c r="I143" s="6">
        <v>44440</v>
      </c>
      <c r="J143" s="4">
        <v>0</v>
      </c>
      <c r="K143" s="4">
        <v>0</v>
      </c>
      <c r="L143" s="4">
        <v>14.566000000000001</v>
      </c>
      <c r="M143" s="4">
        <v>14.566000000000001</v>
      </c>
      <c r="N143" s="4">
        <v>14.566000000000001</v>
      </c>
      <c r="O143" s="4">
        <v>14.566000000000001</v>
      </c>
      <c r="P143" s="4">
        <v>0</v>
      </c>
      <c r="Q143" s="3" t="s">
        <v>26</v>
      </c>
      <c r="R143" s="3">
        <v>0</v>
      </c>
      <c r="S143" s="4">
        <v>0</v>
      </c>
      <c r="T143" s="4">
        <v>15</v>
      </c>
      <c r="U143" s="4">
        <v>24</v>
      </c>
      <c r="V143" s="4">
        <f>IF(ISERROR(VLOOKUP($S$143,'TAR FIN'!$A$1:$O$86,15,0)),0,VLOOKUP($S$143,'TAR FIN'!$A$1:$O$86,15,0))</f>
        <v>0</v>
      </c>
      <c r="W143" s="4">
        <f>IF(ISERROR(VLOOKUP($T$143,'TAR FIN'!$A$1:$O$86,15,0)),0,VLOOKUP($T$143,'TAR FIN'!$A$1:$O$86,15,0))</f>
        <v>2115.38</v>
      </c>
      <c r="X143" s="4">
        <f>IF(ISERROR(VLOOKUP($U$143,'TAR FIN'!$A$1:$O$86,15,0)),0,VLOOKUP($U$143,'TAR FIN'!$A$1:$O$86,15,0))</f>
        <v>211.54</v>
      </c>
      <c r="Y143" s="4"/>
      <c r="Z143" s="4">
        <f ca="1">('TUSD BE'!$AM$11+'TUSD BF'!$AM$11+'TUSD CVA'!$AM$11)*1</f>
        <v>2284.2159351470723</v>
      </c>
      <c r="AA143" s="4">
        <f>('TE BE'!$AB$5+'TE BF'!$AB$5+'TE CVA'!$AB$5)*1</f>
        <v>196.56876174373542</v>
      </c>
      <c r="AB143" s="4">
        <f>$K$143*$V$143</f>
        <v>0</v>
      </c>
      <c r="AC143" s="4">
        <f>$M$143*$W$143</f>
        <v>30812.625080000002</v>
      </c>
      <c r="AD143" s="4">
        <f>$O$143*$X$143</f>
        <v>3081.2916399999999</v>
      </c>
      <c r="AE143" s="4">
        <f>$K$143*$Y$143</f>
        <v>0</v>
      </c>
      <c r="AF143" s="4">
        <f ca="1">$M$143*$Z$143</f>
        <v>33271.889311352257</v>
      </c>
      <c r="AG143" s="4">
        <f>$O$143*$AA$143</f>
        <v>2863.2205835592504</v>
      </c>
    </row>
    <row r="144" spans="1:33" ht="11.25" customHeight="1" x14ac:dyDescent="0.25">
      <c r="A144" s="3" t="s">
        <v>21</v>
      </c>
      <c r="B144" s="3" t="s">
        <v>35</v>
      </c>
      <c r="C144" s="3" t="s">
        <v>39</v>
      </c>
      <c r="D144" s="3" t="s">
        <v>34</v>
      </c>
      <c r="E144" s="3" t="s">
        <v>25</v>
      </c>
      <c r="F144" s="3" t="s">
        <v>25</v>
      </c>
      <c r="G144" s="3" t="s">
        <v>25</v>
      </c>
      <c r="H144" s="3" t="s">
        <v>37</v>
      </c>
      <c r="I144" s="6">
        <v>44470</v>
      </c>
      <c r="J144" s="4">
        <v>0</v>
      </c>
      <c r="K144" s="4">
        <v>0</v>
      </c>
      <c r="L144" s="4">
        <v>14.673</v>
      </c>
      <c r="M144" s="4">
        <v>14.673</v>
      </c>
      <c r="N144" s="4">
        <v>14.673</v>
      </c>
      <c r="O144" s="4">
        <v>14.673</v>
      </c>
      <c r="P144" s="4">
        <v>0</v>
      </c>
      <c r="Q144" s="3" t="s">
        <v>26</v>
      </c>
      <c r="R144" s="3">
        <v>0</v>
      </c>
      <c r="S144" s="4">
        <v>0</v>
      </c>
      <c r="T144" s="4">
        <v>15</v>
      </c>
      <c r="U144" s="4">
        <v>24</v>
      </c>
      <c r="V144" s="4">
        <f>IF(ISERROR(VLOOKUP($S$144,'TAR FIN'!$A$1:$O$86,15,0)),0,VLOOKUP($S$144,'TAR FIN'!$A$1:$O$86,15,0))</f>
        <v>0</v>
      </c>
      <c r="W144" s="4">
        <f>IF(ISERROR(VLOOKUP($T$144,'TAR FIN'!$A$1:$O$86,15,0)),0,VLOOKUP($T$144,'TAR FIN'!$A$1:$O$86,15,0))</f>
        <v>2115.38</v>
      </c>
      <c r="X144" s="4">
        <f>IF(ISERROR(VLOOKUP($U$144,'TAR FIN'!$A$1:$O$86,15,0)),0,VLOOKUP($U$144,'TAR FIN'!$A$1:$O$86,15,0))</f>
        <v>211.54</v>
      </c>
      <c r="Y144" s="4"/>
      <c r="Z144" s="4">
        <f ca="1">('TUSD BE'!$AM$11+'TUSD BF'!$AM$11+'TUSD CVA'!$AM$11)*1</f>
        <v>2284.2159351470723</v>
      </c>
      <c r="AA144" s="4">
        <f>('TE BE'!$AB$5+'TE BF'!$AB$5+'TE CVA'!$AB$5)*1</f>
        <v>196.56876174373542</v>
      </c>
      <c r="AB144" s="4">
        <f>$K$144*$V$144</f>
        <v>0</v>
      </c>
      <c r="AC144" s="4">
        <f>$M$144*$W$144</f>
        <v>31038.970740000001</v>
      </c>
      <c r="AD144" s="4">
        <f>$O$144*$X$144</f>
        <v>3103.9264199999998</v>
      </c>
      <c r="AE144" s="4">
        <f>$K$144*$Y$144</f>
        <v>0</v>
      </c>
      <c r="AF144" s="4">
        <f ca="1">$M$144*$Z$144</f>
        <v>33516.300416412989</v>
      </c>
      <c r="AG144" s="4">
        <f>$O$144*$AA$144</f>
        <v>2884.25344106583</v>
      </c>
    </row>
    <row r="145" spans="1:33" ht="11.25" customHeight="1" x14ac:dyDescent="0.25">
      <c r="A145" s="3" t="s">
        <v>21</v>
      </c>
      <c r="B145" s="3" t="s">
        <v>35</v>
      </c>
      <c r="C145" s="3" t="s">
        <v>39</v>
      </c>
      <c r="D145" s="3" t="s">
        <v>34</v>
      </c>
      <c r="E145" s="3" t="s">
        <v>25</v>
      </c>
      <c r="F145" s="3" t="s">
        <v>25</v>
      </c>
      <c r="G145" s="3" t="s">
        <v>25</v>
      </c>
      <c r="H145" s="3" t="s">
        <v>37</v>
      </c>
      <c r="I145" s="6">
        <v>44501</v>
      </c>
      <c r="J145" s="4">
        <v>0</v>
      </c>
      <c r="K145" s="4">
        <v>0</v>
      </c>
      <c r="L145" s="4">
        <v>15.134</v>
      </c>
      <c r="M145" s="4">
        <v>15.134</v>
      </c>
      <c r="N145" s="4">
        <v>15.134</v>
      </c>
      <c r="O145" s="4">
        <v>15.134</v>
      </c>
      <c r="P145" s="4">
        <v>0</v>
      </c>
      <c r="Q145" s="3" t="s">
        <v>26</v>
      </c>
      <c r="R145" s="3">
        <v>0</v>
      </c>
      <c r="S145" s="4">
        <v>0</v>
      </c>
      <c r="T145" s="4">
        <v>15</v>
      </c>
      <c r="U145" s="4">
        <v>24</v>
      </c>
      <c r="V145" s="4">
        <f>IF(ISERROR(VLOOKUP($S$145,'TAR FIN'!$A$1:$O$86,15,0)),0,VLOOKUP($S$145,'TAR FIN'!$A$1:$O$86,15,0))</f>
        <v>0</v>
      </c>
      <c r="W145" s="4">
        <f>IF(ISERROR(VLOOKUP($T$145,'TAR FIN'!$A$1:$O$86,15,0)),0,VLOOKUP($T$145,'TAR FIN'!$A$1:$O$86,15,0))</f>
        <v>2115.38</v>
      </c>
      <c r="X145" s="4">
        <f>IF(ISERROR(VLOOKUP($U$145,'TAR FIN'!$A$1:$O$86,15,0)),0,VLOOKUP($U$145,'TAR FIN'!$A$1:$O$86,15,0))</f>
        <v>211.54</v>
      </c>
      <c r="Y145" s="4"/>
      <c r="Z145" s="4">
        <f ca="1">('TUSD BE'!$AM$11+'TUSD BF'!$AM$11+'TUSD CVA'!$AM$11)*1</f>
        <v>2284.2159351470723</v>
      </c>
      <c r="AA145" s="4">
        <f>('TE BE'!$AB$5+'TE BF'!$AB$5+'TE CVA'!$AB$5)*1</f>
        <v>196.56876174373542</v>
      </c>
      <c r="AB145" s="4">
        <f>$K$145*$V$145</f>
        <v>0</v>
      </c>
      <c r="AC145" s="4">
        <f>$M$145*$W$145</f>
        <v>32014.160920000002</v>
      </c>
      <c r="AD145" s="4">
        <f>$O$145*$X$145</f>
        <v>3201.4463599999999</v>
      </c>
      <c r="AE145" s="4">
        <f>$K$145*$Y$145</f>
        <v>0</v>
      </c>
      <c r="AF145" s="4">
        <f ca="1">$M$145*$Z$145</f>
        <v>34569.323962515795</v>
      </c>
      <c r="AG145" s="4">
        <f>$O$145*$AA$145</f>
        <v>2974.8716402296918</v>
      </c>
    </row>
    <row r="146" spans="1:33" ht="11.25" customHeight="1" x14ac:dyDescent="0.25">
      <c r="A146" s="3" t="s">
        <v>21</v>
      </c>
      <c r="B146" s="3" t="s">
        <v>35</v>
      </c>
      <c r="C146" s="3" t="s">
        <v>39</v>
      </c>
      <c r="D146" s="3" t="s">
        <v>34</v>
      </c>
      <c r="E146" s="3" t="s">
        <v>25</v>
      </c>
      <c r="F146" s="3" t="s">
        <v>25</v>
      </c>
      <c r="G146" s="3" t="s">
        <v>25</v>
      </c>
      <c r="H146" s="3" t="s">
        <v>37</v>
      </c>
      <c r="I146" s="6">
        <v>44531</v>
      </c>
      <c r="J146" s="4">
        <v>0</v>
      </c>
      <c r="K146" s="4">
        <v>0</v>
      </c>
      <c r="L146" s="4">
        <v>18.946000000000002</v>
      </c>
      <c r="M146" s="4">
        <v>18.946000000000002</v>
      </c>
      <c r="N146" s="4">
        <v>18.946000000000002</v>
      </c>
      <c r="O146" s="4">
        <v>18.946000000000002</v>
      </c>
      <c r="P146" s="4">
        <v>0</v>
      </c>
      <c r="Q146" s="3" t="s">
        <v>26</v>
      </c>
      <c r="R146" s="3">
        <v>0</v>
      </c>
      <c r="S146" s="4">
        <v>0</v>
      </c>
      <c r="T146" s="4">
        <v>15</v>
      </c>
      <c r="U146" s="4">
        <v>24</v>
      </c>
      <c r="V146" s="4">
        <f>IF(ISERROR(VLOOKUP($S$146,'TAR FIN'!$A$1:$O$86,15,0)),0,VLOOKUP($S$146,'TAR FIN'!$A$1:$O$86,15,0))</f>
        <v>0</v>
      </c>
      <c r="W146" s="4">
        <f>IF(ISERROR(VLOOKUP($T$146,'TAR FIN'!$A$1:$O$86,15,0)),0,VLOOKUP($T$146,'TAR FIN'!$A$1:$O$86,15,0))</f>
        <v>2115.38</v>
      </c>
      <c r="X146" s="4">
        <f>IF(ISERROR(VLOOKUP($U$146,'TAR FIN'!$A$1:$O$86,15,0)),0,VLOOKUP($U$146,'TAR FIN'!$A$1:$O$86,15,0))</f>
        <v>211.54</v>
      </c>
      <c r="Y146" s="4"/>
      <c r="Z146" s="4">
        <f ca="1">('TUSD BE'!$AM$11+'TUSD BF'!$AM$11+'TUSD CVA'!$AM$11)*1</f>
        <v>2284.2159351470723</v>
      </c>
      <c r="AA146" s="4">
        <f>('TE BE'!$AB$5+'TE BF'!$AB$5+'TE CVA'!$AB$5)*1</f>
        <v>196.56876174373542</v>
      </c>
      <c r="AB146" s="4">
        <f>$K$146*$V$146</f>
        <v>0</v>
      </c>
      <c r="AC146" s="4">
        <f>$M$146*$W$146</f>
        <v>40077.989480000004</v>
      </c>
      <c r="AD146" s="4">
        <f>$O$146*$X$146</f>
        <v>4007.8368400000004</v>
      </c>
      <c r="AE146" s="4">
        <f>$K$146*$Y$146</f>
        <v>0</v>
      </c>
      <c r="AF146" s="4">
        <f ca="1">$M$146*$Z$146</f>
        <v>43276.755107296434</v>
      </c>
      <c r="AG146" s="4">
        <f>$O$146*$AA$146</f>
        <v>3724.1917599968115</v>
      </c>
    </row>
    <row r="147" spans="1:33" ht="11.25" customHeight="1" x14ac:dyDescent="0.25">
      <c r="A147" s="3" t="s">
        <v>21</v>
      </c>
      <c r="B147" s="3" t="s">
        <v>35</v>
      </c>
      <c r="C147" s="3" t="s">
        <v>39</v>
      </c>
      <c r="D147" s="3" t="s">
        <v>34</v>
      </c>
      <c r="E147" s="3" t="s">
        <v>25</v>
      </c>
      <c r="F147" s="3" t="s">
        <v>25</v>
      </c>
      <c r="G147" s="3" t="s">
        <v>25</v>
      </c>
      <c r="H147" s="3" t="s">
        <v>37</v>
      </c>
      <c r="I147" s="6">
        <v>44562</v>
      </c>
      <c r="J147" s="4">
        <v>0</v>
      </c>
      <c r="K147" s="4">
        <v>0</v>
      </c>
      <c r="L147" s="4">
        <v>18.617999999999999</v>
      </c>
      <c r="M147" s="4">
        <v>18.617999999999999</v>
      </c>
      <c r="N147" s="4">
        <v>18.617999999999999</v>
      </c>
      <c r="O147" s="4">
        <v>18.617999999999999</v>
      </c>
      <c r="P147" s="4">
        <v>0</v>
      </c>
      <c r="Q147" s="3" t="s">
        <v>26</v>
      </c>
      <c r="R147" s="3">
        <v>0</v>
      </c>
      <c r="S147" s="4">
        <v>0</v>
      </c>
      <c r="T147" s="4">
        <v>15</v>
      </c>
      <c r="U147" s="4">
        <v>24</v>
      </c>
      <c r="V147" s="4">
        <f>IF(ISERROR(VLOOKUP($S$147,'TAR FIN'!$A$1:$O$86,15,0)),0,VLOOKUP($S$147,'TAR FIN'!$A$1:$O$86,15,0))</f>
        <v>0</v>
      </c>
      <c r="W147" s="4">
        <f>IF(ISERROR(VLOOKUP($T$147,'TAR FIN'!$A$1:$O$86,15,0)),0,VLOOKUP($T$147,'TAR FIN'!$A$1:$O$86,15,0))</f>
        <v>2115.38</v>
      </c>
      <c r="X147" s="4">
        <f>IF(ISERROR(VLOOKUP($U$147,'TAR FIN'!$A$1:$O$86,15,0)),0,VLOOKUP($U$147,'TAR FIN'!$A$1:$O$86,15,0))</f>
        <v>211.54</v>
      </c>
      <c r="Y147" s="4"/>
      <c r="Z147" s="4">
        <f ca="1">('TUSD BE'!$AM$11+'TUSD BF'!$AM$11+'TUSD CVA'!$AM$11)*1</f>
        <v>2284.2159351470723</v>
      </c>
      <c r="AA147" s="4">
        <f>('TE BE'!$AB$5+'TE BF'!$AB$5+'TE CVA'!$AB$5)*1</f>
        <v>196.56876174373542</v>
      </c>
      <c r="AB147" s="4">
        <f>$K$147*$V$147</f>
        <v>0</v>
      </c>
      <c r="AC147" s="4">
        <f>$M$147*$W$147</f>
        <v>39384.144840000001</v>
      </c>
      <c r="AD147" s="4">
        <f>$O$147*$X$147</f>
        <v>3938.4517199999996</v>
      </c>
      <c r="AE147" s="4">
        <f>$K$147*$Y$147</f>
        <v>0</v>
      </c>
      <c r="AF147" s="4">
        <f ca="1">$M$147*$Z$147</f>
        <v>42527.532280568186</v>
      </c>
      <c r="AG147" s="4">
        <f>$O$147*$AA$147</f>
        <v>3659.7172061448659</v>
      </c>
    </row>
    <row r="148" spans="1:33" ht="11.25" customHeight="1" x14ac:dyDescent="0.25">
      <c r="A148" s="3" t="s">
        <v>21</v>
      </c>
      <c r="B148" s="3" t="s">
        <v>35</v>
      </c>
      <c r="C148" s="3" t="s">
        <v>39</v>
      </c>
      <c r="D148" s="3" t="s">
        <v>34</v>
      </c>
      <c r="E148" s="3" t="s">
        <v>25</v>
      </c>
      <c r="F148" s="3" t="s">
        <v>25</v>
      </c>
      <c r="G148" s="3" t="s">
        <v>25</v>
      </c>
      <c r="H148" s="3" t="s">
        <v>37</v>
      </c>
      <c r="I148" s="6">
        <v>44593</v>
      </c>
      <c r="J148" s="4">
        <v>0</v>
      </c>
      <c r="K148" s="4">
        <v>0</v>
      </c>
      <c r="L148" s="4">
        <v>20.439</v>
      </c>
      <c r="M148" s="4">
        <v>20.439</v>
      </c>
      <c r="N148" s="4">
        <v>20.439</v>
      </c>
      <c r="O148" s="4">
        <v>20.439</v>
      </c>
      <c r="P148" s="4">
        <v>0</v>
      </c>
      <c r="Q148" s="3" t="s">
        <v>26</v>
      </c>
      <c r="R148" s="3">
        <v>0</v>
      </c>
      <c r="S148" s="4">
        <v>0</v>
      </c>
      <c r="T148" s="4">
        <v>15</v>
      </c>
      <c r="U148" s="4">
        <v>24</v>
      </c>
      <c r="V148" s="4">
        <f>IF(ISERROR(VLOOKUP($S$148,'TAR FIN'!$A$1:$O$86,15,0)),0,VLOOKUP($S$148,'TAR FIN'!$A$1:$O$86,15,0))</f>
        <v>0</v>
      </c>
      <c r="W148" s="4">
        <f>IF(ISERROR(VLOOKUP($T$148,'TAR FIN'!$A$1:$O$86,15,0)),0,VLOOKUP($T$148,'TAR FIN'!$A$1:$O$86,15,0))</f>
        <v>2115.38</v>
      </c>
      <c r="X148" s="4">
        <f>IF(ISERROR(VLOOKUP($U$148,'TAR FIN'!$A$1:$O$86,15,0)),0,VLOOKUP($U$148,'TAR FIN'!$A$1:$O$86,15,0))</f>
        <v>211.54</v>
      </c>
      <c r="Y148" s="4"/>
      <c r="Z148" s="4">
        <f ca="1">('TUSD BE'!$AM$11+'TUSD BF'!$AM$11+'TUSD CVA'!$AM$11)*1</f>
        <v>2284.2159351470723</v>
      </c>
      <c r="AA148" s="4">
        <f>('TE BE'!$AB$5+'TE BF'!$AB$5+'TE CVA'!$AB$5)*1</f>
        <v>196.56876174373542</v>
      </c>
      <c r="AB148" s="4">
        <f>$K$148*$V$148</f>
        <v>0</v>
      </c>
      <c r="AC148" s="4">
        <f>$M$148*$W$148</f>
        <v>43236.251820000005</v>
      </c>
      <c r="AD148" s="4">
        <f>$O$148*$X$148</f>
        <v>4323.6660599999996</v>
      </c>
      <c r="AE148" s="4">
        <f>$K$148*$Y$148</f>
        <v>0</v>
      </c>
      <c r="AF148" s="4">
        <f ca="1">$M$148*$Z$148</f>
        <v>46687.08949847101</v>
      </c>
      <c r="AG148" s="4">
        <f>$O$148*$AA$148</f>
        <v>4017.6689212802085</v>
      </c>
    </row>
    <row r="149" spans="1:33" ht="11.25" customHeight="1" x14ac:dyDescent="0.25">
      <c r="A149" s="3" t="s">
        <v>21</v>
      </c>
      <c r="B149" s="3" t="s">
        <v>35</v>
      </c>
      <c r="C149" s="3" t="s">
        <v>39</v>
      </c>
      <c r="D149" s="3" t="s">
        <v>34</v>
      </c>
      <c r="E149" s="3" t="s">
        <v>25</v>
      </c>
      <c r="F149" s="3" t="s">
        <v>25</v>
      </c>
      <c r="G149" s="3" t="s">
        <v>25</v>
      </c>
      <c r="H149" s="3" t="s">
        <v>37</v>
      </c>
      <c r="I149" s="6">
        <v>44621</v>
      </c>
      <c r="J149" s="4">
        <v>0</v>
      </c>
      <c r="K149" s="4">
        <v>0</v>
      </c>
      <c r="L149" s="4">
        <v>26.832000000000001</v>
      </c>
      <c r="M149" s="4">
        <v>26.832000000000001</v>
      </c>
      <c r="N149" s="4">
        <v>26.832000000000001</v>
      </c>
      <c r="O149" s="4">
        <v>26.832000000000001</v>
      </c>
      <c r="P149" s="4">
        <v>0</v>
      </c>
      <c r="Q149" s="3" t="s">
        <v>26</v>
      </c>
      <c r="R149" s="3">
        <v>0</v>
      </c>
      <c r="S149" s="4">
        <v>0</v>
      </c>
      <c r="T149" s="4">
        <v>15</v>
      </c>
      <c r="U149" s="4">
        <v>24</v>
      </c>
      <c r="V149" s="4">
        <f>IF(ISERROR(VLOOKUP($S$149,'TAR FIN'!$A$1:$O$86,15,0)),0,VLOOKUP($S$149,'TAR FIN'!$A$1:$O$86,15,0))</f>
        <v>0</v>
      </c>
      <c r="W149" s="4">
        <f>IF(ISERROR(VLOOKUP($T$149,'TAR FIN'!$A$1:$O$86,15,0)),0,VLOOKUP($T$149,'TAR FIN'!$A$1:$O$86,15,0))</f>
        <v>2115.38</v>
      </c>
      <c r="X149" s="4">
        <f>IF(ISERROR(VLOOKUP($U$149,'TAR FIN'!$A$1:$O$86,15,0)),0,VLOOKUP($U$149,'TAR FIN'!$A$1:$O$86,15,0))</f>
        <v>211.54</v>
      </c>
      <c r="Y149" s="4"/>
      <c r="Z149" s="4">
        <f ca="1">('TUSD BE'!$AM$11+'TUSD BF'!$AM$11+'TUSD CVA'!$AM$11)*1</f>
        <v>2284.2159351470723</v>
      </c>
      <c r="AA149" s="4">
        <f>('TE BE'!$AB$5+'TE BF'!$AB$5+'TE CVA'!$AB$5)*1</f>
        <v>196.56876174373542</v>
      </c>
      <c r="AB149" s="4">
        <f>$K$149*$V$149</f>
        <v>0</v>
      </c>
      <c r="AC149" s="4">
        <f>$M$149*$W$149</f>
        <v>56759.876160000007</v>
      </c>
      <c r="AD149" s="4">
        <f>$O$149*$X$149</f>
        <v>5676.0412800000004</v>
      </c>
      <c r="AE149" s="4">
        <f>$K$149*$Y$149</f>
        <v>0</v>
      </c>
      <c r="AF149" s="4">
        <f ca="1">$M$149*$Z$149</f>
        <v>61290.081971866246</v>
      </c>
      <c r="AG149" s="4">
        <f>$O$149*$AA$149</f>
        <v>5274.333015107909</v>
      </c>
    </row>
    <row r="150" spans="1:33" ht="11.25" customHeight="1" x14ac:dyDescent="0.25">
      <c r="A150" s="3" t="s">
        <v>21</v>
      </c>
      <c r="B150" s="3" t="s">
        <v>35</v>
      </c>
      <c r="C150" s="3" t="s">
        <v>39</v>
      </c>
      <c r="D150" s="3" t="s">
        <v>34</v>
      </c>
      <c r="E150" s="3" t="s">
        <v>25</v>
      </c>
      <c r="F150" s="3" t="s">
        <v>25</v>
      </c>
      <c r="G150" s="3" t="s">
        <v>25</v>
      </c>
      <c r="H150" s="3" t="s">
        <v>37</v>
      </c>
      <c r="I150" s="6">
        <v>44652</v>
      </c>
      <c r="J150" s="4">
        <v>0</v>
      </c>
      <c r="K150" s="4">
        <v>0</v>
      </c>
      <c r="L150" s="4">
        <v>22.404</v>
      </c>
      <c r="M150" s="4">
        <v>22.404</v>
      </c>
      <c r="N150" s="4">
        <v>22.404</v>
      </c>
      <c r="O150" s="4">
        <v>22.404</v>
      </c>
      <c r="P150" s="4">
        <v>0</v>
      </c>
      <c r="Q150" s="3" t="s">
        <v>26</v>
      </c>
      <c r="R150" s="3">
        <v>0</v>
      </c>
      <c r="S150" s="4">
        <v>0</v>
      </c>
      <c r="T150" s="4">
        <v>15</v>
      </c>
      <c r="U150" s="4">
        <v>24</v>
      </c>
      <c r="V150" s="4">
        <f>IF(ISERROR(VLOOKUP($S$150,'TAR FIN'!$A$1:$O$86,15,0)),0,VLOOKUP($S$150,'TAR FIN'!$A$1:$O$86,15,0))</f>
        <v>0</v>
      </c>
      <c r="W150" s="4">
        <f>IF(ISERROR(VLOOKUP($T$150,'TAR FIN'!$A$1:$O$86,15,0)),0,VLOOKUP($T$150,'TAR FIN'!$A$1:$O$86,15,0))</f>
        <v>2115.38</v>
      </c>
      <c r="X150" s="4">
        <f>IF(ISERROR(VLOOKUP($U$150,'TAR FIN'!$A$1:$O$86,15,0)),0,VLOOKUP($U$150,'TAR FIN'!$A$1:$O$86,15,0))</f>
        <v>211.54</v>
      </c>
      <c r="Y150" s="4"/>
      <c r="Z150" s="4">
        <f ca="1">('TUSD BE'!$AM$11+'TUSD BF'!$AM$11+'TUSD CVA'!$AM$11)*1</f>
        <v>2284.2159351470723</v>
      </c>
      <c r="AA150" s="4">
        <f>('TE BE'!$AB$5+'TE BF'!$AB$5+'TE CVA'!$AB$5)*1</f>
        <v>196.56876174373542</v>
      </c>
      <c r="AB150" s="4">
        <f>$K$150*$V$150</f>
        <v>0</v>
      </c>
      <c r="AC150" s="4">
        <f>$M$150*$W$150</f>
        <v>47392.97352</v>
      </c>
      <c r="AD150" s="4">
        <f>$O$150*$X$150</f>
        <v>4739.3421600000001</v>
      </c>
      <c r="AE150" s="4">
        <f>$K$150*$Y$150</f>
        <v>0</v>
      </c>
      <c r="AF150" s="4">
        <f ca="1">$M$150*$Z$150</f>
        <v>51175.573811035007</v>
      </c>
      <c r="AG150" s="4">
        <f>$O$150*$AA$150</f>
        <v>4403.926538106648</v>
      </c>
    </row>
    <row r="151" spans="1:33" ht="11.25" customHeight="1" x14ac:dyDescent="0.25">
      <c r="A151" s="3" t="s">
        <v>21</v>
      </c>
      <c r="B151" s="3" t="s">
        <v>35</v>
      </c>
      <c r="C151" s="3" t="s">
        <v>39</v>
      </c>
      <c r="D151" s="3" t="s">
        <v>34</v>
      </c>
      <c r="E151" s="3" t="s">
        <v>25</v>
      </c>
      <c r="F151" s="3" t="s">
        <v>25</v>
      </c>
      <c r="G151" s="3" t="s">
        <v>25</v>
      </c>
      <c r="H151" s="3" t="s">
        <v>37</v>
      </c>
      <c r="I151" s="6">
        <v>44682</v>
      </c>
      <c r="J151" s="4">
        <v>0</v>
      </c>
      <c r="K151" s="4">
        <v>0</v>
      </c>
      <c r="L151" s="4">
        <v>31.343</v>
      </c>
      <c r="M151" s="4">
        <v>31.343</v>
      </c>
      <c r="N151" s="4">
        <v>31.343</v>
      </c>
      <c r="O151" s="4">
        <v>31.343</v>
      </c>
      <c r="P151" s="4">
        <v>0</v>
      </c>
      <c r="Q151" s="3" t="s">
        <v>26</v>
      </c>
      <c r="R151" s="3">
        <v>0</v>
      </c>
      <c r="S151" s="4">
        <v>0</v>
      </c>
      <c r="T151" s="4">
        <v>15</v>
      </c>
      <c r="U151" s="4">
        <v>24</v>
      </c>
      <c r="V151" s="4">
        <f>IF(ISERROR(VLOOKUP($S$151,'TAR FIN'!$A$1:$O$86,15,0)),0,VLOOKUP($S$151,'TAR FIN'!$A$1:$O$86,15,0))</f>
        <v>0</v>
      </c>
      <c r="W151" s="4">
        <f>IF(ISERROR(VLOOKUP($T$151,'TAR FIN'!$A$1:$O$86,15,0)),0,VLOOKUP($T$151,'TAR FIN'!$A$1:$O$86,15,0))</f>
        <v>2115.38</v>
      </c>
      <c r="X151" s="4">
        <f>IF(ISERROR(VLOOKUP($U$151,'TAR FIN'!$A$1:$O$86,15,0)),0,VLOOKUP($U$151,'TAR FIN'!$A$1:$O$86,15,0))</f>
        <v>211.54</v>
      </c>
      <c r="Y151" s="4"/>
      <c r="Z151" s="4">
        <f ca="1">('TUSD BE'!$AM$11+'TUSD BF'!$AM$11+'TUSD CVA'!$AM$11)*1</f>
        <v>2284.2159351470723</v>
      </c>
      <c r="AA151" s="4">
        <f>('TE BE'!$AB$5+'TE BF'!$AB$5+'TE CVA'!$AB$5)*1</f>
        <v>196.56876174373542</v>
      </c>
      <c r="AB151" s="4">
        <f>$K$151*$V$151</f>
        <v>0</v>
      </c>
      <c r="AC151" s="4">
        <f>$M$151*$W$151</f>
        <v>66302.355340000009</v>
      </c>
      <c r="AD151" s="4">
        <f>$O$151*$X$151</f>
        <v>6630.2982199999997</v>
      </c>
      <c r="AE151" s="4">
        <f>$K$151*$Y$151</f>
        <v>0</v>
      </c>
      <c r="AF151" s="4">
        <f ca="1">$M$151*$Z$151</f>
        <v>71594.18005531469</v>
      </c>
      <c r="AG151" s="4">
        <f>$O$151*$AA$151</f>
        <v>6161.0546993338994</v>
      </c>
    </row>
    <row r="152" spans="1:33" ht="11.25" customHeight="1" x14ac:dyDescent="0.25">
      <c r="A152" s="3" t="s">
        <v>21</v>
      </c>
      <c r="B152" s="3" t="s">
        <v>35</v>
      </c>
      <c r="C152" s="3" t="s">
        <v>39</v>
      </c>
      <c r="D152" s="3" t="s">
        <v>34</v>
      </c>
      <c r="E152" s="3" t="s">
        <v>25</v>
      </c>
      <c r="F152" s="3" t="s">
        <v>25</v>
      </c>
      <c r="G152" s="3" t="s">
        <v>25</v>
      </c>
      <c r="H152" s="3" t="s">
        <v>37</v>
      </c>
      <c r="I152" s="6">
        <v>44713</v>
      </c>
      <c r="J152" s="4">
        <v>0</v>
      </c>
      <c r="K152" s="4">
        <v>0</v>
      </c>
      <c r="L152" s="4">
        <v>20.602</v>
      </c>
      <c r="M152" s="4">
        <v>20.602</v>
      </c>
      <c r="N152" s="4">
        <v>20.602</v>
      </c>
      <c r="O152" s="4">
        <v>20.602</v>
      </c>
      <c r="P152" s="4">
        <v>0</v>
      </c>
      <c r="Q152" s="3" t="s">
        <v>26</v>
      </c>
      <c r="R152" s="3">
        <v>0</v>
      </c>
      <c r="S152" s="4">
        <v>0</v>
      </c>
      <c r="T152" s="4">
        <v>15</v>
      </c>
      <c r="U152" s="4">
        <v>24</v>
      </c>
      <c r="V152" s="4">
        <f>IF(ISERROR(VLOOKUP($S$152,'TAR FIN'!$A$1:$O$86,15,0)),0,VLOOKUP($S$152,'TAR FIN'!$A$1:$O$86,15,0))</f>
        <v>0</v>
      </c>
      <c r="W152" s="4">
        <f>IF(ISERROR(VLOOKUP($T$152,'TAR FIN'!$A$1:$O$86,15,0)),0,VLOOKUP($T$152,'TAR FIN'!$A$1:$O$86,15,0))</f>
        <v>2115.38</v>
      </c>
      <c r="X152" s="4">
        <f>IF(ISERROR(VLOOKUP($U$152,'TAR FIN'!$A$1:$O$86,15,0)),0,VLOOKUP($U$152,'TAR FIN'!$A$1:$O$86,15,0))</f>
        <v>211.54</v>
      </c>
      <c r="Y152" s="4"/>
      <c r="Z152" s="4">
        <f ca="1">('TUSD BE'!$AM$11+'TUSD BF'!$AM$11+'TUSD CVA'!$AM$11)*1</f>
        <v>2284.2159351470723</v>
      </c>
      <c r="AA152" s="4">
        <f>('TE BE'!$AB$5+'TE BF'!$AB$5+'TE CVA'!$AB$5)*1</f>
        <v>196.56876174373542</v>
      </c>
      <c r="AB152" s="4">
        <f>$K$152*$V$152</f>
        <v>0</v>
      </c>
      <c r="AC152" s="4">
        <f>$M$152*$W$152</f>
        <v>43581.05876</v>
      </c>
      <c r="AD152" s="4">
        <f>$O$152*$X$152</f>
        <v>4358.1470799999997</v>
      </c>
      <c r="AE152" s="4">
        <f>$K$152*$Y$152</f>
        <v>0</v>
      </c>
      <c r="AF152" s="4">
        <f ca="1">$M$152*$Z$152</f>
        <v>47059.416695899985</v>
      </c>
      <c r="AG152" s="4">
        <f>$O$152*$AA$152</f>
        <v>4049.7096294444373</v>
      </c>
    </row>
    <row r="153" spans="1:33" ht="11.25" customHeight="1" x14ac:dyDescent="0.25">
      <c r="A153" s="3" t="s">
        <v>21</v>
      </c>
      <c r="B153" s="3" t="s">
        <v>35</v>
      </c>
      <c r="C153" s="3" t="s">
        <v>39</v>
      </c>
      <c r="D153" s="3" t="s">
        <v>43</v>
      </c>
      <c r="E153" s="3" t="s">
        <v>25</v>
      </c>
      <c r="F153" s="3" t="s">
        <v>25</v>
      </c>
      <c r="G153" s="3" t="s">
        <v>25</v>
      </c>
      <c r="H153" s="3" t="s">
        <v>38</v>
      </c>
      <c r="I153" s="6">
        <v>44378</v>
      </c>
      <c r="J153" s="4">
        <v>0</v>
      </c>
      <c r="K153" s="4">
        <v>0</v>
      </c>
      <c r="L153" s="4">
        <v>0.317</v>
      </c>
      <c r="M153" s="4">
        <v>0.317</v>
      </c>
      <c r="N153" s="4">
        <v>0.317</v>
      </c>
      <c r="O153" s="4">
        <v>0.317</v>
      </c>
      <c r="P153" s="4">
        <v>0</v>
      </c>
      <c r="Q153" s="3" t="s">
        <v>26</v>
      </c>
      <c r="R153" s="3">
        <v>0</v>
      </c>
      <c r="S153" s="4">
        <v>0</v>
      </c>
      <c r="T153" s="4">
        <v>3</v>
      </c>
      <c r="U153" s="4">
        <v>48</v>
      </c>
      <c r="V153" s="4">
        <f>IF(ISERROR(VLOOKUP($S$153,'TAR FIN'!$A$1:$O$86,15,0)),0,VLOOKUP($S$153,'TAR FIN'!$A$1:$O$86,15,0))</f>
        <v>0</v>
      </c>
      <c r="W153" s="4">
        <f>IF(ISERROR(VLOOKUP($T$153,'TAR FIN'!$A$1:$O$86,15,0)),0,VLOOKUP($T$153,'TAR FIN'!$A$1:$O$86,15,0))</f>
        <v>68.55</v>
      </c>
      <c r="X153" s="4">
        <f>IF(ISERROR(VLOOKUP($U$153,'TAR FIN'!$A$1:$O$86,15,0)),0,VLOOKUP($U$153,'TAR FIN'!$A$1:$O$86,15,0))</f>
        <v>211.54</v>
      </c>
      <c r="Y153" s="4"/>
      <c r="Z153" s="4">
        <f ca="1">('TUSD BE'!$AM$12+'TUSD BF'!$AM$12+'TUSD CVA'!$AM$12)*1</f>
        <v>96.693682586652571</v>
      </c>
      <c r="AA153" s="4">
        <f>('TE BE'!$AB$6+'TE BF'!$AB$6+'TE CVA'!$AB$6)*1</f>
        <v>196.56876174373542</v>
      </c>
      <c r="AB153" s="4">
        <f>$K$153*$V$153</f>
        <v>0</v>
      </c>
      <c r="AC153" s="4">
        <f>$M$153*$W$153</f>
        <v>21.730349999999998</v>
      </c>
      <c r="AD153" s="4">
        <f>$O$153*$X$153</f>
        <v>67.058179999999993</v>
      </c>
      <c r="AE153" s="4">
        <f>$K$153*$Y$153</f>
        <v>0</v>
      </c>
      <c r="AF153" s="4">
        <f ca="1">$M$153*$Z$153</f>
        <v>30.651897379968865</v>
      </c>
      <c r="AG153" s="4">
        <f>$O$153*$AA$153</f>
        <v>62.312297472764129</v>
      </c>
    </row>
    <row r="154" spans="1:33" ht="11.25" customHeight="1" x14ac:dyDescent="0.25">
      <c r="A154" s="3" t="s">
        <v>21</v>
      </c>
      <c r="B154" s="3" t="s">
        <v>35</v>
      </c>
      <c r="C154" s="3" t="s">
        <v>39</v>
      </c>
      <c r="D154" s="3" t="s">
        <v>43</v>
      </c>
      <c r="E154" s="3" t="s">
        <v>25</v>
      </c>
      <c r="F154" s="3" t="s">
        <v>25</v>
      </c>
      <c r="G154" s="3" t="s">
        <v>25</v>
      </c>
      <c r="H154" s="3" t="s">
        <v>38</v>
      </c>
      <c r="I154" s="6">
        <v>44409</v>
      </c>
      <c r="J154" s="4">
        <v>0</v>
      </c>
      <c r="K154" s="4">
        <v>0</v>
      </c>
      <c r="L154" s="4">
        <v>3.6150000000000002</v>
      </c>
      <c r="M154" s="4">
        <v>3.6150000000000002</v>
      </c>
      <c r="N154" s="4">
        <v>3.6150000000000002</v>
      </c>
      <c r="O154" s="4">
        <v>3.6150000000000002</v>
      </c>
      <c r="P154" s="4">
        <v>0</v>
      </c>
      <c r="Q154" s="3" t="s">
        <v>26</v>
      </c>
      <c r="R154" s="3">
        <v>0</v>
      </c>
      <c r="S154" s="4">
        <v>0</v>
      </c>
      <c r="T154" s="4">
        <v>3</v>
      </c>
      <c r="U154" s="4">
        <v>48</v>
      </c>
      <c r="V154" s="4">
        <f>IF(ISERROR(VLOOKUP($S$154,'TAR FIN'!$A$1:$O$86,15,0)),0,VLOOKUP($S$154,'TAR FIN'!$A$1:$O$86,15,0))</f>
        <v>0</v>
      </c>
      <c r="W154" s="4">
        <f>IF(ISERROR(VLOOKUP($T$154,'TAR FIN'!$A$1:$O$86,15,0)),0,VLOOKUP($T$154,'TAR FIN'!$A$1:$O$86,15,0))</f>
        <v>68.55</v>
      </c>
      <c r="X154" s="4">
        <f>IF(ISERROR(VLOOKUP($U$154,'TAR FIN'!$A$1:$O$86,15,0)),0,VLOOKUP($U$154,'TAR FIN'!$A$1:$O$86,15,0))</f>
        <v>211.54</v>
      </c>
      <c r="Y154" s="4"/>
      <c r="Z154" s="4">
        <f ca="1">('TUSD BE'!$AM$12+'TUSD BF'!$AM$12+'TUSD CVA'!$AM$12)*1</f>
        <v>96.693682586652571</v>
      </c>
      <c r="AA154" s="4">
        <f>('TE BE'!$AB$6+'TE BF'!$AB$6+'TE CVA'!$AB$6)*1</f>
        <v>196.56876174373542</v>
      </c>
      <c r="AB154" s="4">
        <f>$K$154*$V$154</f>
        <v>0</v>
      </c>
      <c r="AC154" s="4">
        <f>$M$154*$W$154</f>
        <v>247.80825000000002</v>
      </c>
      <c r="AD154" s="4">
        <f>$O$154*$X$154</f>
        <v>764.71710000000007</v>
      </c>
      <c r="AE154" s="4">
        <f>$K$154*$Y$154</f>
        <v>0</v>
      </c>
      <c r="AF154" s="4">
        <f ca="1">$M$154*$Z$154</f>
        <v>349.54766255074907</v>
      </c>
      <c r="AG154" s="4">
        <f>$O$154*$AA$154</f>
        <v>710.59607370360357</v>
      </c>
    </row>
    <row r="155" spans="1:33" ht="11.25" customHeight="1" x14ac:dyDescent="0.25">
      <c r="A155" s="3" t="s">
        <v>21</v>
      </c>
      <c r="B155" s="3" t="s">
        <v>35</v>
      </c>
      <c r="C155" s="3" t="s">
        <v>39</v>
      </c>
      <c r="D155" s="3" t="s">
        <v>43</v>
      </c>
      <c r="E155" s="3" t="s">
        <v>25</v>
      </c>
      <c r="F155" s="3" t="s">
        <v>25</v>
      </c>
      <c r="G155" s="3" t="s">
        <v>25</v>
      </c>
      <c r="H155" s="3" t="s">
        <v>38</v>
      </c>
      <c r="I155" s="6">
        <v>44440</v>
      </c>
      <c r="J155" s="4">
        <v>0</v>
      </c>
      <c r="K155" s="4">
        <v>0</v>
      </c>
      <c r="L155" s="4">
        <v>3.3090000000000002</v>
      </c>
      <c r="M155" s="4">
        <v>3.3090000000000002</v>
      </c>
      <c r="N155" s="4">
        <v>3.3090000000000002</v>
      </c>
      <c r="O155" s="4">
        <v>3.3090000000000002</v>
      </c>
      <c r="P155" s="4">
        <v>0</v>
      </c>
      <c r="Q155" s="3" t="s">
        <v>26</v>
      </c>
      <c r="R155" s="3">
        <v>0</v>
      </c>
      <c r="S155" s="4">
        <v>0</v>
      </c>
      <c r="T155" s="4">
        <v>3</v>
      </c>
      <c r="U155" s="4">
        <v>48</v>
      </c>
      <c r="V155" s="4">
        <f>IF(ISERROR(VLOOKUP($S$155,'TAR FIN'!$A$1:$O$86,15,0)),0,VLOOKUP($S$155,'TAR FIN'!$A$1:$O$86,15,0))</f>
        <v>0</v>
      </c>
      <c r="W155" s="4">
        <f>IF(ISERROR(VLOOKUP($T$155,'TAR FIN'!$A$1:$O$86,15,0)),0,VLOOKUP($T$155,'TAR FIN'!$A$1:$O$86,15,0))</f>
        <v>68.55</v>
      </c>
      <c r="X155" s="4">
        <f>IF(ISERROR(VLOOKUP($U$155,'TAR FIN'!$A$1:$O$86,15,0)),0,VLOOKUP($U$155,'TAR FIN'!$A$1:$O$86,15,0))</f>
        <v>211.54</v>
      </c>
      <c r="Y155" s="4"/>
      <c r="Z155" s="4">
        <f ca="1">('TUSD BE'!$AM$12+'TUSD BF'!$AM$12+'TUSD CVA'!$AM$12)*1</f>
        <v>96.693682586652571</v>
      </c>
      <c r="AA155" s="4">
        <f>('TE BE'!$AB$6+'TE BF'!$AB$6+'TE CVA'!$AB$6)*1</f>
        <v>196.56876174373542</v>
      </c>
      <c r="AB155" s="4">
        <f>$K$155*$V$155</f>
        <v>0</v>
      </c>
      <c r="AC155" s="4">
        <f>$M$155*$W$155</f>
        <v>226.83195000000001</v>
      </c>
      <c r="AD155" s="4">
        <f>$O$155*$X$155</f>
        <v>699.98586</v>
      </c>
      <c r="AE155" s="4">
        <f>$K$155*$Y$155</f>
        <v>0</v>
      </c>
      <c r="AF155" s="4">
        <f ca="1">$M$155*$Z$155</f>
        <v>319.95939567923335</v>
      </c>
      <c r="AG155" s="4">
        <f>$O$155*$AA$155</f>
        <v>650.44603261002055</v>
      </c>
    </row>
    <row r="156" spans="1:33" ht="11.25" customHeight="1" x14ac:dyDescent="0.25">
      <c r="A156" s="3" t="s">
        <v>21</v>
      </c>
      <c r="B156" s="3" t="s">
        <v>35</v>
      </c>
      <c r="C156" s="3" t="s">
        <v>39</v>
      </c>
      <c r="D156" s="3" t="s">
        <v>43</v>
      </c>
      <c r="E156" s="3" t="s">
        <v>25</v>
      </c>
      <c r="F156" s="3" t="s">
        <v>25</v>
      </c>
      <c r="G156" s="3" t="s">
        <v>25</v>
      </c>
      <c r="H156" s="3" t="s">
        <v>38</v>
      </c>
      <c r="I156" s="6">
        <v>44470</v>
      </c>
      <c r="J156" s="4">
        <v>0</v>
      </c>
      <c r="K156" s="4">
        <v>0</v>
      </c>
      <c r="L156" s="4">
        <v>4.4640000000000004</v>
      </c>
      <c r="M156" s="4">
        <v>4.4640000000000004</v>
      </c>
      <c r="N156" s="4">
        <v>4.4640000000000004</v>
      </c>
      <c r="O156" s="4">
        <v>4.4640000000000004</v>
      </c>
      <c r="P156" s="4">
        <v>0</v>
      </c>
      <c r="Q156" s="3" t="s">
        <v>26</v>
      </c>
      <c r="R156" s="3">
        <v>0</v>
      </c>
      <c r="S156" s="4">
        <v>0</v>
      </c>
      <c r="T156" s="4">
        <v>3</v>
      </c>
      <c r="U156" s="4">
        <v>48</v>
      </c>
      <c r="V156" s="4">
        <f>IF(ISERROR(VLOOKUP($S$156,'TAR FIN'!$A$1:$O$86,15,0)),0,VLOOKUP($S$156,'TAR FIN'!$A$1:$O$86,15,0))</f>
        <v>0</v>
      </c>
      <c r="W156" s="4">
        <f>IF(ISERROR(VLOOKUP($T$156,'TAR FIN'!$A$1:$O$86,15,0)),0,VLOOKUP($T$156,'TAR FIN'!$A$1:$O$86,15,0))</f>
        <v>68.55</v>
      </c>
      <c r="X156" s="4">
        <f>IF(ISERROR(VLOOKUP($U$156,'TAR FIN'!$A$1:$O$86,15,0)),0,VLOOKUP($U$156,'TAR FIN'!$A$1:$O$86,15,0))</f>
        <v>211.54</v>
      </c>
      <c r="Y156" s="4"/>
      <c r="Z156" s="4">
        <f ca="1">('TUSD BE'!$AM$12+'TUSD BF'!$AM$12+'TUSD CVA'!$AM$12)*1</f>
        <v>96.693682586652571</v>
      </c>
      <c r="AA156" s="4">
        <f>('TE BE'!$AB$6+'TE BF'!$AB$6+'TE CVA'!$AB$6)*1</f>
        <v>196.56876174373542</v>
      </c>
      <c r="AB156" s="4">
        <f>$K$156*$V$156</f>
        <v>0</v>
      </c>
      <c r="AC156" s="4">
        <f>$M$156*$W$156</f>
        <v>306.00720000000001</v>
      </c>
      <c r="AD156" s="4">
        <f>$O$156*$X$156</f>
        <v>944.31456000000003</v>
      </c>
      <c r="AE156" s="4">
        <f>$K$156*$Y$156</f>
        <v>0</v>
      </c>
      <c r="AF156" s="4">
        <f ca="1">$M$156*$Z$156</f>
        <v>431.64059906681712</v>
      </c>
      <c r="AG156" s="4">
        <f>$O$156*$AA$156</f>
        <v>877.48295242403503</v>
      </c>
    </row>
    <row r="157" spans="1:33" ht="11.25" customHeight="1" x14ac:dyDescent="0.25">
      <c r="A157" s="3" t="s">
        <v>21</v>
      </c>
      <c r="B157" s="3" t="s">
        <v>35</v>
      </c>
      <c r="C157" s="3" t="s">
        <v>39</v>
      </c>
      <c r="D157" s="3" t="s">
        <v>43</v>
      </c>
      <c r="E157" s="3" t="s">
        <v>25</v>
      </c>
      <c r="F157" s="3" t="s">
        <v>25</v>
      </c>
      <c r="G157" s="3" t="s">
        <v>25</v>
      </c>
      <c r="H157" s="3" t="s">
        <v>38</v>
      </c>
      <c r="I157" s="6">
        <v>44501</v>
      </c>
      <c r="J157" s="4">
        <v>0</v>
      </c>
      <c r="K157" s="4">
        <v>0</v>
      </c>
      <c r="L157" s="4">
        <v>2.29</v>
      </c>
      <c r="M157" s="4">
        <v>2.29</v>
      </c>
      <c r="N157" s="4">
        <v>2.29</v>
      </c>
      <c r="O157" s="4">
        <v>2.29</v>
      </c>
      <c r="P157" s="4">
        <v>0</v>
      </c>
      <c r="Q157" s="3" t="s">
        <v>26</v>
      </c>
      <c r="R157" s="3">
        <v>0</v>
      </c>
      <c r="S157" s="4">
        <v>0</v>
      </c>
      <c r="T157" s="4">
        <v>3</v>
      </c>
      <c r="U157" s="4">
        <v>48</v>
      </c>
      <c r="V157" s="4">
        <f>IF(ISERROR(VLOOKUP($S$157,'TAR FIN'!$A$1:$O$86,15,0)),0,VLOOKUP($S$157,'TAR FIN'!$A$1:$O$86,15,0))</f>
        <v>0</v>
      </c>
      <c r="W157" s="4">
        <f>IF(ISERROR(VLOOKUP($T$157,'TAR FIN'!$A$1:$O$86,15,0)),0,VLOOKUP($T$157,'TAR FIN'!$A$1:$O$86,15,0))</f>
        <v>68.55</v>
      </c>
      <c r="X157" s="4">
        <f>IF(ISERROR(VLOOKUP($U$157,'TAR FIN'!$A$1:$O$86,15,0)),0,VLOOKUP($U$157,'TAR FIN'!$A$1:$O$86,15,0))</f>
        <v>211.54</v>
      </c>
      <c r="Y157" s="4"/>
      <c r="Z157" s="4">
        <f ca="1">('TUSD BE'!$AM$12+'TUSD BF'!$AM$12+'TUSD CVA'!$AM$12)*1</f>
        <v>96.693682586652571</v>
      </c>
      <c r="AA157" s="4">
        <f>('TE BE'!$AB$6+'TE BF'!$AB$6+'TE CVA'!$AB$6)*1</f>
        <v>196.56876174373542</v>
      </c>
      <c r="AB157" s="4">
        <f>$K$157*$V$157</f>
        <v>0</v>
      </c>
      <c r="AC157" s="4">
        <f>$M$157*$W$157</f>
        <v>156.9795</v>
      </c>
      <c r="AD157" s="4">
        <f>$O$157*$X$157</f>
        <v>484.42660000000001</v>
      </c>
      <c r="AE157" s="4">
        <f>$K$157*$Y$157</f>
        <v>0</v>
      </c>
      <c r="AF157" s="4">
        <f ca="1">$M$157*$Z$157</f>
        <v>221.42853312343439</v>
      </c>
      <c r="AG157" s="4">
        <f>$O$157*$AA$157</f>
        <v>450.14246439315411</v>
      </c>
    </row>
    <row r="158" spans="1:33" ht="11.25" customHeight="1" x14ac:dyDescent="0.25">
      <c r="A158" s="3" t="s">
        <v>21</v>
      </c>
      <c r="B158" s="3" t="s">
        <v>35</v>
      </c>
      <c r="C158" s="3" t="s">
        <v>39</v>
      </c>
      <c r="D158" s="3" t="s">
        <v>43</v>
      </c>
      <c r="E158" s="3" t="s">
        <v>25</v>
      </c>
      <c r="F158" s="3" t="s">
        <v>25</v>
      </c>
      <c r="G158" s="3" t="s">
        <v>25</v>
      </c>
      <c r="H158" s="3" t="s">
        <v>38</v>
      </c>
      <c r="I158" s="6">
        <v>44531</v>
      </c>
      <c r="J158" s="4">
        <v>0</v>
      </c>
      <c r="K158" s="4">
        <v>0</v>
      </c>
      <c r="L158" s="4">
        <v>5.89</v>
      </c>
      <c r="M158" s="4">
        <v>5.89</v>
      </c>
      <c r="N158" s="4">
        <v>5.89</v>
      </c>
      <c r="O158" s="4">
        <v>5.89</v>
      </c>
      <c r="P158" s="4">
        <v>0</v>
      </c>
      <c r="Q158" s="3" t="s">
        <v>26</v>
      </c>
      <c r="R158" s="3">
        <v>0</v>
      </c>
      <c r="S158" s="4">
        <v>0</v>
      </c>
      <c r="T158" s="4">
        <v>3</v>
      </c>
      <c r="U158" s="4">
        <v>48</v>
      </c>
      <c r="V158" s="4">
        <f>IF(ISERROR(VLOOKUP($S$158,'TAR FIN'!$A$1:$O$86,15,0)),0,VLOOKUP($S$158,'TAR FIN'!$A$1:$O$86,15,0))</f>
        <v>0</v>
      </c>
      <c r="W158" s="4">
        <f>IF(ISERROR(VLOOKUP($T$158,'TAR FIN'!$A$1:$O$86,15,0)),0,VLOOKUP($T$158,'TAR FIN'!$A$1:$O$86,15,0))</f>
        <v>68.55</v>
      </c>
      <c r="X158" s="4">
        <f>IF(ISERROR(VLOOKUP($U$158,'TAR FIN'!$A$1:$O$86,15,0)),0,VLOOKUP($U$158,'TAR FIN'!$A$1:$O$86,15,0))</f>
        <v>211.54</v>
      </c>
      <c r="Y158" s="4"/>
      <c r="Z158" s="4">
        <f ca="1">('TUSD BE'!$AM$12+'TUSD BF'!$AM$12+'TUSD CVA'!$AM$12)*1</f>
        <v>96.693682586652571</v>
      </c>
      <c r="AA158" s="4">
        <f>('TE BE'!$AB$6+'TE BF'!$AB$6+'TE CVA'!$AB$6)*1</f>
        <v>196.56876174373542</v>
      </c>
      <c r="AB158" s="4">
        <f>$K$158*$V$158</f>
        <v>0</v>
      </c>
      <c r="AC158" s="4">
        <f>$M$158*$W$158</f>
        <v>403.75949999999995</v>
      </c>
      <c r="AD158" s="4">
        <f>$O$158*$X$158</f>
        <v>1245.9705999999999</v>
      </c>
      <c r="AE158" s="4">
        <f>$K$158*$Y$158</f>
        <v>0</v>
      </c>
      <c r="AF158" s="4">
        <f ca="1">$M$158*$Z$158</f>
        <v>569.52579043538356</v>
      </c>
      <c r="AG158" s="4">
        <f>$O$158*$AA$158</f>
        <v>1157.7900066706015</v>
      </c>
    </row>
    <row r="159" spans="1:33" ht="11.25" customHeight="1" x14ac:dyDescent="0.25">
      <c r="A159" s="3" t="s">
        <v>21</v>
      </c>
      <c r="B159" s="3" t="s">
        <v>35</v>
      </c>
      <c r="C159" s="3" t="s">
        <v>39</v>
      </c>
      <c r="D159" s="3" t="s">
        <v>43</v>
      </c>
      <c r="E159" s="3" t="s">
        <v>25</v>
      </c>
      <c r="F159" s="3" t="s">
        <v>25</v>
      </c>
      <c r="G159" s="3" t="s">
        <v>25</v>
      </c>
      <c r="H159" s="3" t="s">
        <v>38</v>
      </c>
      <c r="I159" s="6">
        <v>44562</v>
      </c>
      <c r="J159" s="4">
        <v>0</v>
      </c>
      <c r="K159" s="4">
        <v>0</v>
      </c>
      <c r="L159" s="4">
        <v>5.4770000000000003</v>
      </c>
      <c r="M159" s="4">
        <v>5.4770000000000003</v>
      </c>
      <c r="N159" s="4">
        <v>5.4770000000000003</v>
      </c>
      <c r="O159" s="4">
        <v>5.4770000000000003</v>
      </c>
      <c r="P159" s="4">
        <v>0</v>
      </c>
      <c r="Q159" s="3" t="s">
        <v>26</v>
      </c>
      <c r="R159" s="3">
        <v>0</v>
      </c>
      <c r="S159" s="4">
        <v>0</v>
      </c>
      <c r="T159" s="4">
        <v>3</v>
      </c>
      <c r="U159" s="4">
        <v>48</v>
      </c>
      <c r="V159" s="4">
        <f>IF(ISERROR(VLOOKUP($S$159,'TAR FIN'!$A$1:$O$86,15,0)),0,VLOOKUP($S$159,'TAR FIN'!$A$1:$O$86,15,0))</f>
        <v>0</v>
      </c>
      <c r="W159" s="4">
        <f>IF(ISERROR(VLOOKUP($T$159,'TAR FIN'!$A$1:$O$86,15,0)),0,VLOOKUP($T$159,'TAR FIN'!$A$1:$O$86,15,0))</f>
        <v>68.55</v>
      </c>
      <c r="X159" s="4">
        <f>IF(ISERROR(VLOOKUP($U$159,'TAR FIN'!$A$1:$O$86,15,0)),0,VLOOKUP($U$159,'TAR FIN'!$A$1:$O$86,15,0))</f>
        <v>211.54</v>
      </c>
      <c r="Y159" s="4"/>
      <c r="Z159" s="4">
        <f ca="1">('TUSD BE'!$AM$12+'TUSD BF'!$AM$12+'TUSD CVA'!$AM$12)*1</f>
        <v>96.693682586652571</v>
      </c>
      <c r="AA159" s="4">
        <f>('TE BE'!$AB$6+'TE BF'!$AB$6+'TE CVA'!$AB$6)*1</f>
        <v>196.56876174373542</v>
      </c>
      <c r="AB159" s="4">
        <f>$K$159*$V$159</f>
        <v>0</v>
      </c>
      <c r="AC159" s="4">
        <f>$M$159*$W$159</f>
        <v>375.44835</v>
      </c>
      <c r="AD159" s="4">
        <f>$O$159*$X$159</f>
        <v>1158.6045799999999</v>
      </c>
      <c r="AE159" s="4">
        <f>$K$159*$Y$159</f>
        <v>0</v>
      </c>
      <c r="AF159" s="4">
        <f ca="1">$M$159*$Z$159</f>
        <v>529.59129952709611</v>
      </c>
      <c r="AG159" s="4">
        <f>$O$159*$AA$159</f>
        <v>1076.6071080704389</v>
      </c>
    </row>
    <row r="160" spans="1:33" ht="11.25" customHeight="1" x14ac:dyDescent="0.25">
      <c r="A160" s="3" t="s">
        <v>21</v>
      </c>
      <c r="B160" s="3" t="s">
        <v>35</v>
      </c>
      <c r="C160" s="3" t="s">
        <v>39</v>
      </c>
      <c r="D160" s="3" t="s">
        <v>43</v>
      </c>
      <c r="E160" s="3" t="s">
        <v>25</v>
      </c>
      <c r="F160" s="3" t="s">
        <v>25</v>
      </c>
      <c r="G160" s="3" t="s">
        <v>25</v>
      </c>
      <c r="H160" s="3" t="s">
        <v>38</v>
      </c>
      <c r="I160" s="6">
        <v>44593</v>
      </c>
      <c r="J160" s="4">
        <v>0</v>
      </c>
      <c r="K160" s="4">
        <v>0</v>
      </c>
      <c r="L160" s="4">
        <v>4.9340000000000002</v>
      </c>
      <c r="M160" s="4">
        <v>4.9340000000000002</v>
      </c>
      <c r="N160" s="4">
        <v>4.9340000000000002</v>
      </c>
      <c r="O160" s="4">
        <v>4.9340000000000002</v>
      </c>
      <c r="P160" s="4">
        <v>0</v>
      </c>
      <c r="Q160" s="3" t="s">
        <v>26</v>
      </c>
      <c r="R160" s="3">
        <v>0</v>
      </c>
      <c r="S160" s="4">
        <v>0</v>
      </c>
      <c r="T160" s="4">
        <v>3</v>
      </c>
      <c r="U160" s="4">
        <v>48</v>
      </c>
      <c r="V160" s="4">
        <f>IF(ISERROR(VLOOKUP($S$160,'TAR FIN'!$A$1:$O$86,15,0)),0,VLOOKUP($S$160,'TAR FIN'!$A$1:$O$86,15,0))</f>
        <v>0</v>
      </c>
      <c r="W160" s="4">
        <f>IF(ISERROR(VLOOKUP($T$160,'TAR FIN'!$A$1:$O$86,15,0)),0,VLOOKUP($T$160,'TAR FIN'!$A$1:$O$86,15,0))</f>
        <v>68.55</v>
      </c>
      <c r="X160" s="4">
        <f>IF(ISERROR(VLOOKUP($U$160,'TAR FIN'!$A$1:$O$86,15,0)),0,VLOOKUP($U$160,'TAR FIN'!$A$1:$O$86,15,0))</f>
        <v>211.54</v>
      </c>
      <c r="Y160" s="4"/>
      <c r="Z160" s="4">
        <f ca="1">('TUSD BE'!$AM$12+'TUSD BF'!$AM$12+'TUSD CVA'!$AM$12)*1</f>
        <v>96.693682586652571</v>
      </c>
      <c r="AA160" s="4">
        <f>('TE BE'!$AB$6+'TE BF'!$AB$6+'TE CVA'!$AB$6)*1</f>
        <v>196.56876174373542</v>
      </c>
      <c r="AB160" s="4">
        <f>$K$160*$V$160</f>
        <v>0</v>
      </c>
      <c r="AC160" s="4">
        <f>$M$160*$W$160</f>
        <v>338.22570000000002</v>
      </c>
      <c r="AD160" s="4">
        <f>$O$160*$X$160</f>
        <v>1043.7383600000001</v>
      </c>
      <c r="AE160" s="4">
        <f>$K$160*$Y$160</f>
        <v>0</v>
      </c>
      <c r="AF160" s="4">
        <f ca="1">$M$160*$Z$160</f>
        <v>477.08662988254378</v>
      </c>
      <c r="AG160" s="4">
        <f>$O$160*$AA$160</f>
        <v>969.87027044359058</v>
      </c>
    </row>
    <row r="161" spans="1:33" ht="11.25" customHeight="1" x14ac:dyDescent="0.25">
      <c r="A161" s="3" t="s">
        <v>21</v>
      </c>
      <c r="B161" s="3" t="s">
        <v>35</v>
      </c>
      <c r="C161" s="3" t="s">
        <v>39</v>
      </c>
      <c r="D161" s="3" t="s">
        <v>43</v>
      </c>
      <c r="E161" s="3" t="s">
        <v>25</v>
      </c>
      <c r="F161" s="3" t="s">
        <v>25</v>
      </c>
      <c r="G161" s="3" t="s">
        <v>25</v>
      </c>
      <c r="H161" s="3" t="s">
        <v>38</v>
      </c>
      <c r="I161" s="6">
        <v>44621</v>
      </c>
      <c r="J161" s="4">
        <v>0</v>
      </c>
      <c r="K161" s="4">
        <v>0</v>
      </c>
      <c r="L161" s="4">
        <v>2.7629999999999999</v>
      </c>
      <c r="M161" s="4">
        <v>2.7629999999999999</v>
      </c>
      <c r="N161" s="4">
        <v>2.7629999999999999</v>
      </c>
      <c r="O161" s="4">
        <v>2.7629999999999999</v>
      </c>
      <c r="P161" s="4">
        <v>0</v>
      </c>
      <c r="Q161" s="3" t="s">
        <v>26</v>
      </c>
      <c r="R161" s="3">
        <v>0</v>
      </c>
      <c r="S161" s="4">
        <v>0</v>
      </c>
      <c r="T161" s="4">
        <v>3</v>
      </c>
      <c r="U161" s="4">
        <v>48</v>
      </c>
      <c r="V161" s="4">
        <f>IF(ISERROR(VLOOKUP($S$161,'TAR FIN'!$A$1:$O$86,15,0)),0,VLOOKUP($S$161,'TAR FIN'!$A$1:$O$86,15,0))</f>
        <v>0</v>
      </c>
      <c r="W161" s="4">
        <f>IF(ISERROR(VLOOKUP($T$161,'TAR FIN'!$A$1:$O$86,15,0)),0,VLOOKUP($T$161,'TAR FIN'!$A$1:$O$86,15,0))</f>
        <v>68.55</v>
      </c>
      <c r="X161" s="4">
        <f>IF(ISERROR(VLOOKUP($U$161,'TAR FIN'!$A$1:$O$86,15,0)),0,VLOOKUP($U$161,'TAR FIN'!$A$1:$O$86,15,0))</f>
        <v>211.54</v>
      </c>
      <c r="Y161" s="4"/>
      <c r="Z161" s="4">
        <f ca="1">('TUSD BE'!$AM$12+'TUSD BF'!$AM$12+'TUSD CVA'!$AM$12)*1</f>
        <v>96.693682586652571</v>
      </c>
      <c r="AA161" s="4">
        <f>('TE BE'!$AB$6+'TE BF'!$AB$6+'TE CVA'!$AB$6)*1</f>
        <v>196.56876174373542</v>
      </c>
      <c r="AB161" s="4">
        <f>$K$161*$V$161</f>
        <v>0</v>
      </c>
      <c r="AC161" s="4">
        <f>$M$161*$W$161</f>
        <v>189.40365</v>
      </c>
      <c r="AD161" s="4">
        <f>$O$161*$X$161</f>
        <v>584.48501999999996</v>
      </c>
      <c r="AE161" s="4">
        <f>$K$161*$Y$161</f>
        <v>0</v>
      </c>
      <c r="AF161" s="4">
        <f ca="1">$M$161*$Z$161</f>
        <v>267.16464498692102</v>
      </c>
      <c r="AG161" s="4">
        <f>$O$161*$AA$161</f>
        <v>543.11948869794094</v>
      </c>
    </row>
    <row r="162" spans="1:33" ht="11.25" customHeight="1" x14ac:dyDescent="0.25">
      <c r="A162" s="3" t="s">
        <v>21</v>
      </c>
      <c r="B162" s="3" t="s">
        <v>35</v>
      </c>
      <c r="C162" s="3" t="s">
        <v>39</v>
      </c>
      <c r="D162" s="3" t="s">
        <v>43</v>
      </c>
      <c r="E162" s="3" t="s">
        <v>25</v>
      </c>
      <c r="F162" s="3" t="s">
        <v>25</v>
      </c>
      <c r="G162" s="3" t="s">
        <v>25</v>
      </c>
      <c r="H162" s="3" t="s">
        <v>38</v>
      </c>
      <c r="I162" s="6">
        <v>44652</v>
      </c>
      <c r="J162" s="4">
        <v>0</v>
      </c>
      <c r="K162" s="4">
        <v>0</v>
      </c>
      <c r="L162" s="4">
        <v>2.9390000000000001</v>
      </c>
      <c r="M162" s="4">
        <v>2.9390000000000001</v>
      </c>
      <c r="N162" s="4">
        <v>2.9390000000000001</v>
      </c>
      <c r="O162" s="4">
        <v>2.9390000000000001</v>
      </c>
      <c r="P162" s="4">
        <v>0</v>
      </c>
      <c r="Q162" s="3" t="s">
        <v>26</v>
      </c>
      <c r="R162" s="3">
        <v>0</v>
      </c>
      <c r="S162" s="4">
        <v>0</v>
      </c>
      <c r="T162" s="4">
        <v>3</v>
      </c>
      <c r="U162" s="4">
        <v>48</v>
      </c>
      <c r="V162" s="4">
        <f>IF(ISERROR(VLOOKUP($S$162,'TAR FIN'!$A$1:$O$86,15,0)),0,VLOOKUP($S$162,'TAR FIN'!$A$1:$O$86,15,0))</f>
        <v>0</v>
      </c>
      <c r="W162" s="4">
        <f>IF(ISERROR(VLOOKUP($T$162,'TAR FIN'!$A$1:$O$86,15,0)),0,VLOOKUP($T$162,'TAR FIN'!$A$1:$O$86,15,0))</f>
        <v>68.55</v>
      </c>
      <c r="X162" s="4">
        <f>IF(ISERROR(VLOOKUP($U$162,'TAR FIN'!$A$1:$O$86,15,0)),0,VLOOKUP($U$162,'TAR FIN'!$A$1:$O$86,15,0))</f>
        <v>211.54</v>
      </c>
      <c r="Y162" s="4"/>
      <c r="Z162" s="4">
        <f ca="1">('TUSD BE'!$AM$12+'TUSD BF'!$AM$12+'TUSD CVA'!$AM$12)*1</f>
        <v>96.693682586652571</v>
      </c>
      <c r="AA162" s="4">
        <f>('TE BE'!$AB$6+'TE BF'!$AB$6+'TE CVA'!$AB$6)*1</f>
        <v>196.56876174373542</v>
      </c>
      <c r="AB162" s="4">
        <f>$K$162*$V$162</f>
        <v>0</v>
      </c>
      <c r="AC162" s="4">
        <f>$M$162*$W$162</f>
        <v>201.46844999999999</v>
      </c>
      <c r="AD162" s="4">
        <f>$O$162*$X$162</f>
        <v>621.71605999999997</v>
      </c>
      <c r="AE162" s="4">
        <f>$K$162*$Y$162</f>
        <v>0</v>
      </c>
      <c r="AF162" s="4">
        <f ca="1">$M$162*$Z$162</f>
        <v>284.1827331221719</v>
      </c>
      <c r="AG162" s="4">
        <f>$O$162*$AA$162</f>
        <v>577.71559076483845</v>
      </c>
    </row>
    <row r="163" spans="1:33" ht="11.25" customHeight="1" x14ac:dyDescent="0.25">
      <c r="A163" s="3" t="s">
        <v>21</v>
      </c>
      <c r="B163" s="3" t="s">
        <v>35</v>
      </c>
      <c r="C163" s="3" t="s">
        <v>39</v>
      </c>
      <c r="D163" s="3" t="s">
        <v>43</v>
      </c>
      <c r="E163" s="3" t="s">
        <v>25</v>
      </c>
      <c r="F163" s="3" t="s">
        <v>25</v>
      </c>
      <c r="G163" s="3" t="s">
        <v>25</v>
      </c>
      <c r="H163" s="3" t="s">
        <v>38</v>
      </c>
      <c r="I163" s="6">
        <v>44682</v>
      </c>
      <c r="J163" s="4">
        <v>0</v>
      </c>
      <c r="K163" s="4">
        <v>0</v>
      </c>
      <c r="L163" s="4">
        <v>2.9630000000000001</v>
      </c>
      <c r="M163" s="4">
        <v>2.9630000000000001</v>
      </c>
      <c r="N163" s="4">
        <v>2.9630000000000001</v>
      </c>
      <c r="O163" s="4">
        <v>2.9630000000000001</v>
      </c>
      <c r="P163" s="4">
        <v>0</v>
      </c>
      <c r="Q163" s="3" t="s">
        <v>26</v>
      </c>
      <c r="R163" s="3">
        <v>0</v>
      </c>
      <c r="S163" s="4">
        <v>0</v>
      </c>
      <c r="T163" s="4">
        <v>3</v>
      </c>
      <c r="U163" s="4">
        <v>48</v>
      </c>
      <c r="V163" s="4">
        <f>IF(ISERROR(VLOOKUP($S$163,'TAR FIN'!$A$1:$O$86,15,0)),0,VLOOKUP($S$163,'TAR FIN'!$A$1:$O$86,15,0))</f>
        <v>0</v>
      </c>
      <c r="W163" s="4">
        <f>IF(ISERROR(VLOOKUP($T$163,'TAR FIN'!$A$1:$O$86,15,0)),0,VLOOKUP($T$163,'TAR FIN'!$A$1:$O$86,15,0))</f>
        <v>68.55</v>
      </c>
      <c r="X163" s="4">
        <f>IF(ISERROR(VLOOKUP($U$163,'TAR FIN'!$A$1:$O$86,15,0)),0,VLOOKUP($U$163,'TAR FIN'!$A$1:$O$86,15,0))</f>
        <v>211.54</v>
      </c>
      <c r="Y163" s="4"/>
      <c r="Z163" s="4">
        <f ca="1">('TUSD BE'!$AM$12+'TUSD BF'!$AM$12+'TUSD CVA'!$AM$12)*1</f>
        <v>96.693682586652571</v>
      </c>
      <c r="AA163" s="4">
        <f>('TE BE'!$AB$6+'TE BF'!$AB$6+'TE CVA'!$AB$6)*1</f>
        <v>196.56876174373542</v>
      </c>
      <c r="AB163" s="4">
        <f>$K$163*$V$163</f>
        <v>0</v>
      </c>
      <c r="AC163" s="4">
        <f>$M$163*$W$163</f>
        <v>203.11365000000001</v>
      </c>
      <c r="AD163" s="4">
        <f>$O$163*$X$163</f>
        <v>626.79301999999996</v>
      </c>
      <c r="AE163" s="4">
        <f>$K$163*$Y$163</f>
        <v>0</v>
      </c>
      <c r="AF163" s="4">
        <f ca="1">$M$163*$Z$163</f>
        <v>286.50338150425159</v>
      </c>
      <c r="AG163" s="4">
        <f>$O$163*$AA$163</f>
        <v>582.43324104668807</v>
      </c>
    </row>
    <row r="164" spans="1:33" ht="11.25" customHeight="1" x14ac:dyDescent="0.25">
      <c r="A164" s="3" t="s">
        <v>21</v>
      </c>
      <c r="B164" s="3" t="s">
        <v>35</v>
      </c>
      <c r="C164" s="3" t="s">
        <v>39</v>
      </c>
      <c r="D164" s="3" t="s">
        <v>43</v>
      </c>
      <c r="E164" s="3" t="s">
        <v>25</v>
      </c>
      <c r="F164" s="3" t="s">
        <v>25</v>
      </c>
      <c r="G164" s="3" t="s">
        <v>25</v>
      </c>
      <c r="H164" s="3" t="s">
        <v>38</v>
      </c>
      <c r="I164" s="6">
        <v>44713</v>
      </c>
      <c r="J164" s="4">
        <v>0</v>
      </c>
      <c r="K164" s="4">
        <v>0</v>
      </c>
      <c r="L164" s="4">
        <v>3.383</v>
      </c>
      <c r="M164" s="4">
        <v>3.383</v>
      </c>
      <c r="N164" s="4">
        <v>3.383</v>
      </c>
      <c r="O164" s="4">
        <v>3.383</v>
      </c>
      <c r="P164" s="4">
        <v>0</v>
      </c>
      <c r="Q164" s="3" t="s">
        <v>26</v>
      </c>
      <c r="R164" s="3">
        <v>0</v>
      </c>
      <c r="S164" s="4">
        <v>0</v>
      </c>
      <c r="T164" s="4">
        <v>3</v>
      </c>
      <c r="U164" s="4">
        <v>48</v>
      </c>
      <c r="V164" s="4">
        <f>IF(ISERROR(VLOOKUP($S$164,'TAR FIN'!$A$1:$O$86,15,0)),0,VLOOKUP($S$164,'TAR FIN'!$A$1:$O$86,15,0))</f>
        <v>0</v>
      </c>
      <c r="W164" s="4">
        <f>IF(ISERROR(VLOOKUP($T$164,'TAR FIN'!$A$1:$O$86,15,0)),0,VLOOKUP($T$164,'TAR FIN'!$A$1:$O$86,15,0))</f>
        <v>68.55</v>
      </c>
      <c r="X164" s="4">
        <f>IF(ISERROR(VLOOKUP($U$164,'TAR FIN'!$A$1:$O$86,15,0)),0,VLOOKUP($U$164,'TAR FIN'!$A$1:$O$86,15,0))</f>
        <v>211.54</v>
      </c>
      <c r="Y164" s="4"/>
      <c r="Z164" s="4">
        <f ca="1">('TUSD BE'!$AM$12+'TUSD BF'!$AM$12+'TUSD CVA'!$AM$12)*1</f>
        <v>96.693682586652571</v>
      </c>
      <c r="AA164" s="4">
        <f>('TE BE'!$AB$6+'TE BF'!$AB$6+'TE CVA'!$AB$6)*1</f>
        <v>196.56876174373542</v>
      </c>
      <c r="AB164" s="4">
        <f>$K$164*$V$164</f>
        <v>0</v>
      </c>
      <c r="AC164" s="4">
        <f>$M$164*$W$164</f>
        <v>231.90465</v>
      </c>
      <c r="AD164" s="4">
        <f>$O$164*$X$164</f>
        <v>715.63981999999999</v>
      </c>
      <c r="AE164" s="4">
        <f>$K$164*$Y$164</f>
        <v>0</v>
      </c>
      <c r="AF164" s="4">
        <f ca="1">$M$164*$Z$164</f>
        <v>327.11472819064562</v>
      </c>
      <c r="AG164" s="4">
        <f>$O$164*$AA$164</f>
        <v>664.99212097905695</v>
      </c>
    </row>
    <row r="165" spans="1:33" ht="11.25" customHeight="1" x14ac:dyDescent="0.25">
      <c r="A165" s="3" t="s">
        <v>21</v>
      </c>
      <c r="B165" s="3" t="s">
        <v>35</v>
      </c>
      <c r="C165" s="3" t="s">
        <v>39</v>
      </c>
      <c r="D165" s="3" t="s">
        <v>43</v>
      </c>
      <c r="E165" s="3" t="s">
        <v>25</v>
      </c>
      <c r="F165" s="3" t="s">
        <v>25</v>
      </c>
      <c r="G165" s="3" t="s">
        <v>25</v>
      </c>
      <c r="H165" s="3" t="s">
        <v>25</v>
      </c>
      <c r="I165" s="6">
        <v>44378</v>
      </c>
      <c r="J165" s="4">
        <v>96</v>
      </c>
      <c r="K165" s="4">
        <v>96</v>
      </c>
      <c r="L165" s="4">
        <v>0</v>
      </c>
      <c r="M165" s="4">
        <v>0</v>
      </c>
      <c r="N165" s="4">
        <v>0</v>
      </c>
      <c r="O165" s="4">
        <v>0</v>
      </c>
      <c r="P165" s="4">
        <v>1</v>
      </c>
      <c r="Q165" s="3" t="s">
        <v>26</v>
      </c>
      <c r="R165" s="3">
        <v>0</v>
      </c>
      <c r="S165" s="4">
        <v>31</v>
      </c>
      <c r="T165" s="4">
        <v>0</v>
      </c>
      <c r="U165" s="4">
        <v>0</v>
      </c>
      <c r="V165" s="4">
        <f>IF(ISERROR(VLOOKUP($S$165,'TAR FIN'!$A$1:$O$86,15,0)),0,VLOOKUP($S$165,'TAR FIN'!$A$1:$O$86,15,0))</f>
        <v>38.520000000000003</v>
      </c>
      <c r="W165" s="4">
        <f>IF(ISERROR(VLOOKUP($T$165,'TAR FIN'!$A$1:$O$86,15,0)),0,VLOOKUP($T$165,'TAR FIN'!$A$1:$O$86,15,0))</f>
        <v>0</v>
      </c>
      <c r="X165" s="4">
        <f>IF(ISERROR(VLOOKUP($U$165,'TAR FIN'!$A$1:$O$86,15,0)),0,VLOOKUP($U$165,'TAR FIN'!$A$1:$O$86,15,0))</f>
        <v>0</v>
      </c>
      <c r="Y165" s="4">
        <f ca="1">('TUSD BE'!$AM$10+'TUSD BF'!$AM$10+'TUSD CVA'!$AM$10)*1</f>
        <v>44.255213546385811</v>
      </c>
      <c r="Z165" s="4"/>
      <c r="AA165" s="4"/>
      <c r="AB165" s="4">
        <f>$K$165*$V$165</f>
        <v>3697.92</v>
      </c>
      <c r="AC165" s="4">
        <f>$M$165*$W$165</f>
        <v>0</v>
      </c>
      <c r="AD165" s="4">
        <f>$O$165*$X$165</f>
        <v>0</v>
      </c>
      <c r="AE165" s="4">
        <f ca="1">$K$165*$Y$165</f>
        <v>4248.5005004530376</v>
      </c>
      <c r="AF165" s="4">
        <f>$M$165*$Z$165</f>
        <v>0</v>
      </c>
      <c r="AG165" s="4">
        <f>$O$165*$AA$165</f>
        <v>0</v>
      </c>
    </row>
    <row r="166" spans="1:33" ht="11.25" customHeight="1" x14ac:dyDescent="0.25">
      <c r="A166" s="3" t="s">
        <v>21</v>
      </c>
      <c r="B166" s="3" t="s">
        <v>35</v>
      </c>
      <c r="C166" s="3" t="s">
        <v>39</v>
      </c>
      <c r="D166" s="3" t="s">
        <v>43</v>
      </c>
      <c r="E166" s="3" t="s">
        <v>25</v>
      </c>
      <c r="F166" s="3" t="s">
        <v>25</v>
      </c>
      <c r="G166" s="3" t="s">
        <v>25</v>
      </c>
      <c r="H166" s="3" t="s">
        <v>25</v>
      </c>
      <c r="I166" s="6">
        <v>44409</v>
      </c>
      <c r="J166" s="4">
        <v>96</v>
      </c>
      <c r="K166" s="4">
        <v>96</v>
      </c>
      <c r="L166" s="4">
        <v>0</v>
      </c>
      <c r="M166" s="4">
        <v>0</v>
      </c>
      <c r="N166" s="4">
        <v>0</v>
      </c>
      <c r="O166" s="4">
        <v>0</v>
      </c>
      <c r="P166" s="4">
        <v>1</v>
      </c>
      <c r="Q166" s="3" t="s">
        <v>26</v>
      </c>
      <c r="R166" s="3">
        <v>0</v>
      </c>
      <c r="S166" s="4">
        <v>31</v>
      </c>
      <c r="T166" s="4">
        <v>0</v>
      </c>
      <c r="U166" s="4">
        <v>0</v>
      </c>
      <c r="V166" s="4">
        <f>IF(ISERROR(VLOOKUP($S$166,'TAR FIN'!$A$1:$O$86,15,0)),0,VLOOKUP($S$166,'TAR FIN'!$A$1:$O$86,15,0))</f>
        <v>38.520000000000003</v>
      </c>
      <c r="W166" s="4">
        <f>IF(ISERROR(VLOOKUP($T$166,'TAR FIN'!$A$1:$O$86,15,0)),0,VLOOKUP($T$166,'TAR FIN'!$A$1:$O$86,15,0))</f>
        <v>0</v>
      </c>
      <c r="X166" s="4">
        <f>IF(ISERROR(VLOOKUP($U$166,'TAR FIN'!$A$1:$O$86,15,0)),0,VLOOKUP($U$166,'TAR FIN'!$A$1:$O$86,15,0))</f>
        <v>0</v>
      </c>
      <c r="Y166" s="4">
        <f ca="1">('TUSD BE'!$AM$10+'TUSD BF'!$AM$10+'TUSD CVA'!$AM$10)*1</f>
        <v>44.255213546385811</v>
      </c>
      <c r="Z166" s="4"/>
      <c r="AA166" s="4"/>
      <c r="AB166" s="4">
        <f>$K$166*$V$166</f>
        <v>3697.92</v>
      </c>
      <c r="AC166" s="4">
        <f>$M$166*$W$166</f>
        <v>0</v>
      </c>
      <c r="AD166" s="4">
        <f>$O$166*$X$166</f>
        <v>0</v>
      </c>
      <c r="AE166" s="4">
        <f ca="1">$K$166*$Y$166</f>
        <v>4248.5005004530376</v>
      </c>
      <c r="AF166" s="4">
        <f>$M$166*$Z$166</f>
        <v>0</v>
      </c>
      <c r="AG166" s="4">
        <f>$O$166*$AA$166</f>
        <v>0</v>
      </c>
    </row>
    <row r="167" spans="1:33" ht="11.25" customHeight="1" x14ac:dyDescent="0.25">
      <c r="A167" s="3" t="s">
        <v>21</v>
      </c>
      <c r="B167" s="3" t="s">
        <v>35</v>
      </c>
      <c r="C167" s="3" t="s">
        <v>39</v>
      </c>
      <c r="D167" s="3" t="s">
        <v>43</v>
      </c>
      <c r="E167" s="3" t="s">
        <v>25</v>
      </c>
      <c r="F167" s="3" t="s">
        <v>25</v>
      </c>
      <c r="G167" s="3" t="s">
        <v>25</v>
      </c>
      <c r="H167" s="3" t="s">
        <v>25</v>
      </c>
      <c r="I167" s="6">
        <v>44440</v>
      </c>
      <c r="J167" s="4">
        <v>96</v>
      </c>
      <c r="K167" s="4">
        <v>96</v>
      </c>
      <c r="L167" s="4">
        <v>0</v>
      </c>
      <c r="M167" s="4">
        <v>0</v>
      </c>
      <c r="N167" s="4">
        <v>0</v>
      </c>
      <c r="O167" s="4">
        <v>0</v>
      </c>
      <c r="P167" s="4">
        <v>1</v>
      </c>
      <c r="Q167" s="3" t="s">
        <v>26</v>
      </c>
      <c r="R167" s="3">
        <v>0</v>
      </c>
      <c r="S167" s="4">
        <v>31</v>
      </c>
      <c r="T167" s="4">
        <v>0</v>
      </c>
      <c r="U167" s="4">
        <v>0</v>
      </c>
      <c r="V167" s="4">
        <f>IF(ISERROR(VLOOKUP($S$167,'TAR FIN'!$A$1:$O$86,15,0)),0,VLOOKUP($S$167,'TAR FIN'!$A$1:$O$86,15,0))</f>
        <v>38.520000000000003</v>
      </c>
      <c r="W167" s="4">
        <f>IF(ISERROR(VLOOKUP($T$167,'TAR FIN'!$A$1:$O$86,15,0)),0,VLOOKUP($T$167,'TAR FIN'!$A$1:$O$86,15,0))</f>
        <v>0</v>
      </c>
      <c r="X167" s="4">
        <f>IF(ISERROR(VLOOKUP($U$167,'TAR FIN'!$A$1:$O$86,15,0)),0,VLOOKUP($U$167,'TAR FIN'!$A$1:$O$86,15,0))</f>
        <v>0</v>
      </c>
      <c r="Y167" s="4">
        <f ca="1">('TUSD BE'!$AM$10+'TUSD BF'!$AM$10+'TUSD CVA'!$AM$10)*1</f>
        <v>44.255213546385811</v>
      </c>
      <c r="Z167" s="4"/>
      <c r="AA167" s="4"/>
      <c r="AB167" s="4">
        <f>$K$167*$V$167</f>
        <v>3697.92</v>
      </c>
      <c r="AC167" s="4">
        <f>$M$167*$W$167</f>
        <v>0</v>
      </c>
      <c r="AD167" s="4">
        <f>$O$167*$X$167</f>
        <v>0</v>
      </c>
      <c r="AE167" s="4">
        <f ca="1">$K$167*$Y$167</f>
        <v>4248.5005004530376</v>
      </c>
      <c r="AF167" s="4">
        <f>$M$167*$Z$167</f>
        <v>0</v>
      </c>
      <c r="AG167" s="4">
        <f>$O$167*$AA$167</f>
        <v>0</v>
      </c>
    </row>
    <row r="168" spans="1:33" ht="11.25" customHeight="1" x14ac:dyDescent="0.25">
      <c r="A168" s="3" t="s">
        <v>21</v>
      </c>
      <c r="B168" s="3" t="s">
        <v>35</v>
      </c>
      <c r="C168" s="3" t="s">
        <v>39</v>
      </c>
      <c r="D168" s="3" t="s">
        <v>43</v>
      </c>
      <c r="E168" s="3" t="s">
        <v>25</v>
      </c>
      <c r="F168" s="3" t="s">
        <v>25</v>
      </c>
      <c r="G168" s="3" t="s">
        <v>25</v>
      </c>
      <c r="H168" s="3" t="s">
        <v>25</v>
      </c>
      <c r="I168" s="6">
        <v>44470</v>
      </c>
      <c r="J168" s="4">
        <v>96</v>
      </c>
      <c r="K168" s="4">
        <v>96</v>
      </c>
      <c r="L168" s="4">
        <v>0</v>
      </c>
      <c r="M168" s="4">
        <v>0</v>
      </c>
      <c r="N168" s="4">
        <v>0</v>
      </c>
      <c r="O168" s="4">
        <v>0</v>
      </c>
      <c r="P168" s="4">
        <v>1</v>
      </c>
      <c r="Q168" s="3" t="s">
        <v>26</v>
      </c>
      <c r="R168" s="3">
        <v>0</v>
      </c>
      <c r="S168" s="4">
        <v>31</v>
      </c>
      <c r="T168" s="4">
        <v>0</v>
      </c>
      <c r="U168" s="4">
        <v>0</v>
      </c>
      <c r="V168" s="4">
        <f>IF(ISERROR(VLOOKUP($S$168,'TAR FIN'!$A$1:$O$86,15,0)),0,VLOOKUP($S$168,'TAR FIN'!$A$1:$O$86,15,0))</f>
        <v>38.520000000000003</v>
      </c>
      <c r="W168" s="4">
        <f>IF(ISERROR(VLOOKUP($T$168,'TAR FIN'!$A$1:$O$86,15,0)),0,VLOOKUP($T$168,'TAR FIN'!$A$1:$O$86,15,0))</f>
        <v>0</v>
      </c>
      <c r="X168" s="4">
        <f>IF(ISERROR(VLOOKUP($U$168,'TAR FIN'!$A$1:$O$86,15,0)),0,VLOOKUP($U$168,'TAR FIN'!$A$1:$O$86,15,0))</f>
        <v>0</v>
      </c>
      <c r="Y168" s="4">
        <f ca="1">('TUSD BE'!$AM$10+'TUSD BF'!$AM$10+'TUSD CVA'!$AM$10)*1</f>
        <v>44.255213546385811</v>
      </c>
      <c r="Z168" s="4"/>
      <c r="AA168" s="4"/>
      <c r="AB168" s="4">
        <f>$K$168*$V$168</f>
        <v>3697.92</v>
      </c>
      <c r="AC168" s="4">
        <f>$M$168*$W$168</f>
        <v>0</v>
      </c>
      <c r="AD168" s="4">
        <f>$O$168*$X$168</f>
        <v>0</v>
      </c>
      <c r="AE168" s="4">
        <f ca="1">$K$168*$Y$168</f>
        <v>4248.5005004530376</v>
      </c>
      <c r="AF168" s="4">
        <f>$M$168*$Z$168</f>
        <v>0</v>
      </c>
      <c r="AG168" s="4">
        <f>$O$168*$AA$168</f>
        <v>0</v>
      </c>
    </row>
    <row r="169" spans="1:33" ht="11.25" customHeight="1" x14ac:dyDescent="0.25">
      <c r="A169" s="3" t="s">
        <v>21</v>
      </c>
      <c r="B169" s="3" t="s">
        <v>35</v>
      </c>
      <c r="C169" s="3" t="s">
        <v>39</v>
      </c>
      <c r="D169" s="3" t="s">
        <v>43</v>
      </c>
      <c r="E169" s="3" t="s">
        <v>25</v>
      </c>
      <c r="F169" s="3" t="s">
        <v>25</v>
      </c>
      <c r="G169" s="3" t="s">
        <v>25</v>
      </c>
      <c r="H169" s="3" t="s">
        <v>25</v>
      </c>
      <c r="I169" s="6">
        <v>44501</v>
      </c>
      <c r="J169" s="4">
        <v>96</v>
      </c>
      <c r="K169" s="4">
        <v>96</v>
      </c>
      <c r="L169" s="4">
        <v>0</v>
      </c>
      <c r="M169" s="4">
        <v>0</v>
      </c>
      <c r="N169" s="4">
        <v>0</v>
      </c>
      <c r="O169" s="4">
        <v>0</v>
      </c>
      <c r="P169" s="4">
        <v>1</v>
      </c>
      <c r="Q169" s="3" t="s">
        <v>26</v>
      </c>
      <c r="R169" s="3">
        <v>0</v>
      </c>
      <c r="S169" s="4">
        <v>31</v>
      </c>
      <c r="T169" s="4">
        <v>0</v>
      </c>
      <c r="U169" s="4">
        <v>0</v>
      </c>
      <c r="V169" s="4">
        <f>IF(ISERROR(VLOOKUP($S$169,'TAR FIN'!$A$1:$O$86,15,0)),0,VLOOKUP($S$169,'TAR FIN'!$A$1:$O$86,15,0))</f>
        <v>38.520000000000003</v>
      </c>
      <c r="W169" s="4">
        <f>IF(ISERROR(VLOOKUP($T$169,'TAR FIN'!$A$1:$O$86,15,0)),0,VLOOKUP($T$169,'TAR FIN'!$A$1:$O$86,15,0))</f>
        <v>0</v>
      </c>
      <c r="X169" s="4">
        <f>IF(ISERROR(VLOOKUP($U$169,'TAR FIN'!$A$1:$O$86,15,0)),0,VLOOKUP($U$169,'TAR FIN'!$A$1:$O$86,15,0))</f>
        <v>0</v>
      </c>
      <c r="Y169" s="4">
        <f ca="1">('TUSD BE'!$AM$10+'TUSD BF'!$AM$10+'TUSD CVA'!$AM$10)*1</f>
        <v>44.255213546385811</v>
      </c>
      <c r="Z169" s="4"/>
      <c r="AA169" s="4"/>
      <c r="AB169" s="4">
        <f>$K$169*$V$169</f>
        <v>3697.92</v>
      </c>
      <c r="AC169" s="4">
        <f>$M$169*$W$169</f>
        <v>0</v>
      </c>
      <c r="AD169" s="4">
        <f>$O$169*$X$169</f>
        <v>0</v>
      </c>
      <c r="AE169" s="4">
        <f ca="1">$K$169*$Y$169</f>
        <v>4248.5005004530376</v>
      </c>
      <c r="AF169" s="4">
        <f>$M$169*$Z$169</f>
        <v>0</v>
      </c>
      <c r="AG169" s="4">
        <f>$O$169*$AA$169</f>
        <v>0</v>
      </c>
    </row>
    <row r="170" spans="1:33" ht="11.25" customHeight="1" x14ac:dyDescent="0.25">
      <c r="A170" s="3" t="s">
        <v>21</v>
      </c>
      <c r="B170" s="3" t="s">
        <v>35</v>
      </c>
      <c r="C170" s="3" t="s">
        <v>39</v>
      </c>
      <c r="D170" s="3" t="s">
        <v>43</v>
      </c>
      <c r="E170" s="3" t="s">
        <v>25</v>
      </c>
      <c r="F170" s="3" t="s">
        <v>25</v>
      </c>
      <c r="G170" s="3" t="s">
        <v>25</v>
      </c>
      <c r="H170" s="3" t="s">
        <v>25</v>
      </c>
      <c r="I170" s="6">
        <v>44531</v>
      </c>
      <c r="J170" s="4">
        <v>96</v>
      </c>
      <c r="K170" s="4">
        <v>96</v>
      </c>
      <c r="L170" s="4">
        <v>0</v>
      </c>
      <c r="M170" s="4">
        <v>0</v>
      </c>
      <c r="N170" s="4">
        <v>0</v>
      </c>
      <c r="O170" s="4">
        <v>0</v>
      </c>
      <c r="P170" s="4">
        <v>1</v>
      </c>
      <c r="Q170" s="3" t="s">
        <v>26</v>
      </c>
      <c r="R170" s="3">
        <v>0</v>
      </c>
      <c r="S170" s="4">
        <v>31</v>
      </c>
      <c r="T170" s="4">
        <v>0</v>
      </c>
      <c r="U170" s="4">
        <v>0</v>
      </c>
      <c r="V170" s="4">
        <f>IF(ISERROR(VLOOKUP($S$170,'TAR FIN'!$A$1:$O$86,15,0)),0,VLOOKUP($S$170,'TAR FIN'!$A$1:$O$86,15,0))</f>
        <v>38.520000000000003</v>
      </c>
      <c r="W170" s="4">
        <f>IF(ISERROR(VLOOKUP($T$170,'TAR FIN'!$A$1:$O$86,15,0)),0,VLOOKUP($T$170,'TAR FIN'!$A$1:$O$86,15,0))</f>
        <v>0</v>
      </c>
      <c r="X170" s="4">
        <f>IF(ISERROR(VLOOKUP($U$170,'TAR FIN'!$A$1:$O$86,15,0)),0,VLOOKUP($U$170,'TAR FIN'!$A$1:$O$86,15,0))</f>
        <v>0</v>
      </c>
      <c r="Y170" s="4">
        <f ca="1">('TUSD BE'!$AM$10+'TUSD BF'!$AM$10+'TUSD CVA'!$AM$10)*1</f>
        <v>44.255213546385811</v>
      </c>
      <c r="Z170" s="4"/>
      <c r="AA170" s="4"/>
      <c r="AB170" s="4">
        <f>$K$170*$V$170</f>
        <v>3697.92</v>
      </c>
      <c r="AC170" s="4">
        <f>$M$170*$W$170</f>
        <v>0</v>
      </c>
      <c r="AD170" s="4">
        <f>$O$170*$X$170</f>
        <v>0</v>
      </c>
      <c r="AE170" s="4">
        <f ca="1">$K$170*$Y$170</f>
        <v>4248.5005004530376</v>
      </c>
      <c r="AF170" s="4">
        <f>$M$170*$Z$170</f>
        <v>0</v>
      </c>
      <c r="AG170" s="4">
        <f>$O$170*$AA$170</f>
        <v>0</v>
      </c>
    </row>
    <row r="171" spans="1:33" ht="11.25" customHeight="1" x14ac:dyDescent="0.25">
      <c r="A171" s="3" t="s">
        <v>21</v>
      </c>
      <c r="B171" s="3" t="s">
        <v>35</v>
      </c>
      <c r="C171" s="3" t="s">
        <v>39</v>
      </c>
      <c r="D171" s="3" t="s">
        <v>43</v>
      </c>
      <c r="E171" s="3" t="s">
        <v>25</v>
      </c>
      <c r="F171" s="3" t="s">
        <v>25</v>
      </c>
      <c r="G171" s="3" t="s">
        <v>25</v>
      </c>
      <c r="H171" s="3" t="s">
        <v>25</v>
      </c>
      <c r="I171" s="6">
        <v>44562</v>
      </c>
      <c r="J171" s="4">
        <v>126</v>
      </c>
      <c r="K171" s="4">
        <v>126</v>
      </c>
      <c r="L171" s="4">
        <v>0</v>
      </c>
      <c r="M171" s="4">
        <v>0</v>
      </c>
      <c r="N171" s="4">
        <v>0</v>
      </c>
      <c r="O171" s="4">
        <v>0</v>
      </c>
      <c r="P171" s="4">
        <v>2</v>
      </c>
      <c r="Q171" s="3" t="s">
        <v>26</v>
      </c>
      <c r="R171" s="3">
        <v>0</v>
      </c>
      <c r="S171" s="4">
        <v>31</v>
      </c>
      <c r="T171" s="4">
        <v>0</v>
      </c>
      <c r="U171" s="4">
        <v>0</v>
      </c>
      <c r="V171" s="4">
        <f>IF(ISERROR(VLOOKUP($S$171,'TAR FIN'!$A$1:$O$86,15,0)),0,VLOOKUP($S$171,'TAR FIN'!$A$1:$O$86,15,0))</f>
        <v>38.520000000000003</v>
      </c>
      <c r="W171" s="4">
        <f>IF(ISERROR(VLOOKUP($T$171,'TAR FIN'!$A$1:$O$86,15,0)),0,VLOOKUP($T$171,'TAR FIN'!$A$1:$O$86,15,0))</f>
        <v>0</v>
      </c>
      <c r="X171" s="4">
        <f>IF(ISERROR(VLOOKUP($U$171,'TAR FIN'!$A$1:$O$86,15,0)),0,VLOOKUP($U$171,'TAR FIN'!$A$1:$O$86,15,0))</f>
        <v>0</v>
      </c>
      <c r="Y171" s="4">
        <f ca="1">('TUSD BE'!$AM$10+'TUSD BF'!$AM$10+'TUSD CVA'!$AM$10)*1</f>
        <v>44.255213546385811</v>
      </c>
      <c r="Z171" s="4"/>
      <c r="AA171" s="4"/>
      <c r="AB171" s="4">
        <f>$K$171*$V$171</f>
        <v>4853.5200000000004</v>
      </c>
      <c r="AC171" s="4">
        <f>$M$171*$W$171</f>
        <v>0</v>
      </c>
      <c r="AD171" s="4">
        <f>$O$171*$X$171</f>
        <v>0</v>
      </c>
      <c r="AE171" s="4">
        <f ca="1">$K$171*$Y$171</f>
        <v>5576.1569068446124</v>
      </c>
      <c r="AF171" s="4">
        <f>$M$171*$Z$171</f>
        <v>0</v>
      </c>
      <c r="AG171" s="4">
        <f>$O$171*$AA$171</f>
        <v>0</v>
      </c>
    </row>
    <row r="172" spans="1:33" ht="11.25" customHeight="1" x14ac:dyDescent="0.25">
      <c r="A172" s="3" t="s">
        <v>21</v>
      </c>
      <c r="B172" s="3" t="s">
        <v>35</v>
      </c>
      <c r="C172" s="3" t="s">
        <v>39</v>
      </c>
      <c r="D172" s="3" t="s">
        <v>43</v>
      </c>
      <c r="E172" s="3" t="s">
        <v>25</v>
      </c>
      <c r="F172" s="3" t="s">
        <v>25</v>
      </c>
      <c r="G172" s="3" t="s">
        <v>25</v>
      </c>
      <c r="H172" s="3" t="s">
        <v>25</v>
      </c>
      <c r="I172" s="6">
        <v>44593</v>
      </c>
      <c r="J172" s="4">
        <v>126</v>
      </c>
      <c r="K172" s="4">
        <v>126</v>
      </c>
      <c r="L172" s="4">
        <v>0</v>
      </c>
      <c r="M172" s="4">
        <v>0</v>
      </c>
      <c r="N172" s="4">
        <v>0</v>
      </c>
      <c r="O172" s="4">
        <v>0</v>
      </c>
      <c r="P172" s="4">
        <v>2</v>
      </c>
      <c r="Q172" s="3" t="s">
        <v>26</v>
      </c>
      <c r="R172" s="3">
        <v>0</v>
      </c>
      <c r="S172" s="4">
        <v>31</v>
      </c>
      <c r="T172" s="4">
        <v>0</v>
      </c>
      <c r="U172" s="4">
        <v>0</v>
      </c>
      <c r="V172" s="4">
        <f>IF(ISERROR(VLOOKUP($S$172,'TAR FIN'!$A$1:$O$86,15,0)),0,VLOOKUP($S$172,'TAR FIN'!$A$1:$O$86,15,0))</f>
        <v>38.520000000000003</v>
      </c>
      <c r="W172" s="4">
        <f>IF(ISERROR(VLOOKUP($T$172,'TAR FIN'!$A$1:$O$86,15,0)),0,VLOOKUP($T$172,'TAR FIN'!$A$1:$O$86,15,0))</f>
        <v>0</v>
      </c>
      <c r="X172" s="4">
        <f>IF(ISERROR(VLOOKUP($U$172,'TAR FIN'!$A$1:$O$86,15,0)),0,VLOOKUP($U$172,'TAR FIN'!$A$1:$O$86,15,0))</f>
        <v>0</v>
      </c>
      <c r="Y172" s="4">
        <f ca="1">('TUSD BE'!$AM$10+'TUSD BF'!$AM$10+'TUSD CVA'!$AM$10)*1</f>
        <v>44.255213546385811</v>
      </c>
      <c r="Z172" s="4"/>
      <c r="AA172" s="4"/>
      <c r="AB172" s="4">
        <f>$K$172*$V$172</f>
        <v>4853.5200000000004</v>
      </c>
      <c r="AC172" s="4">
        <f>$M$172*$W$172</f>
        <v>0</v>
      </c>
      <c r="AD172" s="4">
        <f>$O$172*$X$172</f>
        <v>0</v>
      </c>
      <c r="AE172" s="4">
        <f ca="1">$K$172*$Y$172</f>
        <v>5576.1569068446124</v>
      </c>
      <c r="AF172" s="4">
        <f>$M$172*$Z$172</f>
        <v>0</v>
      </c>
      <c r="AG172" s="4">
        <f>$O$172*$AA$172</f>
        <v>0</v>
      </c>
    </row>
    <row r="173" spans="1:33" ht="11.25" customHeight="1" x14ac:dyDescent="0.25">
      <c r="A173" s="3" t="s">
        <v>21</v>
      </c>
      <c r="B173" s="3" t="s">
        <v>35</v>
      </c>
      <c r="C173" s="3" t="s">
        <v>39</v>
      </c>
      <c r="D173" s="3" t="s">
        <v>43</v>
      </c>
      <c r="E173" s="3" t="s">
        <v>25</v>
      </c>
      <c r="F173" s="3" t="s">
        <v>25</v>
      </c>
      <c r="G173" s="3" t="s">
        <v>25</v>
      </c>
      <c r="H173" s="3" t="s">
        <v>25</v>
      </c>
      <c r="I173" s="6">
        <v>44621</v>
      </c>
      <c r="J173" s="4">
        <v>96</v>
      </c>
      <c r="K173" s="4">
        <v>96</v>
      </c>
      <c r="L173" s="4">
        <v>0</v>
      </c>
      <c r="M173" s="4">
        <v>0</v>
      </c>
      <c r="N173" s="4">
        <v>0</v>
      </c>
      <c r="O173" s="4">
        <v>0</v>
      </c>
      <c r="P173" s="4">
        <v>1</v>
      </c>
      <c r="Q173" s="3" t="s">
        <v>26</v>
      </c>
      <c r="R173" s="3">
        <v>0</v>
      </c>
      <c r="S173" s="4">
        <v>31</v>
      </c>
      <c r="T173" s="4">
        <v>0</v>
      </c>
      <c r="U173" s="4">
        <v>0</v>
      </c>
      <c r="V173" s="4">
        <f>IF(ISERROR(VLOOKUP($S$173,'TAR FIN'!$A$1:$O$86,15,0)),0,VLOOKUP($S$173,'TAR FIN'!$A$1:$O$86,15,0))</f>
        <v>38.520000000000003</v>
      </c>
      <c r="W173" s="4">
        <f>IF(ISERROR(VLOOKUP($T$173,'TAR FIN'!$A$1:$O$86,15,0)),0,VLOOKUP($T$173,'TAR FIN'!$A$1:$O$86,15,0))</f>
        <v>0</v>
      </c>
      <c r="X173" s="4">
        <f>IF(ISERROR(VLOOKUP($U$173,'TAR FIN'!$A$1:$O$86,15,0)),0,VLOOKUP($U$173,'TAR FIN'!$A$1:$O$86,15,0))</f>
        <v>0</v>
      </c>
      <c r="Y173" s="4">
        <f ca="1">('TUSD BE'!$AM$10+'TUSD BF'!$AM$10+'TUSD CVA'!$AM$10)*1</f>
        <v>44.255213546385811</v>
      </c>
      <c r="Z173" s="4"/>
      <c r="AA173" s="4"/>
      <c r="AB173" s="4">
        <f>$K$173*$V$173</f>
        <v>3697.92</v>
      </c>
      <c r="AC173" s="4">
        <f>$M$173*$W$173</f>
        <v>0</v>
      </c>
      <c r="AD173" s="4">
        <f>$O$173*$X$173</f>
        <v>0</v>
      </c>
      <c r="AE173" s="4">
        <f ca="1">$K$173*$Y$173</f>
        <v>4248.5005004530376</v>
      </c>
      <c r="AF173" s="4">
        <f>$M$173*$Z$173</f>
        <v>0</v>
      </c>
      <c r="AG173" s="4">
        <f>$O$173*$AA$173</f>
        <v>0</v>
      </c>
    </row>
    <row r="174" spans="1:33" ht="11.25" customHeight="1" x14ac:dyDescent="0.25">
      <c r="A174" s="3" t="s">
        <v>21</v>
      </c>
      <c r="B174" s="3" t="s">
        <v>35</v>
      </c>
      <c r="C174" s="3" t="s">
        <v>39</v>
      </c>
      <c r="D174" s="3" t="s">
        <v>43</v>
      </c>
      <c r="E174" s="3" t="s">
        <v>25</v>
      </c>
      <c r="F174" s="3" t="s">
        <v>25</v>
      </c>
      <c r="G174" s="3" t="s">
        <v>25</v>
      </c>
      <c r="H174" s="3" t="s">
        <v>25</v>
      </c>
      <c r="I174" s="6">
        <v>44652</v>
      </c>
      <c r="J174" s="4">
        <v>96</v>
      </c>
      <c r="K174" s="4">
        <v>96</v>
      </c>
      <c r="L174" s="4">
        <v>0</v>
      </c>
      <c r="M174" s="4">
        <v>0</v>
      </c>
      <c r="N174" s="4">
        <v>0</v>
      </c>
      <c r="O174" s="4">
        <v>0</v>
      </c>
      <c r="P174" s="4">
        <v>1</v>
      </c>
      <c r="Q174" s="3" t="s">
        <v>26</v>
      </c>
      <c r="R174" s="3">
        <v>0</v>
      </c>
      <c r="S174" s="4">
        <v>31</v>
      </c>
      <c r="T174" s="4">
        <v>0</v>
      </c>
      <c r="U174" s="4">
        <v>0</v>
      </c>
      <c r="V174" s="4">
        <f>IF(ISERROR(VLOOKUP($S$174,'TAR FIN'!$A$1:$O$86,15,0)),0,VLOOKUP($S$174,'TAR FIN'!$A$1:$O$86,15,0))</f>
        <v>38.520000000000003</v>
      </c>
      <c r="W174" s="4">
        <f>IF(ISERROR(VLOOKUP($T$174,'TAR FIN'!$A$1:$O$86,15,0)),0,VLOOKUP($T$174,'TAR FIN'!$A$1:$O$86,15,0))</f>
        <v>0</v>
      </c>
      <c r="X174" s="4">
        <f>IF(ISERROR(VLOOKUP($U$174,'TAR FIN'!$A$1:$O$86,15,0)),0,VLOOKUP($U$174,'TAR FIN'!$A$1:$O$86,15,0))</f>
        <v>0</v>
      </c>
      <c r="Y174" s="4">
        <f ca="1">('TUSD BE'!$AM$10+'TUSD BF'!$AM$10+'TUSD CVA'!$AM$10)*1</f>
        <v>44.255213546385811</v>
      </c>
      <c r="Z174" s="4"/>
      <c r="AA174" s="4"/>
      <c r="AB174" s="4">
        <f>$K$174*$V$174</f>
        <v>3697.92</v>
      </c>
      <c r="AC174" s="4">
        <f>$M$174*$W$174</f>
        <v>0</v>
      </c>
      <c r="AD174" s="4">
        <f>$O$174*$X$174</f>
        <v>0</v>
      </c>
      <c r="AE174" s="4">
        <f ca="1">$K$174*$Y$174</f>
        <v>4248.5005004530376</v>
      </c>
      <c r="AF174" s="4">
        <f>$M$174*$Z$174</f>
        <v>0</v>
      </c>
      <c r="AG174" s="4">
        <f>$O$174*$AA$174</f>
        <v>0</v>
      </c>
    </row>
    <row r="175" spans="1:33" ht="11.25" customHeight="1" x14ac:dyDescent="0.25">
      <c r="A175" s="3" t="s">
        <v>21</v>
      </c>
      <c r="B175" s="3" t="s">
        <v>35</v>
      </c>
      <c r="C175" s="3" t="s">
        <v>39</v>
      </c>
      <c r="D175" s="3" t="s">
        <v>43</v>
      </c>
      <c r="E175" s="3" t="s">
        <v>25</v>
      </c>
      <c r="F175" s="3" t="s">
        <v>25</v>
      </c>
      <c r="G175" s="3" t="s">
        <v>25</v>
      </c>
      <c r="H175" s="3" t="s">
        <v>25</v>
      </c>
      <c r="I175" s="6">
        <v>44682</v>
      </c>
      <c r="J175" s="4">
        <v>99</v>
      </c>
      <c r="K175" s="4">
        <v>99</v>
      </c>
      <c r="L175" s="4">
        <v>0</v>
      </c>
      <c r="M175" s="4">
        <v>0</v>
      </c>
      <c r="N175" s="4">
        <v>0</v>
      </c>
      <c r="O175" s="4">
        <v>0</v>
      </c>
      <c r="P175" s="4">
        <v>1</v>
      </c>
      <c r="Q175" s="3" t="s">
        <v>26</v>
      </c>
      <c r="R175" s="3">
        <v>0</v>
      </c>
      <c r="S175" s="4">
        <v>31</v>
      </c>
      <c r="T175" s="4">
        <v>0</v>
      </c>
      <c r="U175" s="4">
        <v>0</v>
      </c>
      <c r="V175" s="4">
        <f>IF(ISERROR(VLOOKUP($S$175,'TAR FIN'!$A$1:$O$86,15,0)),0,VLOOKUP($S$175,'TAR FIN'!$A$1:$O$86,15,0))</f>
        <v>38.520000000000003</v>
      </c>
      <c r="W175" s="4">
        <f>IF(ISERROR(VLOOKUP($T$175,'TAR FIN'!$A$1:$O$86,15,0)),0,VLOOKUP($T$175,'TAR FIN'!$A$1:$O$86,15,0))</f>
        <v>0</v>
      </c>
      <c r="X175" s="4">
        <f>IF(ISERROR(VLOOKUP($U$175,'TAR FIN'!$A$1:$O$86,15,0)),0,VLOOKUP($U$175,'TAR FIN'!$A$1:$O$86,15,0))</f>
        <v>0</v>
      </c>
      <c r="Y175" s="4">
        <f ca="1">('TUSD BE'!$AM$10+'TUSD BF'!$AM$10+'TUSD CVA'!$AM$10)*1</f>
        <v>44.255213546385811</v>
      </c>
      <c r="Z175" s="4"/>
      <c r="AA175" s="4"/>
      <c r="AB175" s="4">
        <f>$K$175*$V$175</f>
        <v>3813.4800000000005</v>
      </c>
      <c r="AC175" s="4">
        <f>$M$175*$W$175</f>
        <v>0</v>
      </c>
      <c r="AD175" s="4">
        <f>$O$175*$X$175</f>
        <v>0</v>
      </c>
      <c r="AE175" s="4">
        <f ca="1">$K$175*$Y$175</f>
        <v>4381.2661410921955</v>
      </c>
      <c r="AF175" s="4">
        <f>$M$175*$Z$175</f>
        <v>0</v>
      </c>
      <c r="AG175" s="4">
        <f>$O$175*$AA$175</f>
        <v>0</v>
      </c>
    </row>
    <row r="176" spans="1:33" ht="11.25" customHeight="1" x14ac:dyDescent="0.25">
      <c r="A176" s="3" t="s">
        <v>21</v>
      </c>
      <c r="B176" s="3" t="s">
        <v>35</v>
      </c>
      <c r="C176" s="3" t="s">
        <v>39</v>
      </c>
      <c r="D176" s="3" t="s">
        <v>43</v>
      </c>
      <c r="E176" s="3" t="s">
        <v>25</v>
      </c>
      <c r="F176" s="3" t="s">
        <v>25</v>
      </c>
      <c r="G176" s="3" t="s">
        <v>25</v>
      </c>
      <c r="H176" s="3" t="s">
        <v>25</v>
      </c>
      <c r="I176" s="6">
        <v>44713</v>
      </c>
      <c r="J176" s="4">
        <v>96</v>
      </c>
      <c r="K176" s="4">
        <v>96</v>
      </c>
      <c r="L176" s="4">
        <v>0</v>
      </c>
      <c r="M176" s="4">
        <v>0</v>
      </c>
      <c r="N176" s="4">
        <v>0</v>
      </c>
      <c r="O176" s="4">
        <v>0</v>
      </c>
      <c r="P176" s="4">
        <v>1</v>
      </c>
      <c r="Q176" s="3" t="s">
        <v>26</v>
      </c>
      <c r="R176" s="3">
        <v>0</v>
      </c>
      <c r="S176" s="4">
        <v>31</v>
      </c>
      <c r="T176" s="4">
        <v>0</v>
      </c>
      <c r="U176" s="4">
        <v>0</v>
      </c>
      <c r="V176" s="4">
        <f>IF(ISERROR(VLOOKUP($S$176,'TAR FIN'!$A$1:$O$86,15,0)),0,VLOOKUP($S$176,'TAR FIN'!$A$1:$O$86,15,0))</f>
        <v>38.520000000000003</v>
      </c>
      <c r="W176" s="4">
        <f>IF(ISERROR(VLOOKUP($T$176,'TAR FIN'!$A$1:$O$86,15,0)),0,VLOOKUP($T$176,'TAR FIN'!$A$1:$O$86,15,0))</f>
        <v>0</v>
      </c>
      <c r="X176" s="4">
        <f>IF(ISERROR(VLOOKUP($U$176,'TAR FIN'!$A$1:$O$86,15,0)),0,VLOOKUP($U$176,'TAR FIN'!$A$1:$O$86,15,0))</f>
        <v>0</v>
      </c>
      <c r="Y176" s="4">
        <f ca="1">('TUSD BE'!$AM$10+'TUSD BF'!$AM$10+'TUSD CVA'!$AM$10)*1</f>
        <v>44.255213546385811</v>
      </c>
      <c r="Z176" s="4"/>
      <c r="AA176" s="4"/>
      <c r="AB176" s="4">
        <f>$K$176*$V$176</f>
        <v>3697.92</v>
      </c>
      <c r="AC176" s="4">
        <f>$M$176*$W$176</f>
        <v>0</v>
      </c>
      <c r="AD176" s="4">
        <f>$O$176*$X$176</f>
        <v>0</v>
      </c>
      <c r="AE176" s="4">
        <f ca="1">$K$176*$Y$176</f>
        <v>4248.5005004530376</v>
      </c>
      <c r="AF176" s="4">
        <f>$M$176*$Z$176</f>
        <v>0</v>
      </c>
      <c r="AG176" s="4">
        <f>$O$176*$AA$176</f>
        <v>0</v>
      </c>
    </row>
    <row r="177" spans="1:33" ht="11.25" customHeight="1" x14ac:dyDescent="0.25">
      <c r="A177" s="3" t="s">
        <v>21</v>
      </c>
      <c r="B177" s="3" t="s">
        <v>35</v>
      </c>
      <c r="C177" s="3" t="s">
        <v>39</v>
      </c>
      <c r="D177" s="3" t="s">
        <v>43</v>
      </c>
      <c r="E177" s="3" t="s">
        <v>25</v>
      </c>
      <c r="F177" s="3" t="s">
        <v>25</v>
      </c>
      <c r="G177" s="3" t="s">
        <v>25</v>
      </c>
      <c r="H177" s="3" t="s">
        <v>37</v>
      </c>
      <c r="I177" s="6">
        <v>44378</v>
      </c>
      <c r="J177" s="4">
        <v>0</v>
      </c>
      <c r="K177" s="4">
        <v>0</v>
      </c>
      <c r="L177" s="4">
        <v>3.7999999999999999E-2</v>
      </c>
      <c r="M177" s="4">
        <v>3.7999999999999999E-2</v>
      </c>
      <c r="N177" s="4">
        <v>3.7999999999999999E-2</v>
      </c>
      <c r="O177" s="4">
        <v>3.7999999999999999E-2</v>
      </c>
      <c r="P177" s="4">
        <v>0</v>
      </c>
      <c r="Q177" s="3" t="s">
        <v>26</v>
      </c>
      <c r="R177" s="3">
        <v>0</v>
      </c>
      <c r="S177" s="4">
        <v>0</v>
      </c>
      <c r="T177" s="4">
        <v>15</v>
      </c>
      <c r="U177" s="4">
        <v>24</v>
      </c>
      <c r="V177" s="4">
        <f>IF(ISERROR(VLOOKUP($S$177,'TAR FIN'!$A$1:$O$86,15,0)),0,VLOOKUP($S$177,'TAR FIN'!$A$1:$O$86,15,0))</f>
        <v>0</v>
      </c>
      <c r="W177" s="4">
        <f>IF(ISERROR(VLOOKUP($T$177,'TAR FIN'!$A$1:$O$86,15,0)),0,VLOOKUP($T$177,'TAR FIN'!$A$1:$O$86,15,0))</f>
        <v>2115.38</v>
      </c>
      <c r="X177" s="4">
        <f>IF(ISERROR(VLOOKUP($U$177,'TAR FIN'!$A$1:$O$86,15,0)),0,VLOOKUP($U$177,'TAR FIN'!$A$1:$O$86,15,0))</f>
        <v>211.54</v>
      </c>
      <c r="Y177" s="4"/>
      <c r="Z177" s="4">
        <f ca="1">('TUSD BE'!$AM$11+'TUSD BF'!$AM$11+'TUSD CVA'!$AM$11)*1</f>
        <v>2284.2159351470723</v>
      </c>
      <c r="AA177" s="4">
        <f>('TE BE'!$AB$5+'TE BF'!$AB$5+'TE CVA'!$AB$5)*1</f>
        <v>196.56876174373542</v>
      </c>
      <c r="AB177" s="4">
        <f>$K$177*$V$177</f>
        <v>0</v>
      </c>
      <c r="AC177" s="4">
        <f>$M$177*$W$177</f>
        <v>80.384439999999998</v>
      </c>
      <c r="AD177" s="4">
        <f>$O$177*$X$177</f>
        <v>8.0385200000000001</v>
      </c>
      <c r="AE177" s="4">
        <f>$K$177*$Y$177</f>
        <v>0</v>
      </c>
      <c r="AF177" s="4">
        <f ca="1">$M$177*$Z$177</f>
        <v>86.800205535588745</v>
      </c>
      <c r="AG177" s="4">
        <f>$O$177*$AA$177</f>
        <v>7.4696129462619458</v>
      </c>
    </row>
    <row r="178" spans="1:33" ht="11.25" customHeight="1" x14ac:dyDescent="0.25">
      <c r="A178" s="3" t="s">
        <v>21</v>
      </c>
      <c r="B178" s="3" t="s">
        <v>35</v>
      </c>
      <c r="C178" s="3" t="s">
        <v>39</v>
      </c>
      <c r="D178" s="3" t="s">
        <v>43</v>
      </c>
      <c r="E178" s="3" t="s">
        <v>25</v>
      </c>
      <c r="F178" s="3" t="s">
        <v>25</v>
      </c>
      <c r="G178" s="3" t="s">
        <v>25</v>
      </c>
      <c r="H178" s="3" t="s">
        <v>37</v>
      </c>
      <c r="I178" s="6">
        <v>44409</v>
      </c>
      <c r="J178" s="4">
        <v>0</v>
      </c>
      <c r="K178" s="4">
        <v>0</v>
      </c>
      <c r="L178" s="4">
        <v>0.03</v>
      </c>
      <c r="M178" s="4">
        <v>0.03</v>
      </c>
      <c r="N178" s="4">
        <v>0.03</v>
      </c>
      <c r="O178" s="4">
        <v>0.03</v>
      </c>
      <c r="P178" s="4">
        <v>0</v>
      </c>
      <c r="Q178" s="3" t="s">
        <v>26</v>
      </c>
      <c r="R178" s="3">
        <v>0</v>
      </c>
      <c r="S178" s="4">
        <v>0</v>
      </c>
      <c r="T178" s="4">
        <v>15</v>
      </c>
      <c r="U178" s="4">
        <v>24</v>
      </c>
      <c r="V178" s="4">
        <f>IF(ISERROR(VLOOKUP($S$178,'TAR FIN'!$A$1:$O$86,15,0)),0,VLOOKUP($S$178,'TAR FIN'!$A$1:$O$86,15,0))</f>
        <v>0</v>
      </c>
      <c r="W178" s="4">
        <f>IF(ISERROR(VLOOKUP($T$178,'TAR FIN'!$A$1:$O$86,15,0)),0,VLOOKUP($T$178,'TAR FIN'!$A$1:$O$86,15,0))</f>
        <v>2115.38</v>
      </c>
      <c r="X178" s="4">
        <f>IF(ISERROR(VLOOKUP($U$178,'TAR FIN'!$A$1:$O$86,15,0)),0,VLOOKUP($U$178,'TAR FIN'!$A$1:$O$86,15,0))</f>
        <v>211.54</v>
      </c>
      <c r="Y178" s="4"/>
      <c r="Z178" s="4">
        <f ca="1">('TUSD BE'!$AM$11+'TUSD BF'!$AM$11+'TUSD CVA'!$AM$11)*1</f>
        <v>2284.2159351470723</v>
      </c>
      <c r="AA178" s="4">
        <f>('TE BE'!$AB$5+'TE BF'!$AB$5+'TE CVA'!$AB$5)*1</f>
        <v>196.56876174373542</v>
      </c>
      <c r="AB178" s="4">
        <f>$K$178*$V$178</f>
        <v>0</v>
      </c>
      <c r="AC178" s="4">
        <f>$M$178*$W$178</f>
        <v>63.461399999999998</v>
      </c>
      <c r="AD178" s="4">
        <f>$O$178*$X$178</f>
        <v>6.3461999999999996</v>
      </c>
      <c r="AE178" s="4">
        <f>$K$178*$Y$178</f>
        <v>0</v>
      </c>
      <c r="AF178" s="4">
        <f ca="1">$M$178*$Z$178</f>
        <v>68.526478054412166</v>
      </c>
      <c r="AG178" s="4">
        <f>$O$178*$AA$178</f>
        <v>5.8970628523120627</v>
      </c>
    </row>
    <row r="179" spans="1:33" ht="11.25" customHeight="1" x14ac:dyDescent="0.25">
      <c r="A179" s="3" t="s">
        <v>21</v>
      </c>
      <c r="B179" s="3" t="s">
        <v>35</v>
      </c>
      <c r="C179" s="3" t="s">
        <v>39</v>
      </c>
      <c r="D179" s="3" t="s">
        <v>43</v>
      </c>
      <c r="E179" s="3" t="s">
        <v>25</v>
      </c>
      <c r="F179" s="3" t="s">
        <v>25</v>
      </c>
      <c r="G179" s="3" t="s">
        <v>25</v>
      </c>
      <c r="H179" s="3" t="s">
        <v>37</v>
      </c>
      <c r="I179" s="6">
        <v>44440</v>
      </c>
      <c r="J179" s="4">
        <v>0</v>
      </c>
      <c r="K179" s="4">
        <v>0</v>
      </c>
      <c r="L179" s="4">
        <v>3.7999999999999999E-2</v>
      </c>
      <c r="M179" s="4">
        <v>3.7999999999999999E-2</v>
      </c>
      <c r="N179" s="4">
        <v>3.7999999999999999E-2</v>
      </c>
      <c r="O179" s="4">
        <v>3.7999999999999999E-2</v>
      </c>
      <c r="P179" s="4">
        <v>0</v>
      </c>
      <c r="Q179" s="3" t="s">
        <v>26</v>
      </c>
      <c r="R179" s="3">
        <v>0</v>
      </c>
      <c r="S179" s="4">
        <v>0</v>
      </c>
      <c r="T179" s="4">
        <v>15</v>
      </c>
      <c r="U179" s="4">
        <v>24</v>
      </c>
      <c r="V179" s="4">
        <f>IF(ISERROR(VLOOKUP($S$179,'TAR FIN'!$A$1:$O$86,15,0)),0,VLOOKUP($S$179,'TAR FIN'!$A$1:$O$86,15,0))</f>
        <v>0</v>
      </c>
      <c r="W179" s="4">
        <f>IF(ISERROR(VLOOKUP($T$179,'TAR FIN'!$A$1:$O$86,15,0)),0,VLOOKUP($T$179,'TAR FIN'!$A$1:$O$86,15,0))</f>
        <v>2115.38</v>
      </c>
      <c r="X179" s="4">
        <f>IF(ISERROR(VLOOKUP($U$179,'TAR FIN'!$A$1:$O$86,15,0)),0,VLOOKUP($U$179,'TAR FIN'!$A$1:$O$86,15,0))</f>
        <v>211.54</v>
      </c>
      <c r="Y179" s="4"/>
      <c r="Z179" s="4">
        <f ca="1">('TUSD BE'!$AM$11+'TUSD BF'!$AM$11+'TUSD CVA'!$AM$11)*1</f>
        <v>2284.2159351470723</v>
      </c>
      <c r="AA179" s="4">
        <f>('TE BE'!$AB$5+'TE BF'!$AB$5+'TE CVA'!$AB$5)*1</f>
        <v>196.56876174373542</v>
      </c>
      <c r="AB179" s="4">
        <f>$K$179*$V$179</f>
        <v>0</v>
      </c>
      <c r="AC179" s="4">
        <f>$M$179*$W$179</f>
        <v>80.384439999999998</v>
      </c>
      <c r="AD179" s="4">
        <f>$O$179*$X$179</f>
        <v>8.0385200000000001</v>
      </c>
      <c r="AE179" s="4">
        <f>$K$179*$Y$179</f>
        <v>0</v>
      </c>
      <c r="AF179" s="4">
        <f ca="1">$M$179*$Z$179</f>
        <v>86.800205535588745</v>
      </c>
      <c r="AG179" s="4">
        <f>$O$179*$AA$179</f>
        <v>7.4696129462619458</v>
      </c>
    </row>
    <row r="180" spans="1:33" ht="11.25" customHeight="1" x14ac:dyDescent="0.25">
      <c r="A180" s="3" t="s">
        <v>21</v>
      </c>
      <c r="B180" s="3" t="s">
        <v>35</v>
      </c>
      <c r="C180" s="3" t="s">
        <v>39</v>
      </c>
      <c r="D180" s="3" t="s">
        <v>43</v>
      </c>
      <c r="E180" s="3" t="s">
        <v>25</v>
      </c>
      <c r="F180" s="3" t="s">
        <v>25</v>
      </c>
      <c r="G180" s="3" t="s">
        <v>25</v>
      </c>
      <c r="H180" s="3" t="s">
        <v>37</v>
      </c>
      <c r="I180" s="6">
        <v>44470</v>
      </c>
      <c r="J180" s="4">
        <v>0</v>
      </c>
      <c r="K180" s="4">
        <v>0</v>
      </c>
      <c r="L180" s="4">
        <v>2.7E-2</v>
      </c>
      <c r="M180" s="4">
        <v>2.7E-2</v>
      </c>
      <c r="N180" s="4">
        <v>2.7E-2</v>
      </c>
      <c r="O180" s="4">
        <v>2.7E-2</v>
      </c>
      <c r="P180" s="4">
        <v>0</v>
      </c>
      <c r="Q180" s="3" t="s">
        <v>26</v>
      </c>
      <c r="R180" s="3">
        <v>0</v>
      </c>
      <c r="S180" s="4">
        <v>0</v>
      </c>
      <c r="T180" s="4">
        <v>15</v>
      </c>
      <c r="U180" s="4">
        <v>24</v>
      </c>
      <c r="V180" s="4">
        <f>IF(ISERROR(VLOOKUP($S$180,'TAR FIN'!$A$1:$O$86,15,0)),0,VLOOKUP($S$180,'TAR FIN'!$A$1:$O$86,15,0))</f>
        <v>0</v>
      </c>
      <c r="W180" s="4">
        <f>IF(ISERROR(VLOOKUP($T$180,'TAR FIN'!$A$1:$O$86,15,0)),0,VLOOKUP($T$180,'TAR FIN'!$A$1:$O$86,15,0))</f>
        <v>2115.38</v>
      </c>
      <c r="X180" s="4">
        <f>IF(ISERROR(VLOOKUP($U$180,'TAR FIN'!$A$1:$O$86,15,0)),0,VLOOKUP($U$180,'TAR FIN'!$A$1:$O$86,15,0))</f>
        <v>211.54</v>
      </c>
      <c r="Y180" s="4"/>
      <c r="Z180" s="4">
        <f ca="1">('TUSD BE'!$AM$11+'TUSD BF'!$AM$11+'TUSD CVA'!$AM$11)*1</f>
        <v>2284.2159351470723</v>
      </c>
      <c r="AA180" s="4">
        <f>('TE BE'!$AB$5+'TE BF'!$AB$5+'TE CVA'!$AB$5)*1</f>
        <v>196.56876174373542</v>
      </c>
      <c r="AB180" s="4">
        <f>$K$180*$V$180</f>
        <v>0</v>
      </c>
      <c r="AC180" s="4">
        <f>$M$180*$W$180</f>
        <v>57.115259999999999</v>
      </c>
      <c r="AD180" s="4">
        <f>$O$180*$X$180</f>
        <v>5.7115799999999997</v>
      </c>
      <c r="AE180" s="4">
        <f>$K$180*$Y$180</f>
        <v>0</v>
      </c>
      <c r="AF180" s="4">
        <f ca="1">$M$180*$Z$180</f>
        <v>61.673830248970951</v>
      </c>
      <c r="AG180" s="4">
        <f>$O$180*$AA$180</f>
        <v>5.3073565670808565</v>
      </c>
    </row>
    <row r="181" spans="1:33" ht="11.25" customHeight="1" x14ac:dyDescent="0.25">
      <c r="A181" s="3" t="s">
        <v>21</v>
      </c>
      <c r="B181" s="3" t="s">
        <v>35</v>
      </c>
      <c r="C181" s="3" t="s">
        <v>39</v>
      </c>
      <c r="D181" s="3" t="s">
        <v>43</v>
      </c>
      <c r="E181" s="3" t="s">
        <v>25</v>
      </c>
      <c r="F181" s="3" t="s">
        <v>25</v>
      </c>
      <c r="G181" s="3" t="s">
        <v>25</v>
      </c>
      <c r="H181" s="3" t="s">
        <v>37</v>
      </c>
      <c r="I181" s="6">
        <v>44501</v>
      </c>
      <c r="J181" s="4">
        <v>0</v>
      </c>
      <c r="K181" s="4">
        <v>0</v>
      </c>
      <c r="L181" s="4">
        <v>1.7999999999999999E-2</v>
      </c>
      <c r="M181" s="4">
        <v>1.7999999999999999E-2</v>
      </c>
      <c r="N181" s="4">
        <v>1.7999999999999999E-2</v>
      </c>
      <c r="O181" s="4">
        <v>1.7999999999999999E-2</v>
      </c>
      <c r="P181" s="4">
        <v>0</v>
      </c>
      <c r="Q181" s="3" t="s">
        <v>26</v>
      </c>
      <c r="R181" s="3">
        <v>0</v>
      </c>
      <c r="S181" s="4">
        <v>0</v>
      </c>
      <c r="T181" s="4">
        <v>15</v>
      </c>
      <c r="U181" s="4">
        <v>24</v>
      </c>
      <c r="V181" s="4">
        <f>IF(ISERROR(VLOOKUP($S$181,'TAR FIN'!$A$1:$O$86,15,0)),0,VLOOKUP($S$181,'TAR FIN'!$A$1:$O$86,15,0))</f>
        <v>0</v>
      </c>
      <c r="W181" s="4">
        <f>IF(ISERROR(VLOOKUP($T$181,'TAR FIN'!$A$1:$O$86,15,0)),0,VLOOKUP($T$181,'TAR FIN'!$A$1:$O$86,15,0))</f>
        <v>2115.38</v>
      </c>
      <c r="X181" s="4">
        <f>IF(ISERROR(VLOOKUP($U$181,'TAR FIN'!$A$1:$O$86,15,0)),0,VLOOKUP($U$181,'TAR FIN'!$A$1:$O$86,15,0))</f>
        <v>211.54</v>
      </c>
      <c r="Y181" s="4"/>
      <c r="Z181" s="4">
        <f ca="1">('TUSD BE'!$AM$11+'TUSD BF'!$AM$11+'TUSD CVA'!$AM$11)*1</f>
        <v>2284.2159351470723</v>
      </c>
      <c r="AA181" s="4">
        <f>('TE BE'!$AB$5+'TE BF'!$AB$5+'TE CVA'!$AB$5)*1</f>
        <v>196.56876174373542</v>
      </c>
      <c r="AB181" s="4">
        <f>$K$181*$V$181</f>
        <v>0</v>
      </c>
      <c r="AC181" s="4">
        <f>$M$181*$W$181</f>
        <v>38.076839999999997</v>
      </c>
      <c r="AD181" s="4">
        <f>$O$181*$X$181</f>
        <v>3.8077199999999998</v>
      </c>
      <c r="AE181" s="4">
        <f>$K$181*$Y$181</f>
        <v>0</v>
      </c>
      <c r="AF181" s="4">
        <f ca="1">$M$181*$Z$181</f>
        <v>41.115886832647298</v>
      </c>
      <c r="AG181" s="4">
        <f>$O$181*$AA$181</f>
        <v>3.5382377113872372</v>
      </c>
    </row>
    <row r="182" spans="1:33" ht="11.25" customHeight="1" x14ac:dyDescent="0.25">
      <c r="A182" s="3" t="s">
        <v>21</v>
      </c>
      <c r="B182" s="3" t="s">
        <v>35</v>
      </c>
      <c r="C182" s="3" t="s">
        <v>39</v>
      </c>
      <c r="D182" s="3" t="s">
        <v>43</v>
      </c>
      <c r="E182" s="3" t="s">
        <v>25</v>
      </c>
      <c r="F182" s="3" t="s">
        <v>25</v>
      </c>
      <c r="G182" s="3" t="s">
        <v>25</v>
      </c>
      <c r="H182" s="3" t="s">
        <v>37</v>
      </c>
      <c r="I182" s="6">
        <v>44531</v>
      </c>
      <c r="J182" s="4">
        <v>0</v>
      </c>
      <c r="K182" s="4">
        <v>0</v>
      </c>
      <c r="L182" s="4">
        <v>1.7000000000000001E-2</v>
      </c>
      <c r="M182" s="4">
        <v>1.7000000000000001E-2</v>
      </c>
      <c r="N182" s="4">
        <v>1.7000000000000001E-2</v>
      </c>
      <c r="O182" s="4">
        <v>1.7000000000000001E-2</v>
      </c>
      <c r="P182" s="4">
        <v>0</v>
      </c>
      <c r="Q182" s="3" t="s">
        <v>26</v>
      </c>
      <c r="R182" s="3">
        <v>0</v>
      </c>
      <c r="S182" s="4">
        <v>0</v>
      </c>
      <c r="T182" s="4">
        <v>15</v>
      </c>
      <c r="U182" s="4">
        <v>24</v>
      </c>
      <c r="V182" s="4">
        <f>IF(ISERROR(VLOOKUP($S$182,'TAR FIN'!$A$1:$O$86,15,0)),0,VLOOKUP($S$182,'TAR FIN'!$A$1:$O$86,15,0))</f>
        <v>0</v>
      </c>
      <c r="W182" s="4">
        <f>IF(ISERROR(VLOOKUP($T$182,'TAR FIN'!$A$1:$O$86,15,0)),0,VLOOKUP($T$182,'TAR FIN'!$A$1:$O$86,15,0))</f>
        <v>2115.38</v>
      </c>
      <c r="X182" s="4">
        <f>IF(ISERROR(VLOOKUP($U$182,'TAR FIN'!$A$1:$O$86,15,0)),0,VLOOKUP($U$182,'TAR FIN'!$A$1:$O$86,15,0))</f>
        <v>211.54</v>
      </c>
      <c r="Y182" s="4"/>
      <c r="Z182" s="4">
        <f ca="1">('TUSD BE'!$AM$11+'TUSD BF'!$AM$11+'TUSD CVA'!$AM$11)*1</f>
        <v>2284.2159351470723</v>
      </c>
      <c r="AA182" s="4">
        <f>('TE BE'!$AB$5+'TE BF'!$AB$5+'TE CVA'!$AB$5)*1</f>
        <v>196.56876174373542</v>
      </c>
      <c r="AB182" s="4">
        <f>$K$182*$V$182</f>
        <v>0</v>
      </c>
      <c r="AC182" s="4">
        <f>$M$182*$W$182</f>
        <v>35.961460000000002</v>
      </c>
      <c r="AD182" s="4">
        <f>$O$182*$X$182</f>
        <v>3.5961799999999999</v>
      </c>
      <c r="AE182" s="4">
        <f>$K$182*$Y$182</f>
        <v>0</v>
      </c>
      <c r="AF182" s="4">
        <f ca="1">$M$182*$Z$182</f>
        <v>38.831670897500231</v>
      </c>
      <c r="AG182" s="4">
        <f>$O$182*$AA$182</f>
        <v>3.3416689496435024</v>
      </c>
    </row>
    <row r="183" spans="1:33" ht="11.25" customHeight="1" x14ac:dyDescent="0.25">
      <c r="A183" s="3" t="s">
        <v>21</v>
      </c>
      <c r="B183" s="3" t="s">
        <v>35</v>
      </c>
      <c r="C183" s="3" t="s">
        <v>39</v>
      </c>
      <c r="D183" s="3" t="s">
        <v>43</v>
      </c>
      <c r="E183" s="3" t="s">
        <v>25</v>
      </c>
      <c r="F183" s="3" t="s">
        <v>25</v>
      </c>
      <c r="G183" s="3" t="s">
        <v>25</v>
      </c>
      <c r="H183" s="3" t="s">
        <v>37</v>
      </c>
      <c r="I183" s="6">
        <v>44562</v>
      </c>
      <c r="J183" s="4">
        <v>0</v>
      </c>
      <c r="K183" s="4">
        <v>0</v>
      </c>
      <c r="L183" s="4">
        <v>0.114</v>
      </c>
      <c r="M183" s="4">
        <v>0.114</v>
      </c>
      <c r="N183" s="4">
        <v>0.114</v>
      </c>
      <c r="O183" s="4">
        <v>0.114</v>
      </c>
      <c r="P183" s="4">
        <v>0</v>
      </c>
      <c r="Q183" s="3" t="s">
        <v>26</v>
      </c>
      <c r="R183" s="3">
        <v>0</v>
      </c>
      <c r="S183" s="4">
        <v>0</v>
      </c>
      <c r="T183" s="4">
        <v>15</v>
      </c>
      <c r="U183" s="4">
        <v>24</v>
      </c>
      <c r="V183" s="4">
        <f>IF(ISERROR(VLOOKUP($S$183,'TAR FIN'!$A$1:$O$86,15,0)),0,VLOOKUP($S$183,'TAR FIN'!$A$1:$O$86,15,0))</f>
        <v>0</v>
      </c>
      <c r="W183" s="4">
        <f>IF(ISERROR(VLOOKUP($T$183,'TAR FIN'!$A$1:$O$86,15,0)),0,VLOOKUP($T$183,'TAR FIN'!$A$1:$O$86,15,0))</f>
        <v>2115.38</v>
      </c>
      <c r="X183" s="4">
        <f>IF(ISERROR(VLOOKUP($U$183,'TAR FIN'!$A$1:$O$86,15,0)),0,VLOOKUP($U$183,'TAR FIN'!$A$1:$O$86,15,0))</f>
        <v>211.54</v>
      </c>
      <c r="Y183" s="4"/>
      <c r="Z183" s="4">
        <f ca="1">('TUSD BE'!$AM$11+'TUSD BF'!$AM$11+'TUSD CVA'!$AM$11)*1</f>
        <v>2284.2159351470723</v>
      </c>
      <c r="AA183" s="4">
        <f>('TE BE'!$AB$5+'TE BF'!$AB$5+'TE CVA'!$AB$5)*1</f>
        <v>196.56876174373542</v>
      </c>
      <c r="AB183" s="4">
        <f>$K$183*$V$183</f>
        <v>0</v>
      </c>
      <c r="AC183" s="4">
        <f>$M$183*$W$183</f>
        <v>241.15332000000001</v>
      </c>
      <c r="AD183" s="4">
        <f>$O$183*$X$183</f>
        <v>24.115559999999999</v>
      </c>
      <c r="AE183" s="4">
        <f>$K$183*$Y$183</f>
        <v>0</v>
      </c>
      <c r="AF183" s="4">
        <f ca="1">$M$183*$Z$183</f>
        <v>260.40061660676628</v>
      </c>
      <c r="AG183" s="4">
        <f>$O$183*$AA$183</f>
        <v>22.40883883878584</v>
      </c>
    </row>
    <row r="184" spans="1:33" ht="11.25" customHeight="1" x14ac:dyDescent="0.25">
      <c r="A184" s="3" t="s">
        <v>21</v>
      </c>
      <c r="B184" s="3" t="s">
        <v>35</v>
      </c>
      <c r="C184" s="3" t="s">
        <v>39</v>
      </c>
      <c r="D184" s="3" t="s">
        <v>43</v>
      </c>
      <c r="E184" s="3" t="s">
        <v>25</v>
      </c>
      <c r="F184" s="3" t="s">
        <v>25</v>
      </c>
      <c r="G184" s="3" t="s">
        <v>25</v>
      </c>
      <c r="H184" s="3" t="s">
        <v>37</v>
      </c>
      <c r="I184" s="6">
        <v>44593</v>
      </c>
      <c r="J184" s="4">
        <v>0</v>
      </c>
      <c r="K184" s="4">
        <v>0</v>
      </c>
      <c r="L184" s="4">
        <v>0.03</v>
      </c>
      <c r="M184" s="4">
        <v>0.03</v>
      </c>
      <c r="N184" s="4">
        <v>0.03</v>
      </c>
      <c r="O184" s="4">
        <v>0.03</v>
      </c>
      <c r="P184" s="4">
        <v>0</v>
      </c>
      <c r="Q184" s="3" t="s">
        <v>26</v>
      </c>
      <c r="R184" s="3">
        <v>0</v>
      </c>
      <c r="S184" s="4">
        <v>0</v>
      </c>
      <c r="T184" s="4">
        <v>15</v>
      </c>
      <c r="U184" s="4">
        <v>24</v>
      </c>
      <c r="V184" s="4">
        <f>IF(ISERROR(VLOOKUP($S$184,'TAR FIN'!$A$1:$O$86,15,0)),0,VLOOKUP($S$184,'TAR FIN'!$A$1:$O$86,15,0))</f>
        <v>0</v>
      </c>
      <c r="W184" s="4">
        <f>IF(ISERROR(VLOOKUP($T$184,'TAR FIN'!$A$1:$O$86,15,0)),0,VLOOKUP($T$184,'TAR FIN'!$A$1:$O$86,15,0))</f>
        <v>2115.38</v>
      </c>
      <c r="X184" s="4">
        <f>IF(ISERROR(VLOOKUP($U$184,'TAR FIN'!$A$1:$O$86,15,0)),0,VLOOKUP($U$184,'TAR FIN'!$A$1:$O$86,15,0))</f>
        <v>211.54</v>
      </c>
      <c r="Y184" s="4"/>
      <c r="Z184" s="4">
        <f ca="1">('TUSD BE'!$AM$11+'TUSD BF'!$AM$11+'TUSD CVA'!$AM$11)*1</f>
        <v>2284.2159351470723</v>
      </c>
      <c r="AA184" s="4">
        <f>('TE BE'!$AB$5+'TE BF'!$AB$5+'TE CVA'!$AB$5)*1</f>
        <v>196.56876174373542</v>
      </c>
      <c r="AB184" s="4">
        <f>$K$184*$V$184</f>
        <v>0</v>
      </c>
      <c r="AC184" s="4">
        <f>$M$184*$W$184</f>
        <v>63.461399999999998</v>
      </c>
      <c r="AD184" s="4">
        <f>$O$184*$X$184</f>
        <v>6.3461999999999996</v>
      </c>
      <c r="AE184" s="4">
        <f>$K$184*$Y$184</f>
        <v>0</v>
      </c>
      <c r="AF184" s="4">
        <f ca="1">$M$184*$Z$184</f>
        <v>68.526478054412166</v>
      </c>
      <c r="AG184" s="4">
        <f>$O$184*$AA$184</f>
        <v>5.8970628523120627</v>
      </c>
    </row>
    <row r="185" spans="1:33" ht="11.25" customHeight="1" x14ac:dyDescent="0.25">
      <c r="A185" s="3" t="s">
        <v>21</v>
      </c>
      <c r="B185" s="3" t="s">
        <v>35</v>
      </c>
      <c r="C185" s="3" t="s">
        <v>39</v>
      </c>
      <c r="D185" s="3" t="s">
        <v>43</v>
      </c>
      <c r="E185" s="3" t="s">
        <v>25</v>
      </c>
      <c r="F185" s="3" t="s">
        <v>25</v>
      </c>
      <c r="G185" s="3" t="s">
        <v>25</v>
      </c>
      <c r="H185" s="3" t="s">
        <v>37</v>
      </c>
      <c r="I185" s="6">
        <v>44621</v>
      </c>
      <c r="J185" s="4">
        <v>0</v>
      </c>
      <c r="K185" s="4">
        <v>0</v>
      </c>
      <c r="L185" s="4">
        <v>2.3E-2</v>
      </c>
      <c r="M185" s="4">
        <v>2.3E-2</v>
      </c>
      <c r="N185" s="4">
        <v>2.3E-2</v>
      </c>
      <c r="O185" s="4">
        <v>2.3E-2</v>
      </c>
      <c r="P185" s="4">
        <v>0</v>
      </c>
      <c r="Q185" s="3" t="s">
        <v>26</v>
      </c>
      <c r="R185" s="3">
        <v>0</v>
      </c>
      <c r="S185" s="4">
        <v>0</v>
      </c>
      <c r="T185" s="4">
        <v>15</v>
      </c>
      <c r="U185" s="4">
        <v>24</v>
      </c>
      <c r="V185" s="4">
        <f>IF(ISERROR(VLOOKUP($S$185,'TAR FIN'!$A$1:$O$86,15,0)),0,VLOOKUP($S$185,'TAR FIN'!$A$1:$O$86,15,0))</f>
        <v>0</v>
      </c>
      <c r="W185" s="4">
        <f>IF(ISERROR(VLOOKUP($T$185,'TAR FIN'!$A$1:$O$86,15,0)),0,VLOOKUP($T$185,'TAR FIN'!$A$1:$O$86,15,0))</f>
        <v>2115.38</v>
      </c>
      <c r="X185" s="4">
        <f>IF(ISERROR(VLOOKUP($U$185,'TAR FIN'!$A$1:$O$86,15,0)),0,VLOOKUP($U$185,'TAR FIN'!$A$1:$O$86,15,0))</f>
        <v>211.54</v>
      </c>
      <c r="Y185" s="4"/>
      <c r="Z185" s="4">
        <f ca="1">('TUSD BE'!$AM$11+'TUSD BF'!$AM$11+'TUSD CVA'!$AM$11)*1</f>
        <v>2284.2159351470723</v>
      </c>
      <c r="AA185" s="4">
        <f>('TE BE'!$AB$5+'TE BF'!$AB$5+'TE CVA'!$AB$5)*1</f>
        <v>196.56876174373542</v>
      </c>
      <c r="AB185" s="4">
        <f>$K$185*$V$185</f>
        <v>0</v>
      </c>
      <c r="AC185" s="4">
        <f>$M$185*$W$185</f>
        <v>48.653739999999999</v>
      </c>
      <c r="AD185" s="4">
        <f>$O$185*$X$185</f>
        <v>4.8654199999999994</v>
      </c>
      <c r="AE185" s="4">
        <f>$K$185*$Y$185</f>
        <v>0</v>
      </c>
      <c r="AF185" s="4">
        <f ca="1">$M$185*$Z$185</f>
        <v>52.536966508382662</v>
      </c>
      <c r="AG185" s="4">
        <f>$O$185*$AA$185</f>
        <v>4.5210815201059145</v>
      </c>
    </row>
    <row r="186" spans="1:33" ht="11.25" customHeight="1" x14ac:dyDescent="0.25">
      <c r="A186" s="3" t="s">
        <v>21</v>
      </c>
      <c r="B186" s="3" t="s">
        <v>35</v>
      </c>
      <c r="C186" s="3" t="s">
        <v>39</v>
      </c>
      <c r="D186" s="3" t="s">
        <v>43</v>
      </c>
      <c r="E186" s="3" t="s">
        <v>25</v>
      </c>
      <c r="F186" s="3" t="s">
        <v>25</v>
      </c>
      <c r="G186" s="3" t="s">
        <v>25</v>
      </c>
      <c r="H186" s="3" t="s">
        <v>37</v>
      </c>
      <c r="I186" s="6">
        <v>44652</v>
      </c>
      <c r="J186" s="4">
        <v>0</v>
      </c>
      <c r="K186" s="4">
        <v>0</v>
      </c>
      <c r="L186" s="4">
        <v>2.1000000000000001E-2</v>
      </c>
      <c r="M186" s="4">
        <v>2.1000000000000001E-2</v>
      </c>
      <c r="N186" s="4">
        <v>2.1000000000000001E-2</v>
      </c>
      <c r="O186" s="4">
        <v>2.1000000000000001E-2</v>
      </c>
      <c r="P186" s="4">
        <v>0</v>
      </c>
      <c r="Q186" s="3" t="s">
        <v>26</v>
      </c>
      <c r="R186" s="3">
        <v>0</v>
      </c>
      <c r="S186" s="4">
        <v>0</v>
      </c>
      <c r="T186" s="4">
        <v>15</v>
      </c>
      <c r="U186" s="4">
        <v>24</v>
      </c>
      <c r="V186" s="4">
        <f>IF(ISERROR(VLOOKUP($S$186,'TAR FIN'!$A$1:$O$86,15,0)),0,VLOOKUP($S$186,'TAR FIN'!$A$1:$O$86,15,0))</f>
        <v>0</v>
      </c>
      <c r="W186" s="4">
        <f>IF(ISERROR(VLOOKUP($T$186,'TAR FIN'!$A$1:$O$86,15,0)),0,VLOOKUP($T$186,'TAR FIN'!$A$1:$O$86,15,0))</f>
        <v>2115.38</v>
      </c>
      <c r="X186" s="4">
        <f>IF(ISERROR(VLOOKUP($U$186,'TAR FIN'!$A$1:$O$86,15,0)),0,VLOOKUP($U$186,'TAR FIN'!$A$1:$O$86,15,0))</f>
        <v>211.54</v>
      </c>
      <c r="Y186" s="4"/>
      <c r="Z186" s="4">
        <f ca="1">('TUSD BE'!$AM$11+'TUSD BF'!$AM$11+'TUSD CVA'!$AM$11)*1</f>
        <v>2284.2159351470723</v>
      </c>
      <c r="AA186" s="4">
        <f>('TE BE'!$AB$5+'TE BF'!$AB$5+'TE CVA'!$AB$5)*1</f>
        <v>196.56876174373542</v>
      </c>
      <c r="AB186" s="4">
        <f>$K$186*$V$186</f>
        <v>0</v>
      </c>
      <c r="AC186" s="4">
        <f>$M$186*$W$186</f>
        <v>44.422980000000003</v>
      </c>
      <c r="AD186" s="4">
        <f>$O$186*$X$186</f>
        <v>4.4423399999999997</v>
      </c>
      <c r="AE186" s="4">
        <f>$K$186*$Y$186</f>
        <v>0</v>
      </c>
      <c r="AF186" s="4">
        <f ca="1">$M$186*$Z$186</f>
        <v>47.968534638088521</v>
      </c>
      <c r="AG186" s="4">
        <f>$O$186*$AA$186</f>
        <v>4.1279439966184439</v>
      </c>
    </row>
    <row r="187" spans="1:33" ht="11.25" customHeight="1" x14ac:dyDescent="0.25">
      <c r="A187" s="3" t="s">
        <v>21</v>
      </c>
      <c r="B187" s="3" t="s">
        <v>35</v>
      </c>
      <c r="C187" s="3" t="s">
        <v>39</v>
      </c>
      <c r="D187" s="3" t="s">
        <v>43</v>
      </c>
      <c r="E187" s="3" t="s">
        <v>25</v>
      </c>
      <c r="F187" s="3" t="s">
        <v>25</v>
      </c>
      <c r="G187" s="3" t="s">
        <v>25</v>
      </c>
      <c r="H187" s="3" t="s">
        <v>37</v>
      </c>
      <c r="I187" s="6">
        <v>44713</v>
      </c>
      <c r="J187" s="4">
        <v>0</v>
      </c>
      <c r="K187" s="4">
        <v>0</v>
      </c>
      <c r="L187" s="4">
        <v>2.8000000000000001E-2</v>
      </c>
      <c r="M187" s="4">
        <v>2.8000000000000001E-2</v>
      </c>
      <c r="N187" s="4">
        <v>2.8000000000000001E-2</v>
      </c>
      <c r="O187" s="4">
        <v>2.8000000000000001E-2</v>
      </c>
      <c r="P187" s="4">
        <v>0</v>
      </c>
      <c r="Q187" s="3" t="s">
        <v>26</v>
      </c>
      <c r="R187" s="3">
        <v>0</v>
      </c>
      <c r="S187" s="4">
        <v>0</v>
      </c>
      <c r="T187" s="4">
        <v>15</v>
      </c>
      <c r="U187" s="4">
        <v>24</v>
      </c>
      <c r="V187" s="4">
        <f>IF(ISERROR(VLOOKUP($S$187,'TAR FIN'!$A$1:$O$86,15,0)),0,VLOOKUP($S$187,'TAR FIN'!$A$1:$O$86,15,0))</f>
        <v>0</v>
      </c>
      <c r="W187" s="4">
        <f>IF(ISERROR(VLOOKUP($T$187,'TAR FIN'!$A$1:$O$86,15,0)),0,VLOOKUP($T$187,'TAR FIN'!$A$1:$O$86,15,0))</f>
        <v>2115.38</v>
      </c>
      <c r="X187" s="4">
        <f>IF(ISERROR(VLOOKUP($U$187,'TAR FIN'!$A$1:$O$86,15,0)),0,VLOOKUP($U$187,'TAR FIN'!$A$1:$O$86,15,0))</f>
        <v>211.54</v>
      </c>
      <c r="Y187" s="4"/>
      <c r="Z187" s="4">
        <f ca="1">('TUSD BE'!$AM$11+'TUSD BF'!$AM$11+'TUSD CVA'!$AM$11)*1</f>
        <v>2284.2159351470723</v>
      </c>
      <c r="AA187" s="4">
        <f>('TE BE'!$AB$5+'TE BF'!$AB$5+'TE CVA'!$AB$5)*1</f>
        <v>196.56876174373542</v>
      </c>
      <c r="AB187" s="4">
        <f>$K$187*$V$187</f>
        <v>0</v>
      </c>
      <c r="AC187" s="4">
        <f>$M$187*$W$187</f>
        <v>59.230640000000001</v>
      </c>
      <c r="AD187" s="4">
        <f>$O$187*$X$187</f>
        <v>5.9231199999999999</v>
      </c>
      <c r="AE187" s="4">
        <f>$K$187*$Y$187</f>
        <v>0</v>
      </c>
      <c r="AF187" s="4">
        <f ca="1">$M$187*$Z$187</f>
        <v>63.958046184118025</v>
      </c>
      <c r="AG187" s="4">
        <f>$O$187*$AA$187</f>
        <v>5.5039253288245922</v>
      </c>
    </row>
    <row r="188" spans="1:33" ht="11.25" customHeight="1" x14ac:dyDescent="0.25">
      <c r="A188" s="3" t="s">
        <v>21</v>
      </c>
      <c r="B188" s="3" t="s">
        <v>35</v>
      </c>
      <c r="C188" s="3" t="s">
        <v>39</v>
      </c>
      <c r="D188" s="3" t="s">
        <v>42</v>
      </c>
      <c r="E188" s="3" t="s">
        <v>49</v>
      </c>
      <c r="F188" s="3" t="s">
        <v>51</v>
      </c>
      <c r="G188" s="3" t="s">
        <v>25</v>
      </c>
      <c r="H188" s="3" t="s">
        <v>38</v>
      </c>
      <c r="I188" s="6">
        <v>44378</v>
      </c>
      <c r="J188" s="4">
        <v>0</v>
      </c>
      <c r="K188" s="4">
        <v>0</v>
      </c>
      <c r="L188" s="4">
        <v>6.8289999999999997</v>
      </c>
      <c r="M188" s="4">
        <v>2.0487000000000002</v>
      </c>
      <c r="N188" s="4">
        <v>6.8289999999999997</v>
      </c>
      <c r="O188" s="4">
        <v>2.0487000000000002</v>
      </c>
      <c r="P188" s="4">
        <v>0</v>
      </c>
      <c r="Q188" s="3" t="s">
        <v>26</v>
      </c>
      <c r="R188" s="3">
        <v>0</v>
      </c>
      <c r="S188" s="4">
        <v>0</v>
      </c>
      <c r="T188" s="4">
        <v>3</v>
      </c>
      <c r="U188" s="4">
        <v>48</v>
      </c>
      <c r="V188" s="4">
        <f>IF(ISERROR(VLOOKUP($S$188,'TAR FIN'!$A$1:$O$86,15,0)),0,VLOOKUP($S$188,'TAR FIN'!$A$1:$O$86,15,0))</f>
        <v>0</v>
      </c>
      <c r="W188" s="4">
        <f>IF(ISERROR(VLOOKUP($T$188,'TAR FIN'!$A$1:$O$86,15,0)),0,VLOOKUP($T$188,'TAR FIN'!$A$1:$O$86,15,0))</f>
        <v>68.55</v>
      </c>
      <c r="X188" s="4">
        <f>IF(ISERROR(VLOOKUP($U$188,'TAR FIN'!$A$1:$O$86,15,0)),0,VLOOKUP($U$188,'TAR FIN'!$A$1:$O$86,15,0))</f>
        <v>211.54</v>
      </c>
      <c r="Y188" s="4"/>
      <c r="Z188" s="4">
        <f ca="1">('TUSD BE'!$AM$12+'TUSD BF'!$AM$12+'TUSD CVA'!$AM$12)*1</f>
        <v>96.693682586652571</v>
      </c>
      <c r="AA188" s="4">
        <f>('TE BE'!$AB$6+'TE BF'!$AB$6+'TE CVA'!$AB$6)*1</f>
        <v>196.56876174373542</v>
      </c>
      <c r="AB188" s="4">
        <f>$K$188*$V$188</f>
        <v>0</v>
      </c>
      <c r="AC188" s="4">
        <f>$M$188*$W$188</f>
        <v>140.43838500000001</v>
      </c>
      <c r="AD188" s="4">
        <f>$O$188*$X$188</f>
        <v>433.38199800000001</v>
      </c>
      <c r="AE188" s="4">
        <f>$K$188*$Y$188</f>
        <v>0</v>
      </c>
      <c r="AF188" s="4">
        <f ca="1">$M$188*$Z$188</f>
        <v>198.09634751527514</v>
      </c>
      <c r="AG188" s="4">
        <f>$O$188*$AA$188</f>
        <v>402.71042218439078</v>
      </c>
    </row>
    <row r="189" spans="1:33" ht="11.25" customHeight="1" x14ac:dyDescent="0.25">
      <c r="A189" s="3" t="s">
        <v>21</v>
      </c>
      <c r="B189" s="3" t="s">
        <v>35</v>
      </c>
      <c r="C189" s="3" t="s">
        <v>39</v>
      </c>
      <c r="D189" s="3" t="s">
        <v>42</v>
      </c>
      <c r="E189" s="3" t="s">
        <v>49</v>
      </c>
      <c r="F189" s="3" t="s">
        <v>51</v>
      </c>
      <c r="G189" s="3" t="s">
        <v>25</v>
      </c>
      <c r="H189" s="3" t="s">
        <v>38</v>
      </c>
      <c r="I189" s="6">
        <v>44409</v>
      </c>
      <c r="J189" s="4">
        <v>0</v>
      </c>
      <c r="K189" s="4">
        <v>0</v>
      </c>
      <c r="L189" s="4">
        <v>10.128</v>
      </c>
      <c r="M189" s="4">
        <v>3.0384000000000002</v>
      </c>
      <c r="N189" s="4">
        <v>10.128</v>
      </c>
      <c r="O189" s="4">
        <v>3.0384000000000002</v>
      </c>
      <c r="P189" s="4">
        <v>0</v>
      </c>
      <c r="Q189" s="3" t="s">
        <v>26</v>
      </c>
      <c r="R189" s="3">
        <v>0</v>
      </c>
      <c r="S189" s="4">
        <v>0</v>
      </c>
      <c r="T189" s="4">
        <v>3</v>
      </c>
      <c r="U189" s="4">
        <v>48</v>
      </c>
      <c r="V189" s="4">
        <f>IF(ISERROR(VLOOKUP($S$189,'TAR FIN'!$A$1:$O$86,15,0)),0,VLOOKUP($S$189,'TAR FIN'!$A$1:$O$86,15,0))</f>
        <v>0</v>
      </c>
      <c r="W189" s="4">
        <f>IF(ISERROR(VLOOKUP($T$189,'TAR FIN'!$A$1:$O$86,15,0)),0,VLOOKUP($T$189,'TAR FIN'!$A$1:$O$86,15,0))</f>
        <v>68.55</v>
      </c>
      <c r="X189" s="4">
        <f>IF(ISERROR(VLOOKUP($U$189,'TAR FIN'!$A$1:$O$86,15,0)),0,VLOOKUP($U$189,'TAR FIN'!$A$1:$O$86,15,0))</f>
        <v>211.54</v>
      </c>
      <c r="Y189" s="4"/>
      <c r="Z189" s="4">
        <f ca="1">('TUSD BE'!$AM$12+'TUSD BF'!$AM$12+'TUSD CVA'!$AM$12)*1</f>
        <v>96.693682586652571</v>
      </c>
      <c r="AA189" s="4">
        <f>('TE BE'!$AB$6+'TE BF'!$AB$6+'TE CVA'!$AB$6)*1</f>
        <v>196.56876174373542</v>
      </c>
      <c r="AB189" s="4">
        <f>$K$189*$V$189</f>
        <v>0</v>
      </c>
      <c r="AC189" s="4">
        <f>$M$189*$W$189</f>
        <v>208.28232</v>
      </c>
      <c r="AD189" s="4">
        <f>$O$189*$X$189</f>
        <v>642.74313600000005</v>
      </c>
      <c r="AE189" s="4">
        <f>$K$189*$Y$189</f>
        <v>0</v>
      </c>
      <c r="AF189" s="4">
        <f ca="1">$M$189*$Z$189</f>
        <v>293.79408517128519</v>
      </c>
      <c r="AG189" s="4">
        <f>$O$189*$AA$189</f>
        <v>597.25452568216576</v>
      </c>
    </row>
    <row r="190" spans="1:33" ht="11.25" customHeight="1" x14ac:dyDescent="0.25">
      <c r="A190" s="3" t="s">
        <v>21</v>
      </c>
      <c r="B190" s="3" t="s">
        <v>35</v>
      </c>
      <c r="C190" s="3" t="s">
        <v>39</v>
      </c>
      <c r="D190" s="3" t="s">
        <v>42</v>
      </c>
      <c r="E190" s="3" t="s">
        <v>49</v>
      </c>
      <c r="F190" s="3" t="s">
        <v>51</v>
      </c>
      <c r="G190" s="3" t="s">
        <v>25</v>
      </c>
      <c r="H190" s="3" t="s">
        <v>38</v>
      </c>
      <c r="I190" s="6">
        <v>44440</v>
      </c>
      <c r="J190" s="4">
        <v>0</v>
      </c>
      <c r="K190" s="4">
        <v>0</v>
      </c>
      <c r="L190" s="4">
        <v>14.759</v>
      </c>
      <c r="M190" s="4">
        <v>4.4276999999999997</v>
      </c>
      <c r="N190" s="4">
        <v>14.759</v>
      </c>
      <c r="O190" s="4">
        <v>4.4276999999999997</v>
      </c>
      <c r="P190" s="4">
        <v>0</v>
      </c>
      <c r="Q190" s="3" t="s">
        <v>26</v>
      </c>
      <c r="R190" s="3">
        <v>0</v>
      </c>
      <c r="S190" s="4">
        <v>0</v>
      </c>
      <c r="T190" s="4">
        <v>3</v>
      </c>
      <c r="U190" s="4">
        <v>48</v>
      </c>
      <c r="V190" s="4">
        <f>IF(ISERROR(VLOOKUP($S$190,'TAR FIN'!$A$1:$O$86,15,0)),0,VLOOKUP($S$190,'TAR FIN'!$A$1:$O$86,15,0))</f>
        <v>0</v>
      </c>
      <c r="W190" s="4">
        <f>IF(ISERROR(VLOOKUP($T$190,'TAR FIN'!$A$1:$O$86,15,0)),0,VLOOKUP($T$190,'TAR FIN'!$A$1:$O$86,15,0))</f>
        <v>68.55</v>
      </c>
      <c r="X190" s="4">
        <f>IF(ISERROR(VLOOKUP($U$190,'TAR FIN'!$A$1:$O$86,15,0)),0,VLOOKUP($U$190,'TAR FIN'!$A$1:$O$86,15,0))</f>
        <v>211.54</v>
      </c>
      <c r="Y190" s="4"/>
      <c r="Z190" s="4">
        <f ca="1">('TUSD BE'!$AM$12+'TUSD BF'!$AM$12+'TUSD CVA'!$AM$12)*1</f>
        <v>96.693682586652571</v>
      </c>
      <c r="AA190" s="4">
        <f>('TE BE'!$AB$6+'TE BF'!$AB$6+'TE CVA'!$AB$6)*1</f>
        <v>196.56876174373542</v>
      </c>
      <c r="AB190" s="4">
        <f>$K$190*$V$190</f>
        <v>0</v>
      </c>
      <c r="AC190" s="4">
        <f>$M$190*$W$190</f>
        <v>303.51883499999997</v>
      </c>
      <c r="AD190" s="4">
        <f>$O$190*$X$190</f>
        <v>936.63565799999992</v>
      </c>
      <c r="AE190" s="4">
        <f>$K$190*$Y$190</f>
        <v>0</v>
      </c>
      <c r="AF190" s="4">
        <f ca="1">$M$190*$Z$190</f>
        <v>428.13061838892156</v>
      </c>
      <c r="AG190" s="4">
        <f>$O$190*$AA$190</f>
        <v>870.34750637273726</v>
      </c>
    </row>
    <row r="191" spans="1:33" ht="11.25" customHeight="1" x14ac:dyDescent="0.25">
      <c r="A191" s="3" t="s">
        <v>21</v>
      </c>
      <c r="B191" s="3" t="s">
        <v>35</v>
      </c>
      <c r="C191" s="3" t="s">
        <v>39</v>
      </c>
      <c r="D191" s="3" t="s">
        <v>42</v>
      </c>
      <c r="E191" s="3" t="s">
        <v>49</v>
      </c>
      <c r="F191" s="3" t="s">
        <v>51</v>
      </c>
      <c r="G191" s="3" t="s">
        <v>25</v>
      </c>
      <c r="H191" s="3" t="s">
        <v>38</v>
      </c>
      <c r="I191" s="6">
        <v>44470</v>
      </c>
      <c r="J191" s="4">
        <v>0</v>
      </c>
      <c r="K191" s="4">
        <v>0</v>
      </c>
      <c r="L191" s="4">
        <v>29.698</v>
      </c>
      <c r="M191" s="4">
        <v>8.9093999999999998</v>
      </c>
      <c r="N191" s="4">
        <v>29.698</v>
      </c>
      <c r="O191" s="4">
        <v>8.9093999999999998</v>
      </c>
      <c r="P191" s="4">
        <v>0</v>
      </c>
      <c r="Q191" s="3" t="s">
        <v>26</v>
      </c>
      <c r="R191" s="3">
        <v>0</v>
      </c>
      <c r="S191" s="4">
        <v>0</v>
      </c>
      <c r="T191" s="4">
        <v>3</v>
      </c>
      <c r="U191" s="4">
        <v>48</v>
      </c>
      <c r="V191" s="4">
        <f>IF(ISERROR(VLOOKUP($S$191,'TAR FIN'!$A$1:$O$86,15,0)),0,VLOOKUP($S$191,'TAR FIN'!$A$1:$O$86,15,0))</f>
        <v>0</v>
      </c>
      <c r="W191" s="4">
        <f>IF(ISERROR(VLOOKUP($T$191,'TAR FIN'!$A$1:$O$86,15,0)),0,VLOOKUP($T$191,'TAR FIN'!$A$1:$O$86,15,0))</f>
        <v>68.55</v>
      </c>
      <c r="X191" s="4">
        <f>IF(ISERROR(VLOOKUP($U$191,'TAR FIN'!$A$1:$O$86,15,0)),0,VLOOKUP($U$191,'TAR FIN'!$A$1:$O$86,15,0))</f>
        <v>211.54</v>
      </c>
      <c r="Y191" s="4"/>
      <c r="Z191" s="4">
        <f ca="1">('TUSD BE'!$AM$12+'TUSD BF'!$AM$12+'TUSD CVA'!$AM$12)*1</f>
        <v>96.693682586652571</v>
      </c>
      <c r="AA191" s="4">
        <f>('TE BE'!$AB$6+'TE BF'!$AB$6+'TE CVA'!$AB$6)*1</f>
        <v>196.56876174373542</v>
      </c>
      <c r="AB191" s="4">
        <f>$K$191*$V$191</f>
        <v>0</v>
      </c>
      <c r="AC191" s="4">
        <f>$M$191*$W$191</f>
        <v>610.73937000000001</v>
      </c>
      <c r="AD191" s="4">
        <f>$O$191*$X$191</f>
        <v>1884.6944759999999</v>
      </c>
      <c r="AE191" s="4">
        <f>$K$191*$Y$191</f>
        <v>0</v>
      </c>
      <c r="AF191" s="4">
        <f ca="1">$M$191*$Z$191</f>
        <v>861.4826956375224</v>
      </c>
      <c r="AG191" s="4">
        <f>$O$191*$AA$191</f>
        <v>1751.3097258796363</v>
      </c>
    </row>
    <row r="192" spans="1:33" ht="11.25" customHeight="1" x14ac:dyDescent="0.25">
      <c r="A192" s="3" t="s">
        <v>21</v>
      </c>
      <c r="B192" s="3" t="s">
        <v>35</v>
      </c>
      <c r="C192" s="3" t="s">
        <v>39</v>
      </c>
      <c r="D192" s="3" t="s">
        <v>42</v>
      </c>
      <c r="E192" s="3" t="s">
        <v>49</v>
      </c>
      <c r="F192" s="3" t="s">
        <v>51</v>
      </c>
      <c r="G192" s="3" t="s">
        <v>25</v>
      </c>
      <c r="H192" s="3" t="s">
        <v>38</v>
      </c>
      <c r="I192" s="6">
        <v>44501</v>
      </c>
      <c r="J192" s="4">
        <v>0</v>
      </c>
      <c r="K192" s="4">
        <v>0</v>
      </c>
      <c r="L192" s="4">
        <v>118.98</v>
      </c>
      <c r="M192" s="4">
        <v>35.694000000000003</v>
      </c>
      <c r="N192" s="4">
        <v>118.98</v>
      </c>
      <c r="O192" s="4">
        <v>35.694000000000003</v>
      </c>
      <c r="P192" s="4">
        <v>0</v>
      </c>
      <c r="Q192" s="3" t="s">
        <v>26</v>
      </c>
      <c r="R192" s="3">
        <v>0</v>
      </c>
      <c r="S192" s="4">
        <v>0</v>
      </c>
      <c r="T192" s="4">
        <v>3</v>
      </c>
      <c r="U192" s="4">
        <v>48</v>
      </c>
      <c r="V192" s="4">
        <f>IF(ISERROR(VLOOKUP($S$192,'TAR FIN'!$A$1:$O$86,15,0)),0,VLOOKUP($S$192,'TAR FIN'!$A$1:$O$86,15,0))</f>
        <v>0</v>
      </c>
      <c r="W192" s="4">
        <f>IF(ISERROR(VLOOKUP($T$192,'TAR FIN'!$A$1:$O$86,15,0)),0,VLOOKUP($T$192,'TAR FIN'!$A$1:$O$86,15,0))</f>
        <v>68.55</v>
      </c>
      <c r="X192" s="4">
        <f>IF(ISERROR(VLOOKUP($U$192,'TAR FIN'!$A$1:$O$86,15,0)),0,VLOOKUP($U$192,'TAR FIN'!$A$1:$O$86,15,0))</f>
        <v>211.54</v>
      </c>
      <c r="Y192" s="4"/>
      <c r="Z192" s="4">
        <f ca="1">('TUSD BE'!$AM$12+'TUSD BF'!$AM$12+'TUSD CVA'!$AM$12)*1</f>
        <v>96.693682586652571</v>
      </c>
      <c r="AA192" s="4">
        <f>('TE BE'!$AB$6+'TE BF'!$AB$6+'TE CVA'!$AB$6)*1</f>
        <v>196.56876174373542</v>
      </c>
      <c r="AB192" s="4">
        <f>$K$192*$V$192</f>
        <v>0</v>
      </c>
      <c r="AC192" s="4">
        <f>$M$192*$W$192</f>
        <v>2446.8236999999999</v>
      </c>
      <c r="AD192" s="4">
        <f>$O$192*$X$192</f>
        <v>7550.7087600000004</v>
      </c>
      <c r="AE192" s="4">
        <f>$K$192*$Y$192</f>
        <v>0</v>
      </c>
      <c r="AF192" s="4">
        <f ca="1">$M$192*$Z$192</f>
        <v>3451.3843062479773</v>
      </c>
      <c r="AG192" s="4">
        <f>$O$192*$AA$192</f>
        <v>7016.3253816808929</v>
      </c>
    </row>
    <row r="193" spans="1:33" ht="11.25" customHeight="1" x14ac:dyDescent="0.25">
      <c r="A193" s="3" t="s">
        <v>21</v>
      </c>
      <c r="B193" s="3" t="s">
        <v>35</v>
      </c>
      <c r="C193" s="3" t="s">
        <v>39</v>
      </c>
      <c r="D193" s="3" t="s">
        <v>42</v>
      </c>
      <c r="E193" s="3" t="s">
        <v>49</v>
      </c>
      <c r="F193" s="3" t="s">
        <v>51</v>
      </c>
      <c r="G193" s="3" t="s">
        <v>25</v>
      </c>
      <c r="H193" s="3" t="s">
        <v>38</v>
      </c>
      <c r="I193" s="6">
        <v>44531</v>
      </c>
      <c r="J193" s="4">
        <v>0</v>
      </c>
      <c r="K193" s="4">
        <v>0</v>
      </c>
      <c r="L193" s="4">
        <v>132.64500000000001</v>
      </c>
      <c r="M193" s="4">
        <v>39.793500000000002</v>
      </c>
      <c r="N193" s="4">
        <v>132.64500000000001</v>
      </c>
      <c r="O193" s="4">
        <v>39.793500000000002</v>
      </c>
      <c r="P193" s="4">
        <v>0</v>
      </c>
      <c r="Q193" s="3" t="s">
        <v>26</v>
      </c>
      <c r="R193" s="3">
        <v>0</v>
      </c>
      <c r="S193" s="4">
        <v>0</v>
      </c>
      <c r="T193" s="4">
        <v>3</v>
      </c>
      <c r="U193" s="4">
        <v>48</v>
      </c>
      <c r="V193" s="4">
        <f>IF(ISERROR(VLOOKUP($S$193,'TAR FIN'!$A$1:$O$86,15,0)),0,VLOOKUP($S$193,'TAR FIN'!$A$1:$O$86,15,0))</f>
        <v>0</v>
      </c>
      <c r="W193" s="4">
        <f>IF(ISERROR(VLOOKUP($T$193,'TAR FIN'!$A$1:$O$86,15,0)),0,VLOOKUP($T$193,'TAR FIN'!$A$1:$O$86,15,0))</f>
        <v>68.55</v>
      </c>
      <c r="X193" s="4">
        <f>IF(ISERROR(VLOOKUP($U$193,'TAR FIN'!$A$1:$O$86,15,0)),0,VLOOKUP($U$193,'TAR FIN'!$A$1:$O$86,15,0))</f>
        <v>211.54</v>
      </c>
      <c r="Y193" s="4"/>
      <c r="Z193" s="4">
        <f ca="1">('TUSD BE'!$AM$12+'TUSD BF'!$AM$12+'TUSD CVA'!$AM$12)*1</f>
        <v>96.693682586652571</v>
      </c>
      <c r="AA193" s="4">
        <f>('TE BE'!$AB$6+'TE BF'!$AB$6+'TE CVA'!$AB$6)*1</f>
        <v>196.56876174373542</v>
      </c>
      <c r="AB193" s="4">
        <f>$K$193*$V$193</f>
        <v>0</v>
      </c>
      <c r="AC193" s="4">
        <f>$M$193*$W$193</f>
        <v>2727.8444249999998</v>
      </c>
      <c r="AD193" s="4">
        <f>$O$193*$X$193</f>
        <v>8417.9169899999997</v>
      </c>
      <c r="AE193" s="4">
        <f>$K$193*$Y$193</f>
        <v>0</v>
      </c>
      <c r="AF193" s="4">
        <f ca="1">$M$193*$Z$193</f>
        <v>3847.7800580119592</v>
      </c>
      <c r="AG193" s="4">
        <f>$O$193*$AA$193</f>
        <v>7822.1590204493359</v>
      </c>
    </row>
    <row r="194" spans="1:33" ht="11.25" customHeight="1" x14ac:dyDescent="0.25">
      <c r="A194" s="3" t="s">
        <v>21</v>
      </c>
      <c r="B194" s="3" t="s">
        <v>35</v>
      </c>
      <c r="C194" s="3" t="s">
        <v>39</v>
      </c>
      <c r="D194" s="3" t="s">
        <v>42</v>
      </c>
      <c r="E194" s="3" t="s">
        <v>49</v>
      </c>
      <c r="F194" s="3" t="s">
        <v>51</v>
      </c>
      <c r="G194" s="3" t="s">
        <v>25</v>
      </c>
      <c r="H194" s="3" t="s">
        <v>38</v>
      </c>
      <c r="I194" s="6">
        <v>44562</v>
      </c>
      <c r="J194" s="4">
        <v>0</v>
      </c>
      <c r="K194" s="4">
        <v>0</v>
      </c>
      <c r="L194" s="4">
        <v>39.817</v>
      </c>
      <c r="M194" s="4">
        <v>11.9451</v>
      </c>
      <c r="N194" s="4">
        <v>39.817</v>
      </c>
      <c r="O194" s="4">
        <v>11.9451</v>
      </c>
      <c r="P194" s="4">
        <v>0</v>
      </c>
      <c r="Q194" s="3" t="s">
        <v>26</v>
      </c>
      <c r="R194" s="3">
        <v>0</v>
      </c>
      <c r="S194" s="4">
        <v>0</v>
      </c>
      <c r="T194" s="4">
        <v>3</v>
      </c>
      <c r="U194" s="4">
        <v>48</v>
      </c>
      <c r="V194" s="4">
        <f>IF(ISERROR(VLOOKUP($S$194,'TAR FIN'!$A$1:$O$86,15,0)),0,VLOOKUP($S$194,'TAR FIN'!$A$1:$O$86,15,0))</f>
        <v>0</v>
      </c>
      <c r="W194" s="4">
        <f>IF(ISERROR(VLOOKUP($T$194,'TAR FIN'!$A$1:$O$86,15,0)),0,VLOOKUP($T$194,'TAR FIN'!$A$1:$O$86,15,0))</f>
        <v>68.55</v>
      </c>
      <c r="X194" s="4">
        <f>IF(ISERROR(VLOOKUP($U$194,'TAR FIN'!$A$1:$O$86,15,0)),0,VLOOKUP($U$194,'TAR FIN'!$A$1:$O$86,15,0))</f>
        <v>211.54</v>
      </c>
      <c r="Y194" s="4"/>
      <c r="Z194" s="4">
        <f ca="1">('TUSD BE'!$AM$12+'TUSD BF'!$AM$12+'TUSD CVA'!$AM$12)*1</f>
        <v>96.693682586652571</v>
      </c>
      <c r="AA194" s="4">
        <f>('TE BE'!$AB$6+'TE BF'!$AB$6+'TE CVA'!$AB$6)*1</f>
        <v>196.56876174373542</v>
      </c>
      <c r="AB194" s="4">
        <f>$K$194*$V$194</f>
        <v>0</v>
      </c>
      <c r="AC194" s="4">
        <f>$M$194*$W$194</f>
        <v>818.83660499999996</v>
      </c>
      <c r="AD194" s="4">
        <f>$O$194*$X$194</f>
        <v>2526.866454</v>
      </c>
      <c r="AE194" s="4">
        <f>$K$194*$Y$194</f>
        <v>0</v>
      </c>
      <c r="AF194" s="4">
        <f ca="1">$M$194*$Z$194</f>
        <v>1155.0157078658237</v>
      </c>
      <c r="AG194" s="4">
        <f>$O$194*$AA$194</f>
        <v>2348.0335159050942</v>
      </c>
    </row>
    <row r="195" spans="1:33" ht="11.25" customHeight="1" x14ac:dyDescent="0.25">
      <c r="A195" s="3" t="s">
        <v>21</v>
      </c>
      <c r="B195" s="3" t="s">
        <v>35</v>
      </c>
      <c r="C195" s="3" t="s">
        <v>39</v>
      </c>
      <c r="D195" s="3" t="s">
        <v>42</v>
      </c>
      <c r="E195" s="3" t="s">
        <v>49</v>
      </c>
      <c r="F195" s="3" t="s">
        <v>51</v>
      </c>
      <c r="G195" s="3" t="s">
        <v>25</v>
      </c>
      <c r="H195" s="3" t="s">
        <v>38</v>
      </c>
      <c r="I195" s="6">
        <v>44593</v>
      </c>
      <c r="J195" s="4">
        <v>0</v>
      </c>
      <c r="K195" s="4">
        <v>0</v>
      </c>
      <c r="L195" s="4">
        <v>56.661999999999999</v>
      </c>
      <c r="M195" s="4">
        <v>16.9986</v>
      </c>
      <c r="N195" s="4">
        <v>56.661999999999999</v>
      </c>
      <c r="O195" s="4">
        <v>16.9986</v>
      </c>
      <c r="P195" s="4">
        <v>0</v>
      </c>
      <c r="Q195" s="3" t="s">
        <v>26</v>
      </c>
      <c r="R195" s="3">
        <v>0</v>
      </c>
      <c r="S195" s="4">
        <v>0</v>
      </c>
      <c r="T195" s="4">
        <v>3</v>
      </c>
      <c r="U195" s="4">
        <v>48</v>
      </c>
      <c r="V195" s="4">
        <f>IF(ISERROR(VLOOKUP($S$195,'TAR FIN'!$A$1:$O$86,15,0)),0,VLOOKUP($S$195,'TAR FIN'!$A$1:$O$86,15,0))</f>
        <v>0</v>
      </c>
      <c r="W195" s="4">
        <f>IF(ISERROR(VLOOKUP($T$195,'TAR FIN'!$A$1:$O$86,15,0)),0,VLOOKUP($T$195,'TAR FIN'!$A$1:$O$86,15,0))</f>
        <v>68.55</v>
      </c>
      <c r="X195" s="4">
        <f>IF(ISERROR(VLOOKUP($U$195,'TAR FIN'!$A$1:$O$86,15,0)),0,VLOOKUP($U$195,'TAR FIN'!$A$1:$O$86,15,0))</f>
        <v>211.54</v>
      </c>
      <c r="Y195" s="4"/>
      <c r="Z195" s="4">
        <f ca="1">('TUSD BE'!$AM$12+'TUSD BF'!$AM$12+'TUSD CVA'!$AM$12)*1</f>
        <v>96.693682586652571</v>
      </c>
      <c r="AA195" s="4">
        <f>('TE BE'!$AB$6+'TE BF'!$AB$6+'TE CVA'!$AB$6)*1</f>
        <v>196.56876174373542</v>
      </c>
      <c r="AB195" s="4">
        <f>$K$195*$V$195</f>
        <v>0</v>
      </c>
      <c r="AC195" s="4">
        <f>$M$195*$W$195</f>
        <v>1165.2540299999998</v>
      </c>
      <c r="AD195" s="4">
        <f>$O$195*$X$195</f>
        <v>3595.883844</v>
      </c>
      <c r="AE195" s="4">
        <f>$K$195*$Y$195</f>
        <v>0</v>
      </c>
      <c r="AF195" s="4">
        <f ca="1">$M$195*$Z$195</f>
        <v>1643.6572328174723</v>
      </c>
      <c r="AG195" s="4">
        <f>$O$195*$AA$195</f>
        <v>3341.3937533770609</v>
      </c>
    </row>
    <row r="196" spans="1:33" ht="11.25" customHeight="1" x14ac:dyDescent="0.25">
      <c r="A196" s="3" t="s">
        <v>21</v>
      </c>
      <c r="B196" s="3" t="s">
        <v>35</v>
      </c>
      <c r="C196" s="3" t="s">
        <v>39</v>
      </c>
      <c r="D196" s="3" t="s">
        <v>42</v>
      </c>
      <c r="E196" s="3" t="s">
        <v>49</v>
      </c>
      <c r="F196" s="3" t="s">
        <v>51</v>
      </c>
      <c r="G196" s="3" t="s">
        <v>25</v>
      </c>
      <c r="H196" s="3" t="s">
        <v>38</v>
      </c>
      <c r="I196" s="6">
        <v>44621</v>
      </c>
      <c r="J196" s="4">
        <v>0</v>
      </c>
      <c r="K196" s="4">
        <v>0</v>
      </c>
      <c r="L196" s="4">
        <v>29.236000000000001</v>
      </c>
      <c r="M196" s="4">
        <v>8.7707999999999995</v>
      </c>
      <c r="N196" s="4">
        <v>29.236000000000001</v>
      </c>
      <c r="O196" s="4">
        <v>8.7707999999999995</v>
      </c>
      <c r="P196" s="4">
        <v>0</v>
      </c>
      <c r="Q196" s="3" t="s">
        <v>26</v>
      </c>
      <c r="R196" s="3">
        <v>0</v>
      </c>
      <c r="S196" s="4">
        <v>0</v>
      </c>
      <c r="T196" s="4">
        <v>3</v>
      </c>
      <c r="U196" s="4">
        <v>48</v>
      </c>
      <c r="V196" s="4">
        <f>IF(ISERROR(VLOOKUP($S$196,'TAR FIN'!$A$1:$O$86,15,0)),0,VLOOKUP($S$196,'TAR FIN'!$A$1:$O$86,15,0))</f>
        <v>0</v>
      </c>
      <c r="W196" s="4">
        <f>IF(ISERROR(VLOOKUP($T$196,'TAR FIN'!$A$1:$O$86,15,0)),0,VLOOKUP($T$196,'TAR FIN'!$A$1:$O$86,15,0))</f>
        <v>68.55</v>
      </c>
      <c r="X196" s="4">
        <f>IF(ISERROR(VLOOKUP($U$196,'TAR FIN'!$A$1:$O$86,15,0)),0,VLOOKUP($U$196,'TAR FIN'!$A$1:$O$86,15,0))</f>
        <v>211.54</v>
      </c>
      <c r="Y196" s="4"/>
      <c r="Z196" s="4">
        <f ca="1">('TUSD BE'!$AM$12+'TUSD BF'!$AM$12+'TUSD CVA'!$AM$12)*1</f>
        <v>96.693682586652571</v>
      </c>
      <c r="AA196" s="4">
        <f>('TE BE'!$AB$6+'TE BF'!$AB$6+'TE CVA'!$AB$6)*1</f>
        <v>196.56876174373542</v>
      </c>
      <c r="AB196" s="4">
        <f>$K$196*$V$196</f>
        <v>0</v>
      </c>
      <c r="AC196" s="4">
        <f>$M$196*$W$196</f>
        <v>601.23833999999999</v>
      </c>
      <c r="AD196" s="4">
        <f>$O$196*$X$196</f>
        <v>1855.3750319999999</v>
      </c>
      <c r="AE196" s="4">
        <f>$K$196*$Y$196</f>
        <v>0</v>
      </c>
      <c r="AF196" s="4">
        <f ca="1">$M$196*$Z$196</f>
        <v>848.08095123101236</v>
      </c>
      <c r="AG196" s="4">
        <f>$O$196*$AA$196</f>
        <v>1724.0652955019546</v>
      </c>
    </row>
    <row r="197" spans="1:33" ht="11.25" customHeight="1" x14ac:dyDescent="0.25">
      <c r="A197" s="3" t="s">
        <v>21</v>
      </c>
      <c r="B197" s="3" t="s">
        <v>35</v>
      </c>
      <c r="C197" s="3" t="s">
        <v>39</v>
      </c>
      <c r="D197" s="3" t="s">
        <v>42</v>
      </c>
      <c r="E197" s="3" t="s">
        <v>49</v>
      </c>
      <c r="F197" s="3" t="s">
        <v>51</v>
      </c>
      <c r="G197" s="3" t="s">
        <v>25</v>
      </c>
      <c r="H197" s="3" t="s">
        <v>38</v>
      </c>
      <c r="I197" s="6">
        <v>44652</v>
      </c>
      <c r="J197" s="4">
        <v>0</v>
      </c>
      <c r="K197" s="4">
        <v>0</v>
      </c>
      <c r="L197" s="4">
        <v>17.074000000000002</v>
      </c>
      <c r="M197" s="4">
        <v>5.1222000000000003</v>
      </c>
      <c r="N197" s="4">
        <v>17.074000000000002</v>
      </c>
      <c r="O197" s="4">
        <v>5.1222000000000003</v>
      </c>
      <c r="P197" s="4">
        <v>0</v>
      </c>
      <c r="Q197" s="3" t="s">
        <v>26</v>
      </c>
      <c r="R197" s="3">
        <v>0</v>
      </c>
      <c r="S197" s="4">
        <v>0</v>
      </c>
      <c r="T197" s="4">
        <v>3</v>
      </c>
      <c r="U197" s="4">
        <v>48</v>
      </c>
      <c r="V197" s="4">
        <f>IF(ISERROR(VLOOKUP($S$197,'TAR FIN'!$A$1:$O$86,15,0)),0,VLOOKUP($S$197,'TAR FIN'!$A$1:$O$86,15,0))</f>
        <v>0</v>
      </c>
      <c r="W197" s="4">
        <f>IF(ISERROR(VLOOKUP($T$197,'TAR FIN'!$A$1:$O$86,15,0)),0,VLOOKUP($T$197,'TAR FIN'!$A$1:$O$86,15,0))</f>
        <v>68.55</v>
      </c>
      <c r="X197" s="4">
        <f>IF(ISERROR(VLOOKUP($U$197,'TAR FIN'!$A$1:$O$86,15,0)),0,VLOOKUP($U$197,'TAR FIN'!$A$1:$O$86,15,0))</f>
        <v>211.54</v>
      </c>
      <c r="Y197" s="4"/>
      <c r="Z197" s="4">
        <f ca="1">('TUSD BE'!$AM$12+'TUSD BF'!$AM$12+'TUSD CVA'!$AM$12)*1</f>
        <v>96.693682586652571</v>
      </c>
      <c r="AA197" s="4">
        <f>('TE BE'!$AB$6+'TE BF'!$AB$6+'TE CVA'!$AB$6)*1</f>
        <v>196.56876174373542</v>
      </c>
      <c r="AB197" s="4">
        <f>$K$197*$V$197</f>
        <v>0</v>
      </c>
      <c r="AC197" s="4">
        <f>$M$197*$W$197</f>
        <v>351.12681000000003</v>
      </c>
      <c r="AD197" s="4">
        <f>$O$197*$X$197</f>
        <v>1083.5501879999999</v>
      </c>
      <c r="AE197" s="4">
        <f>$K$197*$Y$197</f>
        <v>0</v>
      </c>
      <c r="AF197" s="4">
        <f ca="1">$M$197*$Z$197</f>
        <v>495.28438094535181</v>
      </c>
      <c r="AG197" s="4">
        <f>$O$197*$AA$197</f>
        <v>1006.8645114037616</v>
      </c>
    </row>
    <row r="198" spans="1:33" ht="11.25" customHeight="1" x14ac:dyDescent="0.25">
      <c r="A198" s="3" t="s">
        <v>21</v>
      </c>
      <c r="B198" s="3" t="s">
        <v>35</v>
      </c>
      <c r="C198" s="3" t="s">
        <v>39</v>
      </c>
      <c r="D198" s="3" t="s">
        <v>42</v>
      </c>
      <c r="E198" s="3" t="s">
        <v>49</v>
      </c>
      <c r="F198" s="3" t="s">
        <v>51</v>
      </c>
      <c r="G198" s="3" t="s">
        <v>25</v>
      </c>
      <c r="H198" s="3" t="s">
        <v>38</v>
      </c>
      <c r="I198" s="6">
        <v>44682</v>
      </c>
      <c r="J198" s="4">
        <v>0</v>
      </c>
      <c r="K198" s="4">
        <v>0</v>
      </c>
      <c r="L198" s="4">
        <v>1.331</v>
      </c>
      <c r="M198" s="4">
        <v>0.39929999999999999</v>
      </c>
      <c r="N198" s="4">
        <v>1.331</v>
      </c>
      <c r="O198" s="4">
        <v>0.39929999999999999</v>
      </c>
      <c r="P198" s="4">
        <v>0</v>
      </c>
      <c r="Q198" s="3" t="s">
        <v>26</v>
      </c>
      <c r="R198" s="3">
        <v>0</v>
      </c>
      <c r="S198" s="4">
        <v>0</v>
      </c>
      <c r="T198" s="4">
        <v>3</v>
      </c>
      <c r="U198" s="4">
        <v>48</v>
      </c>
      <c r="V198" s="4">
        <f>IF(ISERROR(VLOOKUP($S$198,'TAR FIN'!$A$1:$O$86,15,0)),0,VLOOKUP($S$198,'TAR FIN'!$A$1:$O$86,15,0))</f>
        <v>0</v>
      </c>
      <c r="W198" s="4">
        <f>IF(ISERROR(VLOOKUP($T$198,'TAR FIN'!$A$1:$O$86,15,0)),0,VLOOKUP($T$198,'TAR FIN'!$A$1:$O$86,15,0))</f>
        <v>68.55</v>
      </c>
      <c r="X198" s="4">
        <f>IF(ISERROR(VLOOKUP($U$198,'TAR FIN'!$A$1:$O$86,15,0)),0,VLOOKUP($U$198,'TAR FIN'!$A$1:$O$86,15,0))</f>
        <v>211.54</v>
      </c>
      <c r="Y198" s="4"/>
      <c r="Z198" s="4">
        <f ca="1">('TUSD BE'!$AM$12+'TUSD BF'!$AM$12+'TUSD CVA'!$AM$12)*1</f>
        <v>96.693682586652571</v>
      </c>
      <c r="AA198" s="4">
        <f>('TE BE'!$AB$6+'TE BF'!$AB$6+'TE CVA'!$AB$6)*1</f>
        <v>196.56876174373542</v>
      </c>
      <c r="AB198" s="4">
        <f>$K$198*$V$198</f>
        <v>0</v>
      </c>
      <c r="AC198" s="4">
        <f>$M$198*$W$198</f>
        <v>27.372014999999998</v>
      </c>
      <c r="AD198" s="4">
        <f>$O$198*$X$198</f>
        <v>84.467921999999987</v>
      </c>
      <c r="AE198" s="4">
        <f>$K$198*$Y$198</f>
        <v>0</v>
      </c>
      <c r="AF198" s="4">
        <f ca="1">$M$198*$Z$198</f>
        <v>38.60978745685037</v>
      </c>
      <c r="AG198" s="4">
        <f>$O$198*$AA$198</f>
        <v>78.489906564273554</v>
      </c>
    </row>
    <row r="199" spans="1:33" ht="11.25" customHeight="1" x14ac:dyDescent="0.25">
      <c r="A199" s="3" t="s">
        <v>21</v>
      </c>
      <c r="B199" s="3" t="s">
        <v>35</v>
      </c>
      <c r="C199" s="3" t="s">
        <v>39</v>
      </c>
      <c r="D199" s="3" t="s">
        <v>42</v>
      </c>
      <c r="E199" s="3" t="s">
        <v>49</v>
      </c>
      <c r="F199" s="3" t="s">
        <v>51</v>
      </c>
      <c r="G199" s="3" t="s">
        <v>25</v>
      </c>
      <c r="H199" s="3" t="s">
        <v>38</v>
      </c>
      <c r="I199" s="6">
        <v>44713</v>
      </c>
      <c r="J199" s="4">
        <v>0</v>
      </c>
      <c r="K199" s="4">
        <v>0</v>
      </c>
      <c r="L199" s="4">
        <v>1.8080000000000001</v>
      </c>
      <c r="M199" s="4">
        <v>0.54239999999999999</v>
      </c>
      <c r="N199" s="4">
        <v>1.8080000000000001</v>
      </c>
      <c r="O199" s="4">
        <v>0.54239999999999999</v>
      </c>
      <c r="P199" s="4">
        <v>0</v>
      </c>
      <c r="Q199" s="3" t="s">
        <v>26</v>
      </c>
      <c r="R199" s="3">
        <v>0</v>
      </c>
      <c r="S199" s="4">
        <v>0</v>
      </c>
      <c r="T199" s="4">
        <v>3</v>
      </c>
      <c r="U199" s="4">
        <v>48</v>
      </c>
      <c r="V199" s="4">
        <f>IF(ISERROR(VLOOKUP($S$199,'TAR FIN'!$A$1:$O$86,15,0)),0,VLOOKUP($S$199,'TAR FIN'!$A$1:$O$86,15,0))</f>
        <v>0</v>
      </c>
      <c r="W199" s="4">
        <f>IF(ISERROR(VLOOKUP($T$199,'TAR FIN'!$A$1:$O$86,15,0)),0,VLOOKUP($T$199,'TAR FIN'!$A$1:$O$86,15,0))</f>
        <v>68.55</v>
      </c>
      <c r="X199" s="4">
        <f>IF(ISERROR(VLOOKUP($U$199,'TAR FIN'!$A$1:$O$86,15,0)),0,VLOOKUP($U$199,'TAR FIN'!$A$1:$O$86,15,0))</f>
        <v>211.54</v>
      </c>
      <c r="Y199" s="4"/>
      <c r="Z199" s="4">
        <f ca="1">('TUSD BE'!$AM$12+'TUSD BF'!$AM$12+'TUSD CVA'!$AM$12)*1</f>
        <v>96.693682586652571</v>
      </c>
      <c r="AA199" s="4">
        <f>('TE BE'!$AB$6+'TE BF'!$AB$6+'TE CVA'!$AB$6)*1</f>
        <v>196.56876174373542</v>
      </c>
      <c r="AB199" s="4">
        <f>$K$199*$V$199</f>
        <v>0</v>
      </c>
      <c r="AC199" s="4">
        <f>$M$199*$W$199</f>
        <v>37.181519999999999</v>
      </c>
      <c r="AD199" s="4">
        <f>$O$199*$X$199</f>
        <v>114.739296</v>
      </c>
      <c r="AE199" s="4">
        <f>$K$199*$Y$199</f>
        <v>0</v>
      </c>
      <c r="AF199" s="4">
        <f ca="1">$M$199*$Z$199</f>
        <v>52.446653435000357</v>
      </c>
      <c r="AG199" s="4">
        <f>$O$199*$AA$199</f>
        <v>106.61889636980209</v>
      </c>
    </row>
    <row r="200" spans="1:33" ht="11.25" customHeight="1" x14ac:dyDescent="0.25">
      <c r="A200" s="3" t="s">
        <v>21</v>
      </c>
      <c r="B200" s="3" t="s">
        <v>35</v>
      </c>
      <c r="C200" s="3" t="s">
        <v>39</v>
      </c>
      <c r="D200" s="3" t="s">
        <v>42</v>
      </c>
      <c r="E200" s="3" t="s">
        <v>49</v>
      </c>
      <c r="F200" s="3" t="s">
        <v>25</v>
      </c>
      <c r="G200" s="3" t="s">
        <v>25</v>
      </c>
      <c r="H200" s="3" t="s">
        <v>38</v>
      </c>
      <c r="I200" s="6">
        <v>44378</v>
      </c>
      <c r="J200" s="4">
        <v>0</v>
      </c>
      <c r="K200" s="58">
        <v>0</v>
      </c>
      <c r="L200" s="4">
        <v>0.82499999999999996</v>
      </c>
      <c r="M200" s="58">
        <v>0.82499999999999996</v>
      </c>
      <c r="N200" s="4">
        <v>0.82499999999999996</v>
      </c>
      <c r="O200" s="58">
        <v>0.82499999999999996</v>
      </c>
      <c r="P200" s="4">
        <v>0</v>
      </c>
      <c r="Q200" s="3" t="s">
        <v>26</v>
      </c>
      <c r="R200" s="3">
        <v>0</v>
      </c>
      <c r="S200" s="4">
        <v>0</v>
      </c>
      <c r="T200" s="4">
        <v>3</v>
      </c>
      <c r="U200" s="4">
        <v>48</v>
      </c>
      <c r="V200" s="58">
        <f>IF(ISERROR(VLOOKUP($S$200,'TAR FIN'!$A$1:$O$86,15,0)),0,VLOOKUP($S$200,'TAR FIN'!$A$1:$O$86,15,0))</f>
        <v>0</v>
      </c>
      <c r="W200" s="58">
        <f>IF(ISERROR(VLOOKUP($T$200,'TAR FIN'!$A$1:$O$86,15,0)),0,VLOOKUP($T$200,'TAR FIN'!$A$1:$O$86,15,0))*(1-0.04)</f>
        <v>65.807999999999993</v>
      </c>
      <c r="X200" s="58">
        <f>IF(ISERROR(VLOOKUP($U$200,'TAR FIN'!$A$1:$O$86,15,0)),0,VLOOKUP($U$200,'TAR FIN'!$A$1:$O$86,15,0))*(1-0.04)</f>
        <v>203.07839999999999</v>
      </c>
      <c r="Y200" s="58"/>
      <c r="Z200" s="58">
        <f ca="1">('TUSD BE'!$AM$12+'TUSD BF'!$AM$12+'TUSD CVA'!$AM$12)*1*(1-0.02)</f>
        <v>94.759808934919519</v>
      </c>
      <c r="AA200" s="58">
        <f>('TE BE'!$AB$6+'TE BF'!$AB$6+'TE CVA'!$AB$6)*1*(1-0.02)</f>
        <v>192.63738650886071</v>
      </c>
      <c r="AB200" s="4">
        <f>$K$200*$V$200</f>
        <v>0</v>
      </c>
      <c r="AC200" s="4">
        <f>$M$200*$W$200</f>
        <v>54.291599999999988</v>
      </c>
      <c r="AD200" s="4">
        <f>$O$200*$X$200</f>
        <v>167.53967999999998</v>
      </c>
      <c r="AE200" s="4">
        <f>$K$200*$Y$200</f>
        <v>0</v>
      </c>
      <c r="AF200" s="4">
        <f ca="1">$M$200*$Z$200</f>
        <v>78.176842371308595</v>
      </c>
      <c r="AG200" s="4">
        <f>$O$200*$AA$200</f>
        <v>158.92584386981008</v>
      </c>
    </row>
    <row r="201" spans="1:33" ht="11.25" customHeight="1" x14ac:dyDescent="0.25">
      <c r="A201" s="3" t="s">
        <v>21</v>
      </c>
      <c r="B201" s="3" t="s">
        <v>35</v>
      </c>
      <c r="C201" s="3" t="s">
        <v>39</v>
      </c>
      <c r="D201" s="3" t="s">
        <v>42</v>
      </c>
      <c r="E201" s="3" t="s">
        <v>49</v>
      </c>
      <c r="F201" s="3" t="s">
        <v>25</v>
      </c>
      <c r="G201" s="3" t="s">
        <v>25</v>
      </c>
      <c r="H201" s="3" t="s">
        <v>38</v>
      </c>
      <c r="I201" s="6">
        <v>44409</v>
      </c>
      <c r="J201" s="4">
        <v>0</v>
      </c>
      <c r="K201" s="58">
        <v>0</v>
      </c>
      <c r="L201" s="4">
        <v>1.7729999999999999</v>
      </c>
      <c r="M201" s="58">
        <v>1.7729999999999999</v>
      </c>
      <c r="N201" s="4">
        <v>1.7729999999999999</v>
      </c>
      <c r="O201" s="58">
        <v>1.7729999999999999</v>
      </c>
      <c r="P201" s="4">
        <v>0</v>
      </c>
      <c r="Q201" s="3" t="s">
        <v>26</v>
      </c>
      <c r="R201" s="3">
        <v>0</v>
      </c>
      <c r="S201" s="4">
        <v>0</v>
      </c>
      <c r="T201" s="4">
        <v>3</v>
      </c>
      <c r="U201" s="4">
        <v>48</v>
      </c>
      <c r="V201" s="58">
        <f>IF(ISERROR(VLOOKUP($S$201,'TAR FIN'!$A$1:$O$86,15,0)),0,VLOOKUP($S$201,'TAR FIN'!$A$1:$O$86,15,0))</f>
        <v>0</v>
      </c>
      <c r="W201" s="58">
        <f>IF(ISERROR(VLOOKUP($T$201,'TAR FIN'!$A$1:$O$86,15,0)),0,VLOOKUP($T$201,'TAR FIN'!$A$1:$O$86,15,0))*(1-0.04)</f>
        <v>65.807999999999993</v>
      </c>
      <c r="X201" s="58">
        <f>IF(ISERROR(VLOOKUP($U$201,'TAR FIN'!$A$1:$O$86,15,0)),0,VLOOKUP($U$201,'TAR FIN'!$A$1:$O$86,15,0))*(1-0.04)</f>
        <v>203.07839999999999</v>
      </c>
      <c r="Y201" s="58"/>
      <c r="Z201" s="58">
        <f ca="1">('TUSD BE'!$AM$12+'TUSD BF'!$AM$12+'TUSD CVA'!$AM$12)*1*(1-0.02)</f>
        <v>94.759808934919519</v>
      </c>
      <c r="AA201" s="58">
        <f>('TE BE'!$AB$6+'TE BF'!$AB$6+'TE CVA'!$AB$6)*1*(1-0.02)</f>
        <v>192.63738650886071</v>
      </c>
      <c r="AB201" s="4">
        <f>$K$201*$V$201</f>
        <v>0</v>
      </c>
      <c r="AC201" s="4">
        <f>$M$201*$W$201</f>
        <v>116.67758399999998</v>
      </c>
      <c r="AD201" s="4">
        <f>$O$201*$X$201</f>
        <v>360.05800319999997</v>
      </c>
      <c r="AE201" s="4">
        <f>$K$201*$Y$201</f>
        <v>0</v>
      </c>
      <c r="AF201" s="4">
        <f ca="1">$M$201*$Z$201</f>
        <v>168.0091412416123</v>
      </c>
      <c r="AG201" s="4">
        <f>$O$201*$AA$201</f>
        <v>341.54608628021003</v>
      </c>
    </row>
    <row r="202" spans="1:33" ht="11.25" customHeight="1" x14ac:dyDescent="0.25">
      <c r="A202" s="3" t="s">
        <v>21</v>
      </c>
      <c r="B202" s="3" t="s">
        <v>35</v>
      </c>
      <c r="C202" s="3" t="s">
        <v>39</v>
      </c>
      <c r="D202" s="3" t="s">
        <v>42</v>
      </c>
      <c r="E202" s="3" t="s">
        <v>49</v>
      </c>
      <c r="F202" s="3" t="s">
        <v>25</v>
      </c>
      <c r="G202" s="3" t="s">
        <v>25</v>
      </c>
      <c r="H202" s="3" t="s">
        <v>38</v>
      </c>
      <c r="I202" s="6">
        <v>44440</v>
      </c>
      <c r="J202" s="4">
        <v>0</v>
      </c>
      <c r="K202" s="58">
        <v>0</v>
      </c>
      <c r="L202" s="4">
        <v>1.4330000000000001</v>
      </c>
      <c r="M202" s="58">
        <v>1.4330000000000001</v>
      </c>
      <c r="N202" s="4">
        <v>1.4330000000000001</v>
      </c>
      <c r="O202" s="58">
        <v>1.4330000000000001</v>
      </c>
      <c r="P202" s="4">
        <v>0</v>
      </c>
      <c r="Q202" s="3" t="s">
        <v>26</v>
      </c>
      <c r="R202" s="3">
        <v>0</v>
      </c>
      <c r="S202" s="4">
        <v>0</v>
      </c>
      <c r="T202" s="4">
        <v>3</v>
      </c>
      <c r="U202" s="4">
        <v>48</v>
      </c>
      <c r="V202" s="58">
        <f>IF(ISERROR(VLOOKUP($S$202,'TAR FIN'!$A$1:$O$86,15,0)),0,VLOOKUP($S$202,'TAR FIN'!$A$1:$O$86,15,0))</f>
        <v>0</v>
      </c>
      <c r="W202" s="58">
        <f>IF(ISERROR(VLOOKUP($T$202,'TAR FIN'!$A$1:$O$86,15,0)),0,VLOOKUP($T$202,'TAR FIN'!$A$1:$O$86,15,0))*(1-0.04)</f>
        <v>65.807999999999993</v>
      </c>
      <c r="X202" s="58">
        <f>IF(ISERROR(VLOOKUP($U$202,'TAR FIN'!$A$1:$O$86,15,0)),0,VLOOKUP($U$202,'TAR FIN'!$A$1:$O$86,15,0))*(1-0.04)</f>
        <v>203.07839999999999</v>
      </c>
      <c r="Y202" s="58"/>
      <c r="Z202" s="58">
        <f ca="1">('TUSD BE'!$AM$12+'TUSD BF'!$AM$12+'TUSD CVA'!$AM$12)*1*(1-0.02)</f>
        <v>94.759808934919519</v>
      </c>
      <c r="AA202" s="58">
        <f>('TE BE'!$AB$6+'TE BF'!$AB$6+'TE CVA'!$AB$6)*1*(1-0.02)</f>
        <v>192.63738650886071</v>
      </c>
      <c r="AB202" s="4">
        <f>$K$202*$V$202</f>
        <v>0</v>
      </c>
      <c r="AC202" s="4">
        <f>$M$202*$W$202</f>
        <v>94.302864</v>
      </c>
      <c r="AD202" s="4">
        <f>$O$202*$X$202</f>
        <v>291.01134719999999</v>
      </c>
      <c r="AE202" s="4">
        <f>$K$202*$Y$202</f>
        <v>0</v>
      </c>
      <c r="AF202" s="4">
        <f ca="1">$M$202*$Z$202</f>
        <v>135.79080620373966</v>
      </c>
      <c r="AG202" s="4">
        <f>$O$202*$AA$202</f>
        <v>276.0493748671974</v>
      </c>
    </row>
    <row r="203" spans="1:33" ht="11.25" customHeight="1" x14ac:dyDescent="0.25">
      <c r="A203" s="3" t="s">
        <v>21</v>
      </c>
      <c r="B203" s="3" t="s">
        <v>35</v>
      </c>
      <c r="C203" s="3" t="s">
        <v>39</v>
      </c>
      <c r="D203" s="3" t="s">
        <v>42</v>
      </c>
      <c r="E203" s="3" t="s">
        <v>49</v>
      </c>
      <c r="F203" s="3" t="s">
        <v>25</v>
      </c>
      <c r="G203" s="3" t="s">
        <v>25</v>
      </c>
      <c r="H203" s="3" t="s">
        <v>38</v>
      </c>
      <c r="I203" s="6">
        <v>44470</v>
      </c>
      <c r="J203" s="4">
        <v>0</v>
      </c>
      <c r="K203" s="58">
        <v>0</v>
      </c>
      <c r="L203" s="4">
        <v>4.4059999999999997</v>
      </c>
      <c r="M203" s="58">
        <v>4.4059999999999997</v>
      </c>
      <c r="N203" s="4">
        <v>4.4059999999999997</v>
      </c>
      <c r="O203" s="58">
        <v>4.4059999999999997</v>
      </c>
      <c r="P203" s="4">
        <v>0</v>
      </c>
      <c r="Q203" s="3" t="s">
        <v>26</v>
      </c>
      <c r="R203" s="3">
        <v>0</v>
      </c>
      <c r="S203" s="4">
        <v>0</v>
      </c>
      <c r="T203" s="4">
        <v>3</v>
      </c>
      <c r="U203" s="4">
        <v>48</v>
      </c>
      <c r="V203" s="58">
        <f>IF(ISERROR(VLOOKUP($S$203,'TAR FIN'!$A$1:$O$86,15,0)),0,VLOOKUP($S$203,'TAR FIN'!$A$1:$O$86,15,0))</f>
        <v>0</v>
      </c>
      <c r="W203" s="58">
        <f>IF(ISERROR(VLOOKUP($T$203,'TAR FIN'!$A$1:$O$86,15,0)),0,VLOOKUP($T$203,'TAR FIN'!$A$1:$O$86,15,0))*(1-0.04)</f>
        <v>65.807999999999993</v>
      </c>
      <c r="X203" s="58">
        <f>IF(ISERROR(VLOOKUP($U$203,'TAR FIN'!$A$1:$O$86,15,0)),0,VLOOKUP($U$203,'TAR FIN'!$A$1:$O$86,15,0))*(1-0.04)</f>
        <v>203.07839999999999</v>
      </c>
      <c r="Y203" s="58"/>
      <c r="Z203" s="58">
        <f ca="1">('TUSD BE'!$AM$12+'TUSD BF'!$AM$12+'TUSD CVA'!$AM$12)*1*(1-0.02)</f>
        <v>94.759808934919519</v>
      </c>
      <c r="AA203" s="58">
        <f>('TE BE'!$AB$6+'TE BF'!$AB$6+'TE CVA'!$AB$6)*1*(1-0.02)</f>
        <v>192.63738650886071</v>
      </c>
      <c r="AB203" s="4">
        <f>$K$203*$V$203</f>
        <v>0</v>
      </c>
      <c r="AC203" s="4">
        <f>$M$203*$W$203</f>
        <v>289.95004799999992</v>
      </c>
      <c r="AD203" s="4">
        <f>$O$203*$X$203</f>
        <v>894.76343039999983</v>
      </c>
      <c r="AE203" s="4">
        <f>$K$203*$Y$203</f>
        <v>0</v>
      </c>
      <c r="AF203" s="4">
        <f ca="1">$M$203*$Z$203</f>
        <v>417.51171816725537</v>
      </c>
      <c r="AG203" s="4">
        <f>$O$203*$AA$203</f>
        <v>848.7603249580402</v>
      </c>
    </row>
    <row r="204" spans="1:33" ht="11.25" customHeight="1" x14ac:dyDescent="0.25">
      <c r="A204" s="3" t="s">
        <v>21</v>
      </c>
      <c r="B204" s="3" t="s">
        <v>35</v>
      </c>
      <c r="C204" s="3" t="s">
        <v>39</v>
      </c>
      <c r="D204" s="3" t="s">
        <v>42</v>
      </c>
      <c r="E204" s="3" t="s">
        <v>49</v>
      </c>
      <c r="F204" s="3" t="s">
        <v>25</v>
      </c>
      <c r="G204" s="3" t="s">
        <v>25</v>
      </c>
      <c r="H204" s="3" t="s">
        <v>38</v>
      </c>
      <c r="I204" s="6">
        <v>44501</v>
      </c>
      <c r="J204" s="4">
        <v>0</v>
      </c>
      <c r="K204" s="58">
        <v>0</v>
      </c>
      <c r="L204" s="4">
        <v>122.294</v>
      </c>
      <c r="M204" s="58">
        <v>122.294</v>
      </c>
      <c r="N204" s="4">
        <v>122.294</v>
      </c>
      <c r="O204" s="58">
        <v>122.294</v>
      </c>
      <c r="P204" s="4">
        <v>0</v>
      </c>
      <c r="Q204" s="3" t="s">
        <v>26</v>
      </c>
      <c r="R204" s="3">
        <v>0</v>
      </c>
      <c r="S204" s="4">
        <v>0</v>
      </c>
      <c r="T204" s="4">
        <v>3</v>
      </c>
      <c r="U204" s="4">
        <v>48</v>
      </c>
      <c r="V204" s="58">
        <f>IF(ISERROR(VLOOKUP($S$204,'TAR FIN'!$A$1:$O$86,15,0)),0,VLOOKUP($S$204,'TAR FIN'!$A$1:$O$86,15,0))</f>
        <v>0</v>
      </c>
      <c r="W204" s="58">
        <f>IF(ISERROR(VLOOKUP($T$204,'TAR FIN'!$A$1:$O$86,15,0)),0,VLOOKUP($T$204,'TAR FIN'!$A$1:$O$86,15,0))*(1-0.04)</f>
        <v>65.807999999999993</v>
      </c>
      <c r="X204" s="58">
        <f>IF(ISERROR(VLOOKUP($U$204,'TAR FIN'!$A$1:$O$86,15,0)),0,VLOOKUP($U$204,'TAR FIN'!$A$1:$O$86,15,0))*(1-0.04)</f>
        <v>203.07839999999999</v>
      </c>
      <c r="Y204" s="58"/>
      <c r="Z204" s="58">
        <f ca="1">('TUSD BE'!$AM$12+'TUSD BF'!$AM$12+'TUSD CVA'!$AM$12)*1*(1-0.02)</f>
        <v>94.759808934919519</v>
      </c>
      <c r="AA204" s="58">
        <f>('TE BE'!$AB$6+'TE BF'!$AB$6+'TE CVA'!$AB$6)*1*(1-0.02)</f>
        <v>192.63738650886071</v>
      </c>
      <c r="AB204" s="4">
        <f>$K$204*$V$204</f>
        <v>0</v>
      </c>
      <c r="AC204" s="4">
        <f>$M$204*$W$204</f>
        <v>8047.9235519999993</v>
      </c>
      <c r="AD204" s="4">
        <f>$O$204*$X$204</f>
        <v>24835.269849599998</v>
      </c>
      <c r="AE204" s="4">
        <f>$K$204*$Y$204</f>
        <v>0</v>
      </c>
      <c r="AF204" s="4">
        <f ca="1">$M$204*$Z$204</f>
        <v>11588.556073887048</v>
      </c>
      <c r="AG204" s="4">
        <f>$O$204*$AA$204</f>
        <v>23558.396545714611</v>
      </c>
    </row>
    <row r="205" spans="1:33" ht="11.25" customHeight="1" x14ac:dyDescent="0.25">
      <c r="A205" s="3" t="s">
        <v>21</v>
      </c>
      <c r="B205" s="3" t="s">
        <v>35</v>
      </c>
      <c r="C205" s="3" t="s">
        <v>39</v>
      </c>
      <c r="D205" s="3" t="s">
        <v>42</v>
      </c>
      <c r="E205" s="3" t="s">
        <v>49</v>
      </c>
      <c r="F205" s="3" t="s">
        <v>25</v>
      </c>
      <c r="G205" s="3" t="s">
        <v>25</v>
      </c>
      <c r="H205" s="3" t="s">
        <v>38</v>
      </c>
      <c r="I205" s="6">
        <v>44531</v>
      </c>
      <c r="J205" s="4">
        <v>0</v>
      </c>
      <c r="K205" s="58">
        <v>0</v>
      </c>
      <c r="L205" s="4">
        <v>125.315</v>
      </c>
      <c r="M205" s="58">
        <v>125.315</v>
      </c>
      <c r="N205" s="4">
        <v>125.315</v>
      </c>
      <c r="O205" s="58">
        <v>125.315</v>
      </c>
      <c r="P205" s="4">
        <v>0</v>
      </c>
      <c r="Q205" s="3" t="s">
        <v>26</v>
      </c>
      <c r="R205" s="3">
        <v>0</v>
      </c>
      <c r="S205" s="4">
        <v>0</v>
      </c>
      <c r="T205" s="4">
        <v>3</v>
      </c>
      <c r="U205" s="4">
        <v>48</v>
      </c>
      <c r="V205" s="58">
        <f>IF(ISERROR(VLOOKUP($S$205,'TAR FIN'!$A$1:$O$86,15,0)),0,VLOOKUP($S$205,'TAR FIN'!$A$1:$O$86,15,0))</f>
        <v>0</v>
      </c>
      <c r="W205" s="58">
        <f>IF(ISERROR(VLOOKUP($T$205,'TAR FIN'!$A$1:$O$86,15,0)),0,VLOOKUP($T$205,'TAR FIN'!$A$1:$O$86,15,0))*(1-0.04)</f>
        <v>65.807999999999993</v>
      </c>
      <c r="X205" s="58">
        <f>IF(ISERROR(VLOOKUP($U$205,'TAR FIN'!$A$1:$O$86,15,0)),0,VLOOKUP($U$205,'TAR FIN'!$A$1:$O$86,15,0))*(1-0.04)</f>
        <v>203.07839999999999</v>
      </c>
      <c r="Y205" s="58"/>
      <c r="Z205" s="58">
        <f ca="1">('TUSD BE'!$AM$12+'TUSD BF'!$AM$12+'TUSD CVA'!$AM$12)*1*(1-0.02)</f>
        <v>94.759808934919519</v>
      </c>
      <c r="AA205" s="58">
        <f>('TE BE'!$AB$6+'TE BF'!$AB$6+'TE CVA'!$AB$6)*1*(1-0.02)</f>
        <v>192.63738650886071</v>
      </c>
      <c r="AB205" s="4">
        <f>$K$205*$V$205</f>
        <v>0</v>
      </c>
      <c r="AC205" s="4">
        <f>$M$205*$W$205</f>
        <v>8246.729519999999</v>
      </c>
      <c r="AD205" s="4">
        <f>$O$205*$X$205</f>
        <v>25448.769695999999</v>
      </c>
      <c r="AE205" s="4">
        <f>$K$205*$Y$205</f>
        <v>0</v>
      </c>
      <c r="AF205" s="4">
        <f ca="1">$M$205*$Z$205</f>
        <v>11874.825456679439</v>
      </c>
      <c r="AG205" s="4">
        <f>$O$205*$AA$205</f>
        <v>24140.35409035788</v>
      </c>
    </row>
    <row r="206" spans="1:33" ht="11.25" customHeight="1" x14ac:dyDescent="0.25">
      <c r="A206" s="3" t="s">
        <v>21</v>
      </c>
      <c r="B206" s="3" t="s">
        <v>35</v>
      </c>
      <c r="C206" s="3" t="s">
        <v>39</v>
      </c>
      <c r="D206" s="3" t="s">
        <v>42</v>
      </c>
      <c r="E206" s="3" t="s">
        <v>49</v>
      </c>
      <c r="F206" s="3" t="s">
        <v>25</v>
      </c>
      <c r="G206" s="3" t="s">
        <v>25</v>
      </c>
      <c r="H206" s="3" t="s">
        <v>38</v>
      </c>
      <c r="I206" s="6">
        <v>44562</v>
      </c>
      <c r="J206" s="4">
        <v>0</v>
      </c>
      <c r="K206" s="58">
        <v>0</v>
      </c>
      <c r="L206" s="4">
        <v>24.373999999999999</v>
      </c>
      <c r="M206" s="58">
        <v>24.373999999999999</v>
      </c>
      <c r="N206" s="4">
        <v>24.373999999999999</v>
      </c>
      <c r="O206" s="58">
        <v>24.373999999999999</v>
      </c>
      <c r="P206" s="4">
        <v>0</v>
      </c>
      <c r="Q206" s="3" t="s">
        <v>26</v>
      </c>
      <c r="R206" s="3">
        <v>0</v>
      </c>
      <c r="S206" s="4">
        <v>0</v>
      </c>
      <c r="T206" s="4">
        <v>3</v>
      </c>
      <c r="U206" s="4">
        <v>48</v>
      </c>
      <c r="V206" s="58">
        <f>IF(ISERROR(VLOOKUP($S$206,'TAR FIN'!$A$1:$O$86,15,0)),0,VLOOKUP($S$206,'TAR FIN'!$A$1:$O$86,15,0))</f>
        <v>0</v>
      </c>
      <c r="W206" s="58">
        <f>IF(ISERROR(VLOOKUP($T$206,'TAR FIN'!$A$1:$O$86,15,0)),0,VLOOKUP($T$206,'TAR FIN'!$A$1:$O$86,15,0))*(1-0.04)</f>
        <v>65.807999999999993</v>
      </c>
      <c r="X206" s="58">
        <f>IF(ISERROR(VLOOKUP($U$206,'TAR FIN'!$A$1:$O$86,15,0)),0,VLOOKUP($U$206,'TAR FIN'!$A$1:$O$86,15,0))*(1-0.04)</f>
        <v>203.07839999999999</v>
      </c>
      <c r="Y206" s="58"/>
      <c r="Z206" s="58">
        <f ca="1">('TUSD BE'!$AM$12+'TUSD BF'!$AM$12+'TUSD CVA'!$AM$12)*1*(1-0.02)</f>
        <v>94.759808934919519</v>
      </c>
      <c r="AA206" s="58">
        <f>('TE BE'!$AB$6+'TE BF'!$AB$6+'TE CVA'!$AB$6)*1*(1-0.02)</f>
        <v>192.63738650886071</v>
      </c>
      <c r="AB206" s="4">
        <f>$K$206*$V$206</f>
        <v>0</v>
      </c>
      <c r="AC206" s="4">
        <f>$M$206*$W$206</f>
        <v>1604.0041919999996</v>
      </c>
      <c r="AD206" s="4">
        <f>$O$206*$X$206</f>
        <v>4949.8329215999993</v>
      </c>
      <c r="AE206" s="4">
        <f>$K$206*$Y$206</f>
        <v>0</v>
      </c>
      <c r="AF206" s="4">
        <f ca="1">$M$206*$Z$206</f>
        <v>2309.6755829797285</v>
      </c>
      <c r="AG206" s="4">
        <f>$O$206*$AA$206</f>
        <v>4695.3436587669712</v>
      </c>
    </row>
    <row r="207" spans="1:33" ht="11.25" customHeight="1" x14ac:dyDescent="0.25">
      <c r="A207" s="3" t="s">
        <v>21</v>
      </c>
      <c r="B207" s="3" t="s">
        <v>35</v>
      </c>
      <c r="C207" s="3" t="s">
        <v>39</v>
      </c>
      <c r="D207" s="3" t="s">
        <v>42</v>
      </c>
      <c r="E207" s="3" t="s">
        <v>49</v>
      </c>
      <c r="F207" s="3" t="s">
        <v>25</v>
      </c>
      <c r="G207" s="3" t="s">
        <v>25</v>
      </c>
      <c r="H207" s="3" t="s">
        <v>38</v>
      </c>
      <c r="I207" s="6">
        <v>44593</v>
      </c>
      <c r="J207" s="4">
        <v>0</v>
      </c>
      <c r="K207" s="58">
        <v>0</v>
      </c>
      <c r="L207" s="4">
        <v>24.561</v>
      </c>
      <c r="M207" s="58">
        <v>24.561</v>
      </c>
      <c r="N207" s="4">
        <v>24.561</v>
      </c>
      <c r="O207" s="58">
        <v>24.561</v>
      </c>
      <c r="P207" s="4">
        <v>0</v>
      </c>
      <c r="Q207" s="3" t="s">
        <v>26</v>
      </c>
      <c r="R207" s="3">
        <v>0</v>
      </c>
      <c r="S207" s="4">
        <v>0</v>
      </c>
      <c r="T207" s="4">
        <v>3</v>
      </c>
      <c r="U207" s="4">
        <v>48</v>
      </c>
      <c r="V207" s="58">
        <f>IF(ISERROR(VLOOKUP($S$207,'TAR FIN'!$A$1:$O$86,15,0)),0,VLOOKUP($S$207,'TAR FIN'!$A$1:$O$86,15,0))</f>
        <v>0</v>
      </c>
      <c r="W207" s="58">
        <f>IF(ISERROR(VLOOKUP($T$207,'TAR FIN'!$A$1:$O$86,15,0)),0,VLOOKUP($T$207,'TAR FIN'!$A$1:$O$86,15,0))*(1-0.04)</f>
        <v>65.807999999999993</v>
      </c>
      <c r="X207" s="58">
        <f>IF(ISERROR(VLOOKUP($U$207,'TAR FIN'!$A$1:$O$86,15,0)),0,VLOOKUP($U$207,'TAR FIN'!$A$1:$O$86,15,0))*(1-0.04)</f>
        <v>203.07839999999999</v>
      </c>
      <c r="Y207" s="58"/>
      <c r="Z207" s="58">
        <f ca="1">('TUSD BE'!$AM$12+'TUSD BF'!$AM$12+'TUSD CVA'!$AM$12)*1*(1-0.02)</f>
        <v>94.759808934919519</v>
      </c>
      <c r="AA207" s="58">
        <f>('TE BE'!$AB$6+'TE BF'!$AB$6+'TE CVA'!$AB$6)*1*(1-0.02)</f>
        <v>192.63738650886071</v>
      </c>
      <c r="AB207" s="4">
        <f>$K$207*$V$207</f>
        <v>0</v>
      </c>
      <c r="AC207" s="4">
        <f>$M$207*$W$207</f>
        <v>1616.3102879999999</v>
      </c>
      <c r="AD207" s="4">
        <f>$O$207*$X$207</f>
        <v>4987.8085824</v>
      </c>
      <c r="AE207" s="4">
        <f>$K$207*$Y$207</f>
        <v>0</v>
      </c>
      <c r="AF207" s="4">
        <f ca="1">$M$207*$Z$207</f>
        <v>2327.3956672505583</v>
      </c>
      <c r="AG207" s="4">
        <f>$O$207*$AA$207</f>
        <v>4731.3668500441281</v>
      </c>
    </row>
    <row r="208" spans="1:33" ht="11.25" customHeight="1" x14ac:dyDescent="0.25">
      <c r="A208" s="3" t="s">
        <v>21</v>
      </c>
      <c r="B208" s="3" t="s">
        <v>35</v>
      </c>
      <c r="C208" s="3" t="s">
        <v>39</v>
      </c>
      <c r="D208" s="3" t="s">
        <v>42</v>
      </c>
      <c r="E208" s="3" t="s">
        <v>49</v>
      </c>
      <c r="F208" s="3" t="s">
        <v>25</v>
      </c>
      <c r="G208" s="3" t="s">
        <v>25</v>
      </c>
      <c r="H208" s="3" t="s">
        <v>38</v>
      </c>
      <c r="I208" s="6">
        <v>44621</v>
      </c>
      <c r="J208" s="4">
        <v>0</v>
      </c>
      <c r="K208" s="58">
        <v>0</v>
      </c>
      <c r="L208" s="4">
        <v>10.833</v>
      </c>
      <c r="M208" s="58">
        <v>10.833</v>
      </c>
      <c r="N208" s="4">
        <v>10.833</v>
      </c>
      <c r="O208" s="58">
        <v>10.833</v>
      </c>
      <c r="P208" s="4">
        <v>0</v>
      </c>
      <c r="Q208" s="3" t="s">
        <v>26</v>
      </c>
      <c r="R208" s="3">
        <v>0</v>
      </c>
      <c r="S208" s="4">
        <v>0</v>
      </c>
      <c r="T208" s="4">
        <v>3</v>
      </c>
      <c r="U208" s="4">
        <v>48</v>
      </c>
      <c r="V208" s="58">
        <f>IF(ISERROR(VLOOKUP($S$208,'TAR FIN'!$A$1:$O$86,15,0)),0,VLOOKUP($S$208,'TAR FIN'!$A$1:$O$86,15,0))</f>
        <v>0</v>
      </c>
      <c r="W208" s="58">
        <f>IF(ISERROR(VLOOKUP($T$208,'TAR FIN'!$A$1:$O$86,15,0)),0,VLOOKUP($T$208,'TAR FIN'!$A$1:$O$86,15,0))*(1-0.04)</f>
        <v>65.807999999999993</v>
      </c>
      <c r="X208" s="58">
        <f>IF(ISERROR(VLOOKUP($U$208,'TAR FIN'!$A$1:$O$86,15,0)),0,VLOOKUP($U$208,'TAR FIN'!$A$1:$O$86,15,0))*(1-0.04)</f>
        <v>203.07839999999999</v>
      </c>
      <c r="Y208" s="58"/>
      <c r="Z208" s="58">
        <f ca="1">('TUSD BE'!$AM$12+'TUSD BF'!$AM$12+'TUSD CVA'!$AM$12)*1*(1-0.02)</f>
        <v>94.759808934919519</v>
      </c>
      <c r="AA208" s="58">
        <f>('TE BE'!$AB$6+'TE BF'!$AB$6+'TE CVA'!$AB$6)*1*(1-0.02)</f>
        <v>192.63738650886071</v>
      </c>
      <c r="AB208" s="4">
        <f>$K$208*$V$208</f>
        <v>0</v>
      </c>
      <c r="AC208" s="4">
        <f>$M$208*$W$208</f>
        <v>712.89806399999998</v>
      </c>
      <c r="AD208" s="4">
        <f>$O$208*$X$208</f>
        <v>2199.9483071999998</v>
      </c>
      <c r="AE208" s="4">
        <f>$K$208*$Y$208</f>
        <v>0</v>
      </c>
      <c r="AF208" s="4">
        <f ca="1">$M$208*$Z$208</f>
        <v>1026.5330101919831</v>
      </c>
      <c r="AG208" s="4">
        <f>$O$208*$AA$208</f>
        <v>2086.8408080504882</v>
      </c>
    </row>
    <row r="209" spans="1:33" ht="11.25" customHeight="1" x14ac:dyDescent="0.25">
      <c r="A209" s="3" t="s">
        <v>21</v>
      </c>
      <c r="B209" s="3" t="s">
        <v>35</v>
      </c>
      <c r="C209" s="3" t="s">
        <v>39</v>
      </c>
      <c r="D209" s="3" t="s">
        <v>42</v>
      </c>
      <c r="E209" s="3" t="s">
        <v>49</v>
      </c>
      <c r="F209" s="3" t="s">
        <v>25</v>
      </c>
      <c r="G209" s="3" t="s">
        <v>25</v>
      </c>
      <c r="H209" s="3" t="s">
        <v>38</v>
      </c>
      <c r="I209" s="6">
        <v>44652</v>
      </c>
      <c r="J209" s="4">
        <v>0</v>
      </c>
      <c r="K209" s="58">
        <v>0</v>
      </c>
      <c r="L209" s="4">
        <v>9.4120000000000008</v>
      </c>
      <c r="M209" s="58">
        <v>9.4120000000000008</v>
      </c>
      <c r="N209" s="4">
        <v>9.4120000000000008</v>
      </c>
      <c r="O209" s="58">
        <v>9.4120000000000008</v>
      </c>
      <c r="P209" s="4">
        <v>0</v>
      </c>
      <c r="Q209" s="3" t="s">
        <v>26</v>
      </c>
      <c r="R209" s="3">
        <v>0</v>
      </c>
      <c r="S209" s="4">
        <v>0</v>
      </c>
      <c r="T209" s="4">
        <v>3</v>
      </c>
      <c r="U209" s="4">
        <v>48</v>
      </c>
      <c r="V209" s="58">
        <f>IF(ISERROR(VLOOKUP($S$209,'TAR FIN'!$A$1:$O$86,15,0)),0,VLOOKUP($S$209,'TAR FIN'!$A$1:$O$86,15,0))</f>
        <v>0</v>
      </c>
      <c r="W209" s="58">
        <f>IF(ISERROR(VLOOKUP($T$209,'TAR FIN'!$A$1:$O$86,15,0)),0,VLOOKUP($T$209,'TAR FIN'!$A$1:$O$86,15,0))*(1-0.04)</f>
        <v>65.807999999999993</v>
      </c>
      <c r="X209" s="58">
        <f>IF(ISERROR(VLOOKUP($U$209,'TAR FIN'!$A$1:$O$86,15,0)),0,VLOOKUP($U$209,'TAR FIN'!$A$1:$O$86,15,0))*(1-0.04)</f>
        <v>203.07839999999999</v>
      </c>
      <c r="Y209" s="58"/>
      <c r="Z209" s="58">
        <f ca="1">('TUSD BE'!$AM$12+'TUSD BF'!$AM$12+'TUSD CVA'!$AM$12)*1*(1-0.02)</f>
        <v>94.759808934919519</v>
      </c>
      <c r="AA209" s="58">
        <f>('TE BE'!$AB$6+'TE BF'!$AB$6+'TE CVA'!$AB$6)*1*(1-0.02)</f>
        <v>192.63738650886071</v>
      </c>
      <c r="AB209" s="4">
        <f>$K$209*$V$209</f>
        <v>0</v>
      </c>
      <c r="AC209" s="4">
        <f>$M$209*$W$209</f>
        <v>619.38489600000003</v>
      </c>
      <c r="AD209" s="4">
        <f>$O$209*$X$209</f>
        <v>1911.3739008</v>
      </c>
      <c r="AE209" s="4">
        <f>$K$209*$Y$209</f>
        <v>0</v>
      </c>
      <c r="AF209" s="4">
        <f ca="1">$M$209*$Z$209</f>
        <v>891.87932169546264</v>
      </c>
      <c r="AG209" s="4">
        <f>$O$209*$AA$209</f>
        <v>1813.1030818213972</v>
      </c>
    </row>
    <row r="210" spans="1:33" ht="11.25" customHeight="1" x14ac:dyDescent="0.25">
      <c r="A210" s="3" t="s">
        <v>21</v>
      </c>
      <c r="B210" s="3" t="s">
        <v>35</v>
      </c>
      <c r="C210" s="3" t="s">
        <v>39</v>
      </c>
      <c r="D210" s="3" t="s">
        <v>42</v>
      </c>
      <c r="E210" s="3" t="s">
        <v>49</v>
      </c>
      <c r="F210" s="3" t="s">
        <v>25</v>
      </c>
      <c r="G210" s="3" t="s">
        <v>25</v>
      </c>
      <c r="H210" s="3" t="s">
        <v>38</v>
      </c>
      <c r="I210" s="6">
        <v>44682</v>
      </c>
      <c r="J210" s="4">
        <v>0</v>
      </c>
      <c r="K210" s="58">
        <v>0</v>
      </c>
      <c r="L210" s="4">
        <v>3.2890000000000001</v>
      </c>
      <c r="M210" s="58">
        <v>3.2890000000000001</v>
      </c>
      <c r="N210" s="4">
        <v>3.2890000000000001</v>
      </c>
      <c r="O210" s="58">
        <v>3.2890000000000001</v>
      </c>
      <c r="P210" s="4">
        <v>0</v>
      </c>
      <c r="Q210" s="3" t="s">
        <v>26</v>
      </c>
      <c r="R210" s="3">
        <v>0</v>
      </c>
      <c r="S210" s="4">
        <v>0</v>
      </c>
      <c r="T210" s="4">
        <v>3</v>
      </c>
      <c r="U210" s="4">
        <v>48</v>
      </c>
      <c r="V210" s="58">
        <f>IF(ISERROR(VLOOKUP($S$210,'TAR FIN'!$A$1:$O$86,15,0)),0,VLOOKUP($S$210,'TAR FIN'!$A$1:$O$86,15,0))</f>
        <v>0</v>
      </c>
      <c r="W210" s="58">
        <f>IF(ISERROR(VLOOKUP($T$210,'TAR FIN'!$A$1:$O$86,15,0)),0,VLOOKUP($T$210,'TAR FIN'!$A$1:$O$86,15,0))*(1-0.04)</f>
        <v>65.807999999999993</v>
      </c>
      <c r="X210" s="58">
        <f>IF(ISERROR(VLOOKUP($U$210,'TAR FIN'!$A$1:$O$86,15,0)),0,VLOOKUP($U$210,'TAR FIN'!$A$1:$O$86,15,0))*(1-0.04)</f>
        <v>203.07839999999999</v>
      </c>
      <c r="Y210" s="58"/>
      <c r="Z210" s="58">
        <f ca="1">('TUSD BE'!$AM$12+'TUSD BF'!$AM$12+'TUSD CVA'!$AM$12)*1*(1-0.02)</f>
        <v>94.759808934919519</v>
      </c>
      <c r="AA210" s="58">
        <f>('TE BE'!$AB$6+'TE BF'!$AB$6+'TE CVA'!$AB$6)*1*(1-0.02)</f>
        <v>192.63738650886071</v>
      </c>
      <c r="AB210" s="4">
        <f>$K$210*$V$210</f>
        <v>0</v>
      </c>
      <c r="AC210" s="4">
        <f>$M$210*$W$210</f>
        <v>216.44251199999999</v>
      </c>
      <c r="AD210" s="4">
        <f>$O$210*$X$210</f>
        <v>667.9248576</v>
      </c>
      <c r="AE210" s="4">
        <f>$K$210*$Y$210</f>
        <v>0</v>
      </c>
      <c r="AF210" s="4">
        <f ca="1">$M$210*$Z$210</f>
        <v>311.6650115869503</v>
      </c>
      <c r="AG210" s="4">
        <f>$O$210*$AA$210</f>
        <v>633.58436422764294</v>
      </c>
    </row>
    <row r="211" spans="1:33" ht="11.25" customHeight="1" x14ac:dyDescent="0.25">
      <c r="A211" s="3" t="s">
        <v>21</v>
      </c>
      <c r="B211" s="3" t="s">
        <v>35</v>
      </c>
      <c r="C211" s="3" t="s">
        <v>39</v>
      </c>
      <c r="D211" s="3" t="s">
        <v>42</v>
      </c>
      <c r="E211" s="3" t="s">
        <v>49</v>
      </c>
      <c r="F211" s="3" t="s">
        <v>25</v>
      </c>
      <c r="G211" s="3" t="s">
        <v>25</v>
      </c>
      <c r="H211" s="3" t="s">
        <v>38</v>
      </c>
      <c r="I211" s="6">
        <v>44713</v>
      </c>
      <c r="J211" s="4">
        <v>0</v>
      </c>
      <c r="K211" s="58">
        <v>0</v>
      </c>
      <c r="L211" s="4">
        <v>4.3490000000000002</v>
      </c>
      <c r="M211" s="58">
        <v>4.3490000000000002</v>
      </c>
      <c r="N211" s="4">
        <v>4.3490000000000002</v>
      </c>
      <c r="O211" s="58">
        <v>4.3490000000000002</v>
      </c>
      <c r="P211" s="4">
        <v>0</v>
      </c>
      <c r="Q211" s="3" t="s">
        <v>26</v>
      </c>
      <c r="R211" s="3">
        <v>0</v>
      </c>
      <c r="S211" s="4">
        <v>0</v>
      </c>
      <c r="T211" s="4">
        <v>3</v>
      </c>
      <c r="U211" s="4">
        <v>48</v>
      </c>
      <c r="V211" s="58">
        <f>IF(ISERROR(VLOOKUP($S$211,'TAR FIN'!$A$1:$O$86,15,0)),0,VLOOKUP($S$211,'TAR FIN'!$A$1:$O$86,15,0))</f>
        <v>0</v>
      </c>
      <c r="W211" s="58">
        <f>IF(ISERROR(VLOOKUP($T$211,'TAR FIN'!$A$1:$O$86,15,0)),0,VLOOKUP($T$211,'TAR FIN'!$A$1:$O$86,15,0))*(1-0.04)</f>
        <v>65.807999999999993</v>
      </c>
      <c r="X211" s="58">
        <f>IF(ISERROR(VLOOKUP($U$211,'TAR FIN'!$A$1:$O$86,15,0)),0,VLOOKUP($U$211,'TAR FIN'!$A$1:$O$86,15,0))*(1-0.04)</f>
        <v>203.07839999999999</v>
      </c>
      <c r="Y211" s="58"/>
      <c r="Z211" s="58">
        <f ca="1">('TUSD BE'!$AM$12+'TUSD BF'!$AM$12+'TUSD CVA'!$AM$12)*1*(1-0.02)</f>
        <v>94.759808934919519</v>
      </c>
      <c r="AA211" s="58">
        <f>('TE BE'!$AB$6+'TE BF'!$AB$6+'TE CVA'!$AB$6)*1*(1-0.02)</f>
        <v>192.63738650886071</v>
      </c>
      <c r="AB211" s="4">
        <f>$K$211*$V$211</f>
        <v>0</v>
      </c>
      <c r="AC211" s="4">
        <f>$M$211*$W$211</f>
        <v>286.19899199999998</v>
      </c>
      <c r="AD211" s="4">
        <f>$O$211*$X$211</f>
        <v>883.18796159999999</v>
      </c>
      <c r="AE211" s="4">
        <f>$K$211*$Y$211</f>
        <v>0</v>
      </c>
      <c r="AF211" s="4">
        <f ca="1">$M$211*$Z$211</f>
        <v>412.110409057965</v>
      </c>
      <c r="AG211" s="4">
        <f>$O$211*$AA$211</f>
        <v>837.77999392703532</v>
      </c>
    </row>
    <row r="212" spans="1:33" ht="11.25" customHeight="1" x14ac:dyDescent="0.25">
      <c r="A212" s="3" t="s">
        <v>21</v>
      </c>
      <c r="B212" s="3" t="s">
        <v>35</v>
      </c>
      <c r="C212" s="3" t="s">
        <v>39</v>
      </c>
      <c r="D212" s="3" t="s">
        <v>42</v>
      </c>
      <c r="E212" s="3" t="s">
        <v>49</v>
      </c>
      <c r="F212" s="3" t="s">
        <v>25</v>
      </c>
      <c r="G212" s="3" t="s">
        <v>25</v>
      </c>
      <c r="H212" s="3" t="s">
        <v>25</v>
      </c>
      <c r="I212" s="6">
        <v>44378</v>
      </c>
      <c r="J212" s="4">
        <v>234</v>
      </c>
      <c r="K212" s="58">
        <v>234</v>
      </c>
      <c r="L212" s="4">
        <v>0</v>
      </c>
      <c r="M212" s="58">
        <v>0</v>
      </c>
      <c r="N212" s="4">
        <v>0</v>
      </c>
      <c r="O212" s="58">
        <v>0</v>
      </c>
      <c r="P212" s="4">
        <v>3</v>
      </c>
      <c r="Q212" s="3" t="s">
        <v>26</v>
      </c>
      <c r="R212" s="3">
        <v>0</v>
      </c>
      <c r="S212" s="4">
        <v>31</v>
      </c>
      <c r="T212" s="4">
        <v>0</v>
      </c>
      <c r="U212" s="4">
        <v>0</v>
      </c>
      <c r="V212" s="58">
        <f>IF(ISERROR(VLOOKUP($S$212,'TAR FIN'!$A$1:$O$86,15,0)),0,VLOOKUP($S$212,'TAR FIN'!$A$1:$O$86,15,0))*(1-0.04)</f>
        <v>36.979199999999999</v>
      </c>
      <c r="W212" s="58">
        <f>IF(ISERROR(VLOOKUP($T$212,'TAR FIN'!$A$1:$O$86,15,0)),0,VLOOKUP($T$212,'TAR FIN'!$A$1:$O$86,15,0))</f>
        <v>0</v>
      </c>
      <c r="X212" s="58">
        <f>IF(ISERROR(VLOOKUP($U$212,'TAR FIN'!$A$1:$O$86,15,0)),0,VLOOKUP($U$212,'TAR FIN'!$A$1:$O$86,15,0))</f>
        <v>0</v>
      </c>
      <c r="Y212" s="58">
        <f ca="1">('TUSD BE'!$AM$10+'TUSD BF'!$AM$10+'TUSD CVA'!$AM$10)*1*(1-0.02)</f>
        <v>43.370109275458091</v>
      </c>
      <c r="Z212" s="58"/>
      <c r="AA212" s="58"/>
      <c r="AB212" s="4">
        <f>$K$212*$V$212</f>
        <v>8653.1327999999994</v>
      </c>
      <c r="AC212" s="4">
        <f>$M$212*$W$212</f>
        <v>0</v>
      </c>
      <c r="AD212" s="4">
        <f>$O$212*$X$212</f>
        <v>0</v>
      </c>
      <c r="AE212" s="4">
        <f ca="1">$K$212*$Y$212</f>
        <v>10148.605570457194</v>
      </c>
      <c r="AF212" s="4">
        <f>$M$212*$Z$212</f>
        <v>0</v>
      </c>
      <c r="AG212" s="4">
        <f>$O$212*$AA$212</f>
        <v>0</v>
      </c>
    </row>
    <row r="213" spans="1:33" ht="11.25" customHeight="1" x14ac:dyDescent="0.25">
      <c r="A213" s="3" t="s">
        <v>21</v>
      </c>
      <c r="B213" s="3" t="s">
        <v>35</v>
      </c>
      <c r="C213" s="3" t="s">
        <v>39</v>
      </c>
      <c r="D213" s="3" t="s">
        <v>42</v>
      </c>
      <c r="E213" s="3" t="s">
        <v>49</v>
      </c>
      <c r="F213" s="3" t="s">
        <v>25</v>
      </c>
      <c r="G213" s="3" t="s">
        <v>25</v>
      </c>
      <c r="H213" s="3" t="s">
        <v>25</v>
      </c>
      <c r="I213" s="6">
        <v>44409</v>
      </c>
      <c r="J213" s="4">
        <v>363</v>
      </c>
      <c r="K213" s="58">
        <v>363</v>
      </c>
      <c r="L213" s="4">
        <v>0</v>
      </c>
      <c r="M213" s="58">
        <v>0</v>
      </c>
      <c r="N213" s="4">
        <v>0</v>
      </c>
      <c r="O213" s="58">
        <v>0</v>
      </c>
      <c r="P213" s="4">
        <v>3</v>
      </c>
      <c r="Q213" s="3" t="s">
        <v>26</v>
      </c>
      <c r="R213" s="3">
        <v>0</v>
      </c>
      <c r="S213" s="4">
        <v>31</v>
      </c>
      <c r="T213" s="4">
        <v>0</v>
      </c>
      <c r="U213" s="4">
        <v>0</v>
      </c>
      <c r="V213" s="58">
        <f>IF(ISERROR(VLOOKUP($S$213,'TAR FIN'!$A$1:$O$86,15,0)),0,VLOOKUP($S$213,'TAR FIN'!$A$1:$O$86,15,0))*(1-0.04)</f>
        <v>36.979199999999999</v>
      </c>
      <c r="W213" s="58">
        <f>IF(ISERROR(VLOOKUP($T$213,'TAR FIN'!$A$1:$O$86,15,0)),0,VLOOKUP($T$213,'TAR FIN'!$A$1:$O$86,15,0))</f>
        <v>0</v>
      </c>
      <c r="X213" s="58">
        <f>IF(ISERROR(VLOOKUP($U$213,'TAR FIN'!$A$1:$O$86,15,0)),0,VLOOKUP($U$213,'TAR FIN'!$A$1:$O$86,15,0))</f>
        <v>0</v>
      </c>
      <c r="Y213" s="58">
        <f ca="1">('TUSD BE'!$AM$10+'TUSD BF'!$AM$10+'TUSD CVA'!$AM$10)*1*(1-0.02)</f>
        <v>43.370109275458091</v>
      </c>
      <c r="Z213" s="58"/>
      <c r="AA213" s="58"/>
      <c r="AB213" s="4">
        <f>$K$213*$V$213</f>
        <v>13423.4496</v>
      </c>
      <c r="AC213" s="4">
        <f>$M$213*$W$213</f>
        <v>0</v>
      </c>
      <c r="AD213" s="4">
        <f>$O$213*$X$213</f>
        <v>0</v>
      </c>
      <c r="AE213" s="4">
        <f ca="1">$K$213*$Y$213</f>
        <v>15743.349666991287</v>
      </c>
      <c r="AF213" s="4">
        <f>$M$213*$Z$213</f>
        <v>0</v>
      </c>
      <c r="AG213" s="4">
        <f>$O$213*$AA$213</f>
        <v>0</v>
      </c>
    </row>
    <row r="214" spans="1:33" ht="11.25" customHeight="1" x14ac:dyDescent="0.25">
      <c r="A214" s="3" t="s">
        <v>21</v>
      </c>
      <c r="B214" s="3" t="s">
        <v>35</v>
      </c>
      <c r="C214" s="3" t="s">
        <v>39</v>
      </c>
      <c r="D214" s="3" t="s">
        <v>42</v>
      </c>
      <c r="E214" s="3" t="s">
        <v>49</v>
      </c>
      <c r="F214" s="3" t="s">
        <v>25</v>
      </c>
      <c r="G214" s="3" t="s">
        <v>25</v>
      </c>
      <c r="H214" s="3" t="s">
        <v>25</v>
      </c>
      <c r="I214" s="6">
        <v>44440</v>
      </c>
      <c r="J214" s="4">
        <v>705</v>
      </c>
      <c r="K214" s="58">
        <v>705</v>
      </c>
      <c r="L214" s="4">
        <v>0</v>
      </c>
      <c r="M214" s="58">
        <v>0</v>
      </c>
      <c r="N214" s="4">
        <v>0</v>
      </c>
      <c r="O214" s="58">
        <v>0</v>
      </c>
      <c r="P214" s="4">
        <v>3</v>
      </c>
      <c r="Q214" s="3" t="s">
        <v>26</v>
      </c>
      <c r="R214" s="3">
        <v>0</v>
      </c>
      <c r="S214" s="4">
        <v>31</v>
      </c>
      <c r="T214" s="4">
        <v>0</v>
      </c>
      <c r="U214" s="4">
        <v>0</v>
      </c>
      <c r="V214" s="58">
        <f>IF(ISERROR(VLOOKUP($S$214,'TAR FIN'!$A$1:$O$86,15,0)),0,VLOOKUP($S$214,'TAR FIN'!$A$1:$O$86,15,0))*(1-0.04)</f>
        <v>36.979199999999999</v>
      </c>
      <c r="W214" s="58">
        <f>IF(ISERROR(VLOOKUP($T$214,'TAR FIN'!$A$1:$O$86,15,0)),0,VLOOKUP($T$214,'TAR FIN'!$A$1:$O$86,15,0))</f>
        <v>0</v>
      </c>
      <c r="X214" s="58">
        <f>IF(ISERROR(VLOOKUP($U$214,'TAR FIN'!$A$1:$O$86,15,0)),0,VLOOKUP($U$214,'TAR FIN'!$A$1:$O$86,15,0))</f>
        <v>0</v>
      </c>
      <c r="Y214" s="58">
        <f ca="1">('TUSD BE'!$AM$10+'TUSD BF'!$AM$10+'TUSD CVA'!$AM$10)*1*(1-0.02)</f>
        <v>43.370109275458091</v>
      </c>
      <c r="Z214" s="58"/>
      <c r="AA214" s="58"/>
      <c r="AB214" s="4">
        <f>$K$214*$V$214</f>
        <v>26070.335999999999</v>
      </c>
      <c r="AC214" s="4">
        <f>$M$214*$W$214</f>
        <v>0</v>
      </c>
      <c r="AD214" s="4">
        <f>$O$214*$X$214</f>
        <v>0</v>
      </c>
      <c r="AE214" s="4">
        <f ca="1">$K$214*$Y$214</f>
        <v>30575.927039197955</v>
      </c>
      <c r="AF214" s="4">
        <f>$M$214*$Z$214</f>
        <v>0</v>
      </c>
      <c r="AG214" s="4">
        <f>$O$214*$AA$214</f>
        <v>0</v>
      </c>
    </row>
    <row r="215" spans="1:33" ht="11.25" customHeight="1" x14ac:dyDescent="0.25">
      <c r="A215" s="3" t="s">
        <v>21</v>
      </c>
      <c r="B215" s="3" t="s">
        <v>35</v>
      </c>
      <c r="C215" s="3" t="s">
        <v>39</v>
      </c>
      <c r="D215" s="3" t="s">
        <v>42</v>
      </c>
      <c r="E215" s="3" t="s">
        <v>49</v>
      </c>
      <c r="F215" s="3" t="s">
        <v>25</v>
      </c>
      <c r="G215" s="3" t="s">
        <v>25</v>
      </c>
      <c r="H215" s="3" t="s">
        <v>25</v>
      </c>
      <c r="I215" s="6">
        <v>44470</v>
      </c>
      <c r="J215" s="4">
        <v>637</v>
      </c>
      <c r="K215" s="58">
        <v>637</v>
      </c>
      <c r="L215" s="4">
        <v>0</v>
      </c>
      <c r="M215" s="58">
        <v>0</v>
      </c>
      <c r="N215" s="4">
        <v>0</v>
      </c>
      <c r="O215" s="58">
        <v>0</v>
      </c>
      <c r="P215" s="4">
        <v>3</v>
      </c>
      <c r="Q215" s="3" t="s">
        <v>26</v>
      </c>
      <c r="R215" s="3">
        <v>0</v>
      </c>
      <c r="S215" s="4">
        <v>31</v>
      </c>
      <c r="T215" s="4">
        <v>0</v>
      </c>
      <c r="U215" s="4">
        <v>0</v>
      </c>
      <c r="V215" s="58">
        <f>IF(ISERROR(VLOOKUP($S$215,'TAR FIN'!$A$1:$O$86,15,0)),0,VLOOKUP($S$215,'TAR FIN'!$A$1:$O$86,15,0))*(1-0.04)</f>
        <v>36.979199999999999</v>
      </c>
      <c r="W215" s="58">
        <f>IF(ISERROR(VLOOKUP($T$215,'TAR FIN'!$A$1:$O$86,15,0)),0,VLOOKUP($T$215,'TAR FIN'!$A$1:$O$86,15,0))</f>
        <v>0</v>
      </c>
      <c r="X215" s="58">
        <f>IF(ISERROR(VLOOKUP($U$215,'TAR FIN'!$A$1:$O$86,15,0)),0,VLOOKUP($U$215,'TAR FIN'!$A$1:$O$86,15,0))</f>
        <v>0</v>
      </c>
      <c r="Y215" s="58">
        <f ca="1">('TUSD BE'!$AM$10+'TUSD BF'!$AM$10+'TUSD CVA'!$AM$10)*1*(1-0.02)</f>
        <v>43.370109275458091</v>
      </c>
      <c r="Z215" s="58"/>
      <c r="AA215" s="58"/>
      <c r="AB215" s="4">
        <f>$K$215*$V$215</f>
        <v>23555.750400000001</v>
      </c>
      <c r="AC215" s="4">
        <f>$M$215*$W$215</f>
        <v>0</v>
      </c>
      <c r="AD215" s="4">
        <f>$O$215*$X$215</f>
        <v>0</v>
      </c>
      <c r="AE215" s="4">
        <f ca="1">$K$215*$Y$215</f>
        <v>27626.759608466804</v>
      </c>
      <c r="AF215" s="4">
        <f>$M$215*$Z$215</f>
        <v>0</v>
      </c>
      <c r="AG215" s="4">
        <f>$O$215*$AA$215</f>
        <v>0</v>
      </c>
    </row>
    <row r="216" spans="1:33" ht="11.25" customHeight="1" x14ac:dyDescent="0.25">
      <c r="A216" s="3" t="s">
        <v>21</v>
      </c>
      <c r="B216" s="3" t="s">
        <v>35</v>
      </c>
      <c r="C216" s="3" t="s">
        <v>39</v>
      </c>
      <c r="D216" s="3" t="s">
        <v>42</v>
      </c>
      <c r="E216" s="3" t="s">
        <v>49</v>
      </c>
      <c r="F216" s="3" t="s">
        <v>25</v>
      </c>
      <c r="G216" s="3" t="s">
        <v>25</v>
      </c>
      <c r="H216" s="3" t="s">
        <v>25</v>
      </c>
      <c r="I216" s="6">
        <v>44501</v>
      </c>
      <c r="J216" s="4">
        <v>818</v>
      </c>
      <c r="K216" s="58">
        <v>818</v>
      </c>
      <c r="L216" s="4">
        <v>0</v>
      </c>
      <c r="M216" s="58">
        <v>0</v>
      </c>
      <c r="N216" s="4">
        <v>0</v>
      </c>
      <c r="O216" s="58">
        <v>0</v>
      </c>
      <c r="P216" s="4">
        <v>3</v>
      </c>
      <c r="Q216" s="3" t="s">
        <v>26</v>
      </c>
      <c r="R216" s="3">
        <v>0</v>
      </c>
      <c r="S216" s="4">
        <v>31</v>
      </c>
      <c r="T216" s="4">
        <v>0</v>
      </c>
      <c r="U216" s="4">
        <v>0</v>
      </c>
      <c r="V216" s="58">
        <f>IF(ISERROR(VLOOKUP($S$216,'TAR FIN'!$A$1:$O$86,15,0)),0,VLOOKUP($S$216,'TAR FIN'!$A$1:$O$86,15,0))*(1-0.04)</f>
        <v>36.979199999999999</v>
      </c>
      <c r="W216" s="58">
        <f>IF(ISERROR(VLOOKUP($T$216,'TAR FIN'!$A$1:$O$86,15,0)),0,VLOOKUP($T$216,'TAR FIN'!$A$1:$O$86,15,0))</f>
        <v>0</v>
      </c>
      <c r="X216" s="58">
        <f>IF(ISERROR(VLOOKUP($U$216,'TAR FIN'!$A$1:$O$86,15,0)),0,VLOOKUP($U$216,'TAR FIN'!$A$1:$O$86,15,0))</f>
        <v>0</v>
      </c>
      <c r="Y216" s="58">
        <f ca="1">('TUSD BE'!$AM$10+'TUSD BF'!$AM$10+'TUSD CVA'!$AM$10)*1*(1-0.02)</f>
        <v>43.370109275458091</v>
      </c>
      <c r="Z216" s="58"/>
      <c r="AA216" s="58"/>
      <c r="AB216" s="4">
        <f>$K$216*$V$216</f>
        <v>30248.9856</v>
      </c>
      <c r="AC216" s="4">
        <f>$M$216*$W$216</f>
        <v>0</v>
      </c>
      <c r="AD216" s="4">
        <f>$O$216*$X$216</f>
        <v>0</v>
      </c>
      <c r="AE216" s="4">
        <f ca="1">$K$216*$Y$216</f>
        <v>35476.749387324722</v>
      </c>
      <c r="AF216" s="4">
        <f>$M$216*$Z$216</f>
        <v>0</v>
      </c>
      <c r="AG216" s="4">
        <f>$O$216*$AA$216</f>
        <v>0</v>
      </c>
    </row>
    <row r="217" spans="1:33" ht="11.25" customHeight="1" x14ac:dyDescent="0.25">
      <c r="A217" s="3" t="s">
        <v>21</v>
      </c>
      <c r="B217" s="3" t="s">
        <v>35</v>
      </c>
      <c r="C217" s="3" t="s">
        <v>39</v>
      </c>
      <c r="D217" s="3" t="s">
        <v>42</v>
      </c>
      <c r="E217" s="3" t="s">
        <v>49</v>
      </c>
      <c r="F217" s="3" t="s">
        <v>25</v>
      </c>
      <c r="G217" s="3" t="s">
        <v>25</v>
      </c>
      <c r="H217" s="3" t="s">
        <v>25</v>
      </c>
      <c r="I217" s="6">
        <v>44531</v>
      </c>
      <c r="J217" s="4">
        <v>802</v>
      </c>
      <c r="K217" s="58">
        <v>802</v>
      </c>
      <c r="L217" s="4">
        <v>0</v>
      </c>
      <c r="M217" s="58">
        <v>0</v>
      </c>
      <c r="N217" s="4">
        <v>0</v>
      </c>
      <c r="O217" s="58">
        <v>0</v>
      </c>
      <c r="P217" s="4">
        <v>3</v>
      </c>
      <c r="Q217" s="3" t="s">
        <v>26</v>
      </c>
      <c r="R217" s="3">
        <v>0</v>
      </c>
      <c r="S217" s="4">
        <v>31</v>
      </c>
      <c r="T217" s="4">
        <v>0</v>
      </c>
      <c r="U217" s="4">
        <v>0</v>
      </c>
      <c r="V217" s="58">
        <f>IF(ISERROR(VLOOKUP($S$217,'TAR FIN'!$A$1:$O$86,15,0)),0,VLOOKUP($S$217,'TAR FIN'!$A$1:$O$86,15,0))*(1-0.04)</f>
        <v>36.979199999999999</v>
      </c>
      <c r="W217" s="58">
        <f>IF(ISERROR(VLOOKUP($T$217,'TAR FIN'!$A$1:$O$86,15,0)),0,VLOOKUP($T$217,'TAR FIN'!$A$1:$O$86,15,0))</f>
        <v>0</v>
      </c>
      <c r="X217" s="58">
        <f>IF(ISERROR(VLOOKUP($U$217,'TAR FIN'!$A$1:$O$86,15,0)),0,VLOOKUP($U$217,'TAR FIN'!$A$1:$O$86,15,0))</f>
        <v>0</v>
      </c>
      <c r="Y217" s="58">
        <f ca="1">('TUSD BE'!$AM$10+'TUSD BF'!$AM$10+'TUSD CVA'!$AM$10)*1*(1-0.02)</f>
        <v>43.370109275458091</v>
      </c>
      <c r="Z217" s="58"/>
      <c r="AA217" s="58"/>
      <c r="AB217" s="4">
        <f>$K$217*$V$217</f>
        <v>29657.3184</v>
      </c>
      <c r="AC217" s="4">
        <f>$M$217*$W$217</f>
        <v>0</v>
      </c>
      <c r="AD217" s="4">
        <f>$O$217*$X$217</f>
        <v>0</v>
      </c>
      <c r="AE217" s="4">
        <f ca="1">$K$217*$Y$217</f>
        <v>34782.827638917392</v>
      </c>
      <c r="AF217" s="4">
        <f>$M$217*$Z$217</f>
        <v>0</v>
      </c>
      <c r="AG217" s="4">
        <f>$O$217*$AA$217</f>
        <v>0</v>
      </c>
    </row>
    <row r="218" spans="1:33" ht="11.25" customHeight="1" x14ac:dyDescent="0.25">
      <c r="A218" s="3" t="s">
        <v>21</v>
      </c>
      <c r="B218" s="3" t="s">
        <v>35</v>
      </c>
      <c r="C218" s="3" t="s">
        <v>39</v>
      </c>
      <c r="D218" s="3" t="s">
        <v>42</v>
      </c>
      <c r="E218" s="3" t="s">
        <v>49</v>
      </c>
      <c r="F218" s="3" t="s">
        <v>25</v>
      </c>
      <c r="G218" s="3" t="s">
        <v>25</v>
      </c>
      <c r="H218" s="3" t="s">
        <v>25</v>
      </c>
      <c r="I218" s="6">
        <v>44562</v>
      </c>
      <c r="J218" s="4">
        <v>674</v>
      </c>
      <c r="K218" s="58">
        <v>674</v>
      </c>
      <c r="L218" s="4">
        <v>0</v>
      </c>
      <c r="M218" s="58">
        <v>0</v>
      </c>
      <c r="N218" s="4">
        <v>0</v>
      </c>
      <c r="O218" s="58">
        <v>0</v>
      </c>
      <c r="P218" s="4">
        <v>3</v>
      </c>
      <c r="Q218" s="3" t="s">
        <v>26</v>
      </c>
      <c r="R218" s="3">
        <v>0</v>
      </c>
      <c r="S218" s="4">
        <v>31</v>
      </c>
      <c r="T218" s="4">
        <v>0</v>
      </c>
      <c r="U218" s="4">
        <v>0</v>
      </c>
      <c r="V218" s="58">
        <f>IF(ISERROR(VLOOKUP($S$218,'TAR FIN'!$A$1:$O$86,15,0)),0,VLOOKUP($S$218,'TAR FIN'!$A$1:$O$86,15,0))*(1-0.04)</f>
        <v>36.979199999999999</v>
      </c>
      <c r="W218" s="58">
        <f>IF(ISERROR(VLOOKUP($T$218,'TAR FIN'!$A$1:$O$86,15,0)),0,VLOOKUP($T$218,'TAR FIN'!$A$1:$O$86,15,0))</f>
        <v>0</v>
      </c>
      <c r="X218" s="58">
        <f>IF(ISERROR(VLOOKUP($U$218,'TAR FIN'!$A$1:$O$86,15,0)),0,VLOOKUP($U$218,'TAR FIN'!$A$1:$O$86,15,0))</f>
        <v>0</v>
      </c>
      <c r="Y218" s="58">
        <f ca="1">('TUSD BE'!$AM$10+'TUSD BF'!$AM$10+'TUSD CVA'!$AM$10)*1*(1-0.02)</f>
        <v>43.370109275458091</v>
      </c>
      <c r="Z218" s="58"/>
      <c r="AA218" s="58"/>
      <c r="AB218" s="4">
        <f>$K$218*$V$218</f>
        <v>24923.980799999998</v>
      </c>
      <c r="AC218" s="4">
        <f>$M$218*$W$218</f>
        <v>0</v>
      </c>
      <c r="AD218" s="4">
        <f>$O$218*$X$218</f>
        <v>0</v>
      </c>
      <c r="AE218" s="4">
        <f ca="1">$K$218*$Y$218</f>
        <v>29231.453651658754</v>
      </c>
      <c r="AF218" s="4">
        <f>$M$218*$Z$218</f>
        <v>0</v>
      </c>
      <c r="AG218" s="4">
        <f>$O$218*$AA$218</f>
        <v>0</v>
      </c>
    </row>
    <row r="219" spans="1:33" ht="11.25" customHeight="1" x14ac:dyDescent="0.25">
      <c r="A219" s="3" t="s">
        <v>21</v>
      </c>
      <c r="B219" s="3" t="s">
        <v>35</v>
      </c>
      <c r="C219" s="3" t="s">
        <v>39</v>
      </c>
      <c r="D219" s="3" t="s">
        <v>42</v>
      </c>
      <c r="E219" s="3" t="s">
        <v>49</v>
      </c>
      <c r="F219" s="3" t="s">
        <v>25</v>
      </c>
      <c r="G219" s="3" t="s">
        <v>25</v>
      </c>
      <c r="H219" s="3" t="s">
        <v>25</v>
      </c>
      <c r="I219" s="6">
        <v>44593</v>
      </c>
      <c r="J219" s="4">
        <v>697</v>
      </c>
      <c r="K219" s="58">
        <v>697</v>
      </c>
      <c r="L219" s="4">
        <v>0</v>
      </c>
      <c r="M219" s="58">
        <v>0</v>
      </c>
      <c r="N219" s="4">
        <v>0</v>
      </c>
      <c r="O219" s="58">
        <v>0</v>
      </c>
      <c r="P219" s="4">
        <v>3</v>
      </c>
      <c r="Q219" s="3" t="s">
        <v>26</v>
      </c>
      <c r="R219" s="3">
        <v>0</v>
      </c>
      <c r="S219" s="4">
        <v>31</v>
      </c>
      <c r="T219" s="4">
        <v>0</v>
      </c>
      <c r="U219" s="4">
        <v>0</v>
      </c>
      <c r="V219" s="58">
        <f>IF(ISERROR(VLOOKUP($S$219,'TAR FIN'!$A$1:$O$86,15,0)),0,VLOOKUP($S$219,'TAR FIN'!$A$1:$O$86,15,0))*(1-0.04)</f>
        <v>36.979199999999999</v>
      </c>
      <c r="W219" s="58">
        <f>IF(ISERROR(VLOOKUP($T$219,'TAR FIN'!$A$1:$O$86,15,0)),0,VLOOKUP($T$219,'TAR FIN'!$A$1:$O$86,15,0))</f>
        <v>0</v>
      </c>
      <c r="X219" s="58">
        <f>IF(ISERROR(VLOOKUP($U$219,'TAR FIN'!$A$1:$O$86,15,0)),0,VLOOKUP($U$219,'TAR FIN'!$A$1:$O$86,15,0))</f>
        <v>0</v>
      </c>
      <c r="Y219" s="58">
        <f ca="1">('TUSD BE'!$AM$10+'TUSD BF'!$AM$10+'TUSD CVA'!$AM$10)*1*(1-0.02)</f>
        <v>43.370109275458091</v>
      </c>
      <c r="Z219" s="58"/>
      <c r="AA219" s="58"/>
      <c r="AB219" s="4">
        <f>$K$219*$V$219</f>
        <v>25774.502399999998</v>
      </c>
      <c r="AC219" s="4">
        <f>$M$219*$W$219</f>
        <v>0</v>
      </c>
      <c r="AD219" s="4">
        <f>$O$219*$X$219</f>
        <v>0</v>
      </c>
      <c r="AE219" s="4">
        <f ca="1">$K$219*$Y$219</f>
        <v>30228.96616499429</v>
      </c>
      <c r="AF219" s="4">
        <f>$M$219*$Z$219</f>
        <v>0</v>
      </c>
      <c r="AG219" s="4">
        <f>$O$219*$AA$219</f>
        <v>0</v>
      </c>
    </row>
    <row r="220" spans="1:33" ht="11.25" customHeight="1" x14ac:dyDescent="0.25">
      <c r="A220" s="3" t="s">
        <v>21</v>
      </c>
      <c r="B220" s="3" t="s">
        <v>35</v>
      </c>
      <c r="C220" s="3" t="s">
        <v>39</v>
      </c>
      <c r="D220" s="3" t="s">
        <v>42</v>
      </c>
      <c r="E220" s="3" t="s">
        <v>49</v>
      </c>
      <c r="F220" s="3" t="s">
        <v>25</v>
      </c>
      <c r="G220" s="3" t="s">
        <v>25</v>
      </c>
      <c r="H220" s="3" t="s">
        <v>25</v>
      </c>
      <c r="I220" s="6">
        <v>44621</v>
      </c>
      <c r="J220" s="4">
        <v>695</v>
      </c>
      <c r="K220" s="58">
        <v>695</v>
      </c>
      <c r="L220" s="4">
        <v>0</v>
      </c>
      <c r="M220" s="58">
        <v>0</v>
      </c>
      <c r="N220" s="4">
        <v>0</v>
      </c>
      <c r="O220" s="58">
        <v>0</v>
      </c>
      <c r="P220" s="4">
        <v>3</v>
      </c>
      <c r="Q220" s="3" t="s">
        <v>26</v>
      </c>
      <c r="R220" s="3">
        <v>0</v>
      </c>
      <c r="S220" s="4">
        <v>31</v>
      </c>
      <c r="T220" s="4">
        <v>0</v>
      </c>
      <c r="U220" s="4">
        <v>0</v>
      </c>
      <c r="V220" s="58">
        <f>IF(ISERROR(VLOOKUP($S$220,'TAR FIN'!$A$1:$O$86,15,0)),0,VLOOKUP($S$220,'TAR FIN'!$A$1:$O$86,15,0))*(1-0.04)</f>
        <v>36.979199999999999</v>
      </c>
      <c r="W220" s="58">
        <f>IF(ISERROR(VLOOKUP($T$220,'TAR FIN'!$A$1:$O$86,15,0)),0,VLOOKUP($T$220,'TAR FIN'!$A$1:$O$86,15,0))</f>
        <v>0</v>
      </c>
      <c r="X220" s="58">
        <f>IF(ISERROR(VLOOKUP($U$220,'TAR FIN'!$A$1:$O$86,15,0)),0,VLOOKUP($U$220,'TAR FIN'!$A$1:$O$86,15,0))</f>
        <v>0</v>
      </c>
      <c r="Y220" s="58">
        <f ca="1">('TUSD BE'!$AM$10+'TUSD BF'!$AM$10+'TUSD CVA'!$AM$10)*1*(1-0.02)</f>
        <v>43.370109275458091</v>
      </c>
      <c r="Z220" s="58"/>
      <c r="AA220" s="58"/>
      <c r="AB220" s="4">
        <f>$K$220*$V$220</f>
        <v>25700.543999999998</v>
      </c>
      <c r="AC220" s="4">
        <f>$M$220*$W$220</f>
        <v>0</v>
      </c>
      <c r="AD220" s="4">
        <f>$O$220*$X$220</f>
        <v>0</v>
      </c>
      <c r="AE220" s="4">
        <f ca="1">$K$220*$Y$220</f>
        <v>30142.225946443374</v>
      </c>
      <c r="AF220" s="4">
        <f>$M$220*$Z$220</f>
        <v>0</v>
      </c>
      <c r="AG220" s="4">
        <f>$O$220*$AA$220</f>
        <v>0</v>
      </c>
    </row>
    <row r="221" spans="1:33" ht="11.25" customHeight="1" x14ac:dyDescent="0.25">
      <c r="A221" s="3" t="s">
        <v>21</v>
      </c>
      <c r="B221" s="3" t="s">
        <v>35</v>
      </c>
      <c r="C221" s="3" t="s">
        <v>39</v>
      </c>
      <c r="D221" s="3" t="s">
        <v>42</v>
      </c>
      <c r="E221" s="3" t="s">
        <v>49</v>
      </c>
      <c r="F221" s="3" t="s">
        <v>25</v>
      </c>
      <c r="G221" s="3" t="s">
        <v>25</v>
      </c>
      <c r="H221" s="3" t="s">
        <v>25</v>
      </c>
      <c r="I221" s="6">
        <v>44652</v>
      </c>
      <c r="J221" s="4">
        <v>692</v>
      </c>
      <c r="K221" s="58">
        <v>692</v>
      </c>
      <c r="L221" s="4">
        <v>0</v>
      </c>
      <c r="M221" s="58">
        <v>0</v>
      </c>
      <c r="N221" s="4">
        <v>0</v>
      </c>
      <c r="O221" s="58">
        <v>0</v>
      </c>
      <c r="P221" s="4">
        <v>3</v>
      </c>
      <c r="Q221" s="3" t="s">
        <v>26</v>
      </c>
      <c r="R221" s="3">
        <v>0</v>
      </c>
      <c r="S221" s="4">
        <v>31</v>
      </c>
      <c r="T221" s="4">
        <v>0</v>
      </c>
      <c r="U221" s="4">
        <v>0</v>
      </c>
      <c r="V221" s="58">
        <f>IF(ISERROR(VLOOKUP($S$221,'TAR FIN'!$A$1:$O$86,15,0)),0,VLOOKUP($S$221,'TAR FIN'!$A$1:$O$86,15,0))*(1-0.04)</f>
        <v>36.979199999999999</v>
      </c>
      <c r="W221" s="58">
        <f>IF(ISERROR(VLOOKUP($T$221,'TAR FIN'!$A$1:$O$86,15,0)),0,VLOOKUP($T$221,'TAR FIN'!$A$1:$O$86,15,0))</f>
        <v>0</v>
      </c>
      <c r="X221" s="58">
        <f>IF(ISERROR(VLOOKUP($U$221,'TAR FIN'!$A$1:$O$86,15,0)),0,VLOOKUP($U$221,'TAR FIN'!$A$1:$O$86,15,0))</f>
        <v>0</v>
      </c>
      <c r="Y221" s="58">
        <f ca="1">('TUSD BE'!$AM$10+'TUSD BF'!$AM$10+'TUSD CVA'!$AM$10)*1*(1-0.02)</f>
        <v>43.370109275458091</v>
      </c>
      <c r="Z221" s="58"/>
      <c r="AA221" s="58"/>
      <c r="AB221" s="4">
        <f>$K$221*$V$221</f>
        <v>25589.606400000001</v>
      </c>
      <c r="AC221" s="4">
        <f>$M$221*$W$221</f>
        <v>0</v>
      </c>
      <c r="AD221" s="4">
        <f>$O$221*$X$221</f>
        <v>0</v>
      </c>
      <c r="AE221" s="4">
        <f ca="1">$K$221*$Y$221</f>
        <v>30012.115618616997</v>
      </c>
      <c r="AF221" s="4">
        <f>$M$221*$Z$221</f>
        <v>0</v>
      </c>
      <c r="AG221" s="4">
        <f>$O$221*$AA$221</f>
        <v>0</v>
      </c>
    </row>
    <row r="222" spans="1:33" ht="11.25" customHeight="1" x14ac:dyDescent="0.25">
      <c r="A222" s="3" t="s">
        <v>21</v>
      </c>
      <c r="B222" s="3" t="s">
        <v>35</v>
      </c>
      <c r="C222" s="3" t="s">
        <v>39</v>
      </c>
      <c r="D222" s="3" t="s">
        <v>42</v>
      </c>
      <c r="E222" s="3" t="s">
        <v>49</v>
      </c>
      <c r="F222" s="3" t="s">
        <v>25</v>
      </c>
      <c r="G222" s="3" t="s">
        <v>25</v>
      </c>
      <c r="H222" s="3" t="s">
        <v>25</v>
      </c>
      <c r="I222" s="6">
        <v>44682</v>
      </c>
      <c r="J222" s="4">
        <v>208</v>
      </c>
      <c r="K222" s="58">
        <v>208</v>
      </c>
      <c r="L222" s="4">
        <v>0</v>
      </c>
      <c r="M222" s="58">
        <v>0</v>
      </c>
      <c r="N222" s="4">
        <v>0</v>
      </c>
      <c r="O222" s="58">
        <v>0</v>
      </c>
      <c r="P222" s="4">
        <v>3</v>
      </c>
      <c r="Q222" s="3" t="s">
        <v>26</v>
      </c>
      <c r="R222" s="3">
        <v>0</v>
      </c>
      <c r="S222" s="4">
        <v>31</v>
      </c>
      <c r="T222" s="4">
        <v>0</v>
      </c>
      <c r="U222" s="4">
        <v>0</v>
      </c>
      <c r="V222" s="58">
        <f>IF(ISERROR(VLOOKUP($S$222,'TAR FIN'!$A$1:$O$86,15,0)),0,VLOOKUP($S$222,'TAR FIN'!$A$1:$O$86,15,0))*(1-0.04)</f>
        <v>36.979199999999999</v>
      </c>
      <c r="W222" s="58">
        <f>IF(ISERROR(VLOOKUP($T$222,'TAR FIN'!$A$1:$O$86,15,0)),0,VLOOKUP($T$222,'TAR FIN'!$A$1:$O$86,15,0))</f>
        <v>0</v>
      </c>
      <c r="X222" s="58">
        <f>IF(ISERROR(VLOOKUP($U$222,'TAR FIN'!$A$1:$O$86,15,0)),0,VLOOKUP($U$222,'TAR FIN'!$A$1:$O$86,15,0))</f>
        <v>0</v>
      </c>
      <c r="Y222" s="58">
        <f ca="1">('TUSD BE'!$AM$10+'TUSD BF'!$AM$10+'TUSD CVA'!$AM$10)*1*(1-0.02)</f>
        <v>43.370109275458091</v>
      </c>
      <c r="Z222" s="58"/>
      <c r="AA222" s="58"/>
      <c r="AB222" s="4">
        <f>$K$222*$V$222</f>
        <v>7691.6736000000001</v>
      </c>
      <c r="AC222" s="4">
        <f>$M$222*$W$222</f>
        <v>0</v>
      </c>
      <c r="AD222" s="4">
        <f>$O$222*$X$222</f>
        <v>0</v>
      </c>
      <c r="AE222" s="4">
        <f ca="1">$K$222*$Y$222</f>
        <v>9020.9827292952832</v>
      </c>
      <c r="AF222" s="4">
        <f>$M$222*$Z$222</f>
        <v>0</v>
      </c>
      <c r="AG222" s="4">
        <f>$O$222*$AA$222</f>
        <v>0</v>
      </c>
    </row>
    <row r="223" spans="1:33" ht="11.25" customHeight="1" x14ac:dyDescent="0.25">
      <c r="A223" s="3" t="s">
        <v>21</v>
      </c>
      <c r="B223" s="3" t="s">
        <v>35</v>
      </c>
      <c r="C223" s="3" t="s">
        <v>39</v>
      </c>
      <c r="D223" s="3" t="s">
        <v>42</v>
      </c>
      <c r="E223" s="3" t="s">
        <v>49</v>
      </c>
      <c r="F223" s="3" t="s">
        <v>25</v>
      </c>
      <c r="G223" s="3" t="s">
        <v>25</v>
      </c>
      <c r="H223" s="3" t="s">
        <v>25</v>
      </c>
      <c r="I223" s="6">
        <v>44713</v>
      </c>
      <c r="J223" s="4">
        <v>948</v>
      </c>
      <c r="K223" s="58">
        <v>948</v>
      </c>
      <c r="L223" s="4">
        <v>0</v>
      </c>
      <c r="M223" s="58">
        <v>0</v>
      </c>
      <c r="N223" s="4">
        <v>0</v>
      </c>
      <c r="O223" s="58">
        <v>0</v>
      </c>
      <c r="P223" s="4">
        <v>3</v>
      </c>
      <c r="Q223" s="3" t="s">
        <v>26</v>
      </c>
      <c r="R223" s="3">
        <v>0</v>
      </c>
      <c r="S223" s="4">
        <v>31</v>
      </c>
      <c r="T223" s="4">
        <v>0</v>
      </c>
      <c r="U223" s="4">
        <v>0</v>
      </c>
      <c r="V223" s="58">
        <f>IF(ISERROR(VLOOKUP($S$223,'TAR FIN'!$A$1:$O$86,15,0)),0,VLOOKUP($S$223,'TAR FIN'!$A$1:$O$86,15,0))*(1-0.04)</f>
        <v>36.979199999999999</v>
      </c>
      <c r="W223" s="58">
        <f>IF(ISERROR(VLOOKUP($T$223,'TAR FIN'!$A$1:$O$86,15,0)),0,VLOOKUP($T$223,'TAR FIN'!$A$1:$O$86,15,0))</f>
        <v>0</v>
      </c>
      <c r="X223" s="58">
        <f>IF(ISERROR(VLOOKUP($U$223,'TAR FIN'!$A$1:$O$86,15,0)),0,VLOOKUP($U$223,'TAR FIN'!$A$1:$O$86,15,0))</f>
        <v>0</v>
      </c>
      <c r="Y223" s="58">
        <f ca="1">('TUSD BE'!$AM$10+'TUSD BF'!$AM$10+'TUSD CVA'!$AM$10)*1*(1-0.02)</f>
        <v>43.370109275458091</v>
      </c>
      <c r="Z223" s="58"/>
      <c r="AA223" s="58"/>
      <c r="AB223" s="4">
        <f>$K$223*$V$223</f>
        <v>35056.281600000002</v>
      </c>
      <c r="AC223" s="4">
        <f>$M$223*$W$223</f>
        <v>0</v>
      </c>
      <c r="AD223" s="4">
        <f>$O$223*$X$223</f>
        <v>0</v>
      </c>
      <c r="AE223" s="4">
        <f ca="1">$K$223*$Y$223</f>
        <v>41114.863593134272</v>
      </c>
      <c r="AF223" s="4">
        <f>$M$223*$Z$223</f>
        <v>0</v>
      </c>
      <c r="AG223" s="4">
        <f>$O$223*$AA$223</f>
        <v>0</v>
      </c>
    </row>
    <row r="224" spans="1:33" ht="11.25" customHeight="1" x14ac:dyDescent="0.25">
      <c r="A224" s="3" t="s">
        <v>21</v>
      </c>
      <c r="B224" s="3" t="s">
        <v>35</v>
      </c>
      <c r="C224" s="3" t="s">
        <v>39</v>
      </c>
      <c r="D224" s="3" t="s">
        <v>42</v>
      </c>
      <c r="E224" s="3" t="s">
        <v>49</v>
      </c>
      <c r="F224" s="3" t="s">
        <v>25</v>
      </c>
      <c r="G224" s="3" t="s">
        <v>25</v>
      </c>
      <c r="H224" s="3" t="s">
        <v>37</v>
      </c>
      <c r="I224" s="6">
        <v>44378</v>
      </c>
      <c r="J224" s="4">
        <v>0</v>
      </c>
      <c r="K224" s="58">
        <v>0</v>
      </c>
      <c r="L224" s="4">
        <v>0.124</v>
      </c>
      <c r="M224" s="58">
        <v>0.124</v>
      </c>
      <c r="N224" s="4">
        <v>0.124</v>
      </c>
      <c r="O224" s="58">
        <v>0.124</v>
      </c>
      <c r="P224" s="4">
        <v>0</v>
      </c>
      <c r="Q224" s="3" t="s">
        <v>26</v>
      </c>
      <c r="R224" s="3">
        <v>0</v>
      </c>
      <c r="S224" s="4">
        <v>0</v>
      </c>
      <c r="T224" s="4">
        <v>15</v>
      </c>
      <c r="U224" s="4">
        <v>24</v>
      </c>
      <c r="V224" s="58">
        <f>IF(ISERROR(VLOOKUP($S$224,'TAR FIN'!$A$1:$O$86,15,0)),0,VLOOKUP($S$224,'TAR FIN'!$A$1:$O$86,15,0))</f>
        <v>0</v>
      </c>
      <c r="W224" s="58">
        <f>IF(ISERROR(VLOOKUP($T$224,'TAR FIN'!$A$1:$O$86,15,0)),0,VLOOKUP($T$224,'TAR FIN'!$A$1:$O$86,15,0))*(1-0.04)</f>
        <v>2030.7647999999999</v>
      </c>
      <c r="X224" s="58">
        <f>IF(ISERROR(VLOOKUP($U$224,'TAR FIN'!$A$1:$O$86,15,0)),0,VLOOKUP($U$224,'TAR FIN'!$A$1:$O$86,15,0))*(1-0.04)</f>
        <v>203.07839999999999</v>
      </c>
      <c r="Y224" s="58"/>
      <c r="Z224" s="58">
        <f ca="1">('TUSD BE'!$AM$11+'TUSD BF'!$AM$11+'TUSD CVA'!$AM$11)*1*(1-0.02)</f>
        <v>2238.5316164441306</v>
      </c>
      <c r="AA224" s="58">
        <f>('TE BE'!$AB$5+'TE BF'!$AB$5+'TE CVA'!$AB$5)*1*(1-0.02)</f>
        <v>192.63738650886071</v>
      </c>
      <c r="AB224" s="4">
        <f>$K$224*$V$224</f>
        <v>0</v>
      </c>
      <c r="AC224" s="4">
        <f>$M$224*$W$224</f>
        <v>251.81483519999998</v>
      </c>
      <c r="AD224" s="4">
        <f>$O$224*$X$224</f>
        <v>25.181721599999999</v>
      </c>
      <c r="AE224" s="4">
        <f>$K$224*$Y$224</f>
        <v>0</v>
      </c>
      <c r="AF224" s="4">
        <f ca="1">$M$224*$Z$224</f>
        <v>277.57792043907222</v>
      </c>
      <c r="AG224" s="4">
        <f>$O$224*$AA$224</f>
        <v>23.887035927098729</v>
      </c>
    </row>
    <row r="225" spans="1:33" ht="11.25" customHeight="1" x14ac:dyDescent="0.25">
      <c r="A225" s="3" t="s">
        <v>21</v>
      </c>
      <c r="B225" s="3" t="s">
        <v>35</v>
      </c>
      <c r="C225" s="3" t="s">
        <v>39</v>
      </c>
      <c r="D225" s="3" t="s">
        <v>42</v>
      </c>
      <c r="E225" s="3" t="s">
        <v>49</v>
      </c>
      <c r="F225" s="3" t="s">
        <v>25</v>
      </c>
      <c r="G225" s="3" t="s">
        <v>25</v>
      </c>
      <c r="H225" s="3" t="s">
        <v>37</v>
      </c>
      <c r="I225" s="6">
        <v>44409</v>
      </c>
      <c r="J225" s="4">
        <v>0</v>
      </c>
      <c r="K225" s="58">
        <v>0</v>
      </c>
      <c r="L225" s="4">
        <v>2.7E-2</v>
      </c>
      <c r="M225" s="58">
        <v>2.7E-2</v>
      </c>
      <c r="N225" s="4">
        <v>2.7E-2</v>
      </c>
      <c r="O225" s="58">
        <v>2.7E-2</v>
      </c>
      <c r="P225" s="4">
        <v>0</v>
      </c>
      <c r="Q225" s="3" t="s">
        <v>26</v>
      </c>
      <c r="R225" s="3">
        <v>0</v>
      </c>
      <c r="S225" s="4">
        <v>0</v>
      </c>
      <c r="T225" s="4">
        <v>15</v>
      </c>
      <c r="U225" s="4">
        <v>24</v>
      </c>
      <c r="V225" s="58">
        <f>IF(ISERROR(VLOOKUP($S$225,'TAR FIN'!$A$1:$O$86,15,0)),0,VLOOKUP($S$225,'TAR FIN'!$A$1:$O$86,15,0))</f>
        <v>0</v>
      </c>
      <c r="W225" s="58">
        <f>IF(ISERROR(VLOOKUP($T$225,'TAR FIN'!$A$1:$O$86,15,0)),0,VLOOKUP($T$225,'TAR FIN'!$A$1:$O$86,15,0))*(1-0.04)</f>
        <v>2030.7647999999999</v>
      </c>
      <c r="X225" s="58">
        <f>IF(ISERROR(VLOOKUP($U$225,'TAR FIN'!$A$1:$O$86,15,0)),0,VLOOKUP($U$225,'TAR FIN'!$A$1:$O$86,15,0))*(1-0.04)</f>
        <v>203.07839999999999</v>
      </c>
      <c r="Y225" s="58"/>
      <c r="Z225" s="58">
        <f ca="1">('TUSD BE'!$AM$11+'TUSD BF'!$AM$11+'TUSD CVA'!$AM$11)*1*(1-0.02)</f>
        <v>2238.5316164441306</v>
      </c>
      <c r="AA225" s="58">
        <f>('TE BE'!$AB$5+'TE BF'!$AB$5+'TE CVA'!$AB$5)*1*(1-0.02)</f>
        <v>192.63738650886071</v>
      </c>
      <c r="AB225" s="4">
        <f>$K$225*$V$225</f>
        <v>0</v>
      </c>
      <c r="AC225" s="4">
        <f>$M$225*$W$225</f>
        <v>54.830649599999994</v>
      </c>
      <c r="AD225" s="4">
        <f>$O$225*$X$225</f>
        <v>5.4831167999999995</v>
      </c>
      <c r="AE225" s="4">
        <f>$K$225*$Y$225</f>
        <v>0</v>
      </c>
      <c r="AF225" s="4">
        <f ca="1">$M$225*$Z$225</f>
        <v>60.440353643991521</v>
      </c>
      <c r="AG225" s="4">
        <f>$O$225*$AA$225</f>
        <v>5.2012094357392389</v>
      </c>
    </row>
    <row r="226" spans="1:33" ht="11.25" customHeight="1" x14ac:dyDescent="0.25">
      <c r="A226" s="3" t="s">
        <v>21</v>
      </c>
      <c r="B226" s="3" t="s">
        <v>35</v>
      </c>
      <c r="C226" s="3" t="s">
        <v>39</v>
      </c>
      <c r="D226" s="3" t="s">
        <v>42</v>
      </c>
      <c r="E226" s="3" t="s">
        <v>49</v>
      </c>
      <c r="F226" s="3" t="s">
        <v>25</v>
      </c>
      <c r="G226" s="3" t="s">
        <v>25</v>
      </c>
      <c r="H226" s="3" t="s">
        <v>37</v>
      </c>
      <c r="I226" s="6">
        <v>44440</v>
      </c>
      <c r="J226" s="4">
        <v>0</v>
      </c>
      <c r="K226" s="58">
        <v>0</v>
      </c>
      <c r="L226" s="4">
        <v>0.14599999999999999</v>
      </c>
      <c r="M226" s="58">
        <v>0.14599999999999999</v>
      </c>
      <c r="N226" s="4">
        <v>0.14599999999999999</v>
      </c>
      <c r="O226" s="58">
        <v>0.14599999999999999</v>
      </c>
      <c r="P226" s="4">
        <v>0</v>
      </c>
      <c r="Q226" s="3" t="s">
        <v>26</v>
      </c>
      <c r="R226" s="3">
        <v>0</v>
      </c>
      <c r="S226" s="4">
        <v>0</v>
      </c>
      <c r="T226" s="4">
        <v>15</v>
      </c>
      <c r="U226" s="4">
        <v>24</v>
      </c>
      <c r="V226" s="58">
        <f>IF(ISERROR(VLOOKUP($S$226,'TAR FIN'!$A$1:$O$86,15,0)),0,VLOOKUP($S$226,'TAR FIN'!$A$1:$O$86,15,0))</f>
        <v>0</v>
      </c>
      <c r="W226" s="58">
        <f>IF(ISERROR(VLOOKUP($T$226,'TAR FIN'!$A$1:$O$86,15,0)),0,VLOOKUP($T$226,'TAR FIN'!$A$1:$O$86,15,0))*(1-0.04)</f>
        <v>2030.7647999999999</v>
      </c>
      <c r="X226" s="58">
        <f>IF(ISERROR(VLOOKUP($U$226,'TAR FIN'!$A$1:$O$86,15,0)),0,VLOOKUP($U$226,'TAR FIN'!$A$1:$O$86,15,0))*(1-0.04)</f>
        <v>203.07839999999999</v>
      </c>
      <c r="Y226" s="58"/>
      <c r="Z226" s="58">
        <f ca="1">('TUSD BE'!$AM$11+'TUSD BF'!$AM$11+'TUSD CVA'!$AM$11)*1*(1-0.02)</f>
        <v>2238.5316164441306</v>
      </c>
      <c r="AA226" s="58">
        <f>('TE BE'!$AB$5+'TE BF'!$AB$5+'TE CVA'!$AB$5)*1*(1-0.02)</f>
        <v>192.63738650886071</v>
      </c>
      <c r="AB226" s="4">
        <f>$K$226*$V$226</f>
        <v>0</v>
      </c>
      <c r="AC226" s="4">
        <f>$M$226*$W$226</f>
        <v>296.49166079999998</v>
      </c>
      <c r="AD226" s="4">
        <f>$O$226*$X$226</f>
        <v>29.649446399999995</v>
      </c>
      <c r="AE226" s="4">
        <f>$K$226*$Y$226</f>
        <v>0</v>
      </c>
      <c r="AF226" s="4">
        <f ca="1">$M$226*$Z$226</f>
        <v>326.82561600084307</v>
      </c>
      <c r="AG226" s="4">
        <f>$O$226*$AA$226</f>
        <v>28.125058430293663</v>
      </c>
    </row>
    <row r="227" spans="1:33" ht="11.25" customHeight="1" x14ac:dyDescent="0.25">
      <c r="A227" s="3" t="s">
        <v>21</v>
      </c>
      <c r="B227" s="3" t="s">
        <v>35</v>
      </c>
      <c r="C227" s="3" t="s">
        <v>39</v>
      </c>
      <c r="D227" s="3" t="s">
        <v>42</v>
      </c>
      <c r="E227" s="3" t="s">
        <v>49</v>
      </c>
      <c r="F227" s="3" t="s">
        <v>25</v>
      </c>
      <c r="G227" s="3" t="s">
        <v>25</v>
      </c>
      <c r="H227" s="3" t="s">
        <v>37</v>
      </c>
      <c r="I227" s="6">
        <v>44470</v>
      </c>
      <c r="J227" s="4">
        <v>0</v>
      </c>
      <c r="K227" s="58">
        <v>0</v>
      </c>
      <c r="L227" s="4">
        <v>0.158</v>
      </c>
      <c r="M227" s="58">
        <v>0.158</v>
      </c>
      <c r="N227" s="4">
        <v>0.158</v>
      </c>
      <c r="O227" s="58">
        <v>0.158</v>
      </c>
      <c r="P227" s="4">
        <v>0</v>
      </c>
      <c r="Q227" s="3" t="s">
        <v>26</v>
      </c>
      <c r="R227" s="3">
        <v>0</v>
      </c>
      <c r="S227" s="4">
        <v>0</v>
      </c>
      <c r="T227" s="4">
        <v>15</v>
      </c>
      <c r="U227" s="4">
        <v>24</v>
      </c>
      <c r="V227" s="58">
        <f>IF(ISERROR(VLOOKUP($S$227,'TAR FIN'!$A$1:$O$86,15,0)),0,VLOOKUP($S$227,'TAR FIN'!$A$1:$O$86,15,0))</f>
        <v>0</v>
      </c>
      <c r="W227" s="58">
        <f>IF(ISERROR(VLOOKUP($T$227,'TAR FIN'!$A$1:$O$86,15,0)),0,VLOOKUP($T$227,'TAR FIN'!$A$1:$O$86,15,0))*(1-0.04)</f>
        <v>2030.7647999999999</v>
      </c>
      <c r="X227" s="58">
        <f>IF(ISERROR(VLOOKUP($U$227,'TAR FIN'!$A$1:$O$86,15,0)),0,VLOOKUP($U$227,'TAR FIN'!$A$1:$O$86,15,0))*(1-0.04)</f>
        <v>203.07839999999999</v>
      </c>
      <c r="Y227" s="58"/>
      <c r="Z227" s="58">
        <f ca="1">('TUSD BE'!$AM$11+'TUSD BF'!$AM$11+'TUSD CVA'!$AM$11)*1*(1-0.02)</f>
        <v>2238.5316164441306</v>
      </c>
      <c r="AA227" s="58">
        <f>('TE BE'!$AB$5+'TE BF'!$AB$5+'TE CVA'!$AB$5)*1*(1-0.02)</f>
        <v>192.63738650886071</v>
      </c>
      <c r="AB227" s="4">
        <f>$K$227*$V$227</f>
        <v>0</v>
      </c>
      <c r="AC227" s="4">
        <f>$M$227*$W$227</f>
        <v>320.86083839999998</v>
      </c>
      <c r="AD227" s="4">
        <f>$O$227*$X$227</f>
        <v>32.086387199999997</v>
      </c>
      <c r="AE227" s="4">
        <f>$K$227*$Y$227</f>
        <v>0</v>
      </c>
      <c r="AF227" s="4">
        <f ca="1">$M$227*$Z$227</f>
        <v>353.68799539817263</v>
      </c>
      <c r="AG227" s="4">
        <f>$O$227*$AA$227</f>
        <v>30.436707068399993</v>
      </c>
    </row>
    <row r="228" spans="1:33" ht="11.25" customHeight="1" x14ac:dyDescent="0.25">
      <c r="A228" s="3" t="s">
        <v>21</v>
      </c>
      <c r="B228" s="3" t="s">
        <v>35</v>
      </c>
      <c r="C228" s="3" t="s">
        <v>39</v>
      </c>
      <c r="D228" s="3" t="s">
        <v>42</v>
      </c>
      <c r="E228" s="3" t="s">
        <v>49</v>
      </c>
      <c r="F228" s="3" t="s">
        <v>25</v>
      </c>
      <c r="G228" s="3" t="s">
        <v>25</v>
      </c>
      <c r="H228" s="3" t="s">
        <v>37</v>
      </c>
      <c r="I228" s="6">
        <v>44501</v>
      </c>
      <c r="J228" s="4">
        <v>0</v>
      </c>
      <c r="K228" s="58">
        <v>0</v>
      </c>
      <c r="L228" s="4">
        <v>0.41399999999999998</v>
      </c>
      <c r="M228" s="58">
        <v>0.41399999999999998</v>
      </c>
      <c r="N228" s="4">
        <v>0.41399999999999998</v>
      </c>
      <c r="O228" s="58">
        <v>0.41399999999999998</v>
      </c>
      <c r="P228" s="4">
        <v>0</v>
      </c>
      <c r="Q228" s="3" t="s">
        <v>26</v>
      </c>
      <c r="R228" s="3">
        <v>0</v>
      </c>
      <c r="S228" s="4">
        <v>0</v>
      </c>
      <c r="T228" s="4">
        <v>15</v>
      </c>
      <c r="U228" s="4">
        <v>24</v>
      </c>
      <c r="V228" s="58">
        <f>IF(ISERROR(VLOOKUP($S$228,'TAR FIN'!$A$1:$O$86,15,0)),0,VLOOKUP($S$228,'TAR FIN'!$A$1:$O$86,15,0))</f>
        <v>0</v>
      </c>
      <c r="W228" s="58">
        <f>IF(ISERROR(VLOOKUP($T$228,'TAR FIN'!$A$1:$O$86,15,0)),0,VLOOKUP($T$228,'TAR FIN'!$A$1:$O$86,15,0))*(1-0.04)</f>
        <v>2030.7647999999999</v>
      </c>
      <c r="X228" s="58">
        <f>IF(ISERROR(VLOOKUP($U$228,'TAR FIN'!$A$1:$O$86,15,0)),0,VLOOKUP($U$228,'TAR FIN'!$A$1:$O$86,15,0))*(1-0.04)</f>
        <v>203.07839999999999</v>
      </c>
      <c r="Y228" s="58"/>
      <c r="Z228" s="58">
        <f ca="1">('TUSD BE'!$AM$11+'TUSD BF'!$AM$11+'TUSD CVA'!$AM$11)*1*(1-0.02)</f>
        <v>2238.5316164441306</v>
      </c>
      <c r="AA228" s="58">
        <f>('TE BE'!$AB$5+'TE BF'!$AB$5+'TE CVA'!$AB$5)*1*(1-0.02)</f>
        <v>192.63738650886071</v>
      </c>
      <c r="AB228" s="4">
        <f>$K$228*$V$228</f>
        <v>0</v>
      </c>
      <c r="AC228" s="4">
        <f>$M$228*$W$228</f>
        <v>840.73662719999993</v>
      </c>
      <c r="AD228" s="4">
        <f>$O$228*$X$228</f>
        <v>84.074457599999988</v>
      </c>
      <c r="AE228" s="4">
        <f>$K$228*$Y$228</f>
        <v>0</v>
      </c>
      <c r="AF228" s="4">
        <f ca="1">$M$228*$Z$228</f>
        <v>926.75208920786997</v>
      </c>
      <c r="AG228" s="4">
        <f>$O$228*$AA$228</f>
        <v>79.751878014668335</v>
      </c>
    </row>
    <row r="229" spans="1:33" ht="11.25" customHeight="1" x14ac:dyDescent="0.25">
      <c r="A229" s="3" t="s">
        <v>21</v>
      </c>
      <c r="B229" s="3" t="s">
        <v>35</v>
      </c>
      <c r="C229" s="3" t="s">
        <v>39</v>
      </c>
      <c r="D229" s="3" t="s">
        <v>42</v>
      </c>
      <c r="E229" s="3" t="s">
        <v>49</v>
      </c>
      <c r="F229" s="3" t="s">
        <v>25</v>
      </c>
      <c r="G229" s="3" t="s">
        <v>25</v>
      </c>
      <c r="H229" s="3" t="s">
        <v>37</v>
      </c>
      <c r="I229" s="6">
        <v>44531</v>
      </c>
      <c r="J229" s="4">
        <v>0</v>
      </c>
      <c r="K229" s="58">
        <v>0</v>
      </c>
      <c r="L229" s="4">
        <v>0.77700000000000002</v>
      </c>
      <c r="M229" s="58">
        <v>0.77700000000000002</v>
      </c>
      <c r="N229" s="4">
        <v>0.77700000000000002</v>
      </c>
      <c r="O229" s="58">
        <v>0.77700000000000002</v>
      </c>
      <c r="P229" s="4">
        <v>0</v>
      </c>
      <c r="Q229" s="3" t="s">
        <v>26</v>
      </c>
      <c r="R229" s="3">
        <v>0</v>
      </c>
      <c r="S229" s="4">
        <v>0</v>
      </c>
      <c r="T229" s="4">
        <v>15</v>
      </c>
      <c r="U229" s="4">
        <v>24</v>
      </c>
      <c r="V229" s="58">
        <f>IF(ISERROR(VLOOKUP($S$229,'TAR FIN'!$A$1:$O$86,15,0)),0,VLOOKUP($S$229,'TAR FIN'!$A$1:$O$86,15,0))</f>
        <v>0</v>
      </c>
      <c r="W229" s="58">
        <f>IF(ISERROR(VLOOKUP($T$229,'TAR FIN'!$A$1:$O$86,15,0)),0,VLOOKUP($T$229,'TAR FIN'!$A$1:$O$86,15,0))*(1-0.04)</f>
        <v>2030.7647999999999</v>
      </c>
      <c r="X229" s="58">
        <f>IF(ISERROR(VLOOKUP($U$229,'TAR FIN'!$A$1:$O$86,15,0)),0,VLOOKUP($U$229,'TAR FIN'!$A$1:$O$86,15,0))*(1-0.04)</f>
        <v>203.07839999999999</v>
      </c>
      <c r="Y229" s="58"/>
      <c r="Z229" s="58">
        <f ca="1">('TUSD BE'!$AM$11+'TUSD BF'!$AM$11+'TUSD CVA'!$AM$11)*1*(1-0.02)</f>
        <v>2238.5316164441306</v>
      </c>
      <c r="AA229" s="58">
        <f>('TE BE'!$AB$5+'TE BF'!$AB$5+'TE CVA'!$AB$5)*1*(1-0.02)</f>
        <v>192.63738650886071</v>
      </c>
      <c r="AB229" s="4">
        <f>$K$229*$V$229</f>
        <v>0</v>
      </c>
      <c r="AC229" s="4">
        <f>$M$229*$W$229</f>
        <v>1577.9042496</v>
      </c>
      <c r="AD229" s="4">
        <f>$O$229*$X$229</f>
        <v>157.7919168</v>
      </c>
      <c r="AE229" s="4">
        <f>$K$229*$Y$229</f>
        <v>0</v>
      </c>
      <c r="AF229" s="4">
        <f ca="1">$M$229*$Z$229</f>
        <v>1739.3390659770896</v>
      </c>
      <c r="AG229" s="4">
        <f>$O$229*$AA$229</f>
        <v>149.67924931738477</v>
      </c>
    </row>
    <row r="230" spans="1:33" ht="11.25" customHeight="1" x14ac:dyDescent="0.25">
      <c r="A230" s="3" t="s">
        <v>21</v>
      </c>
      <c r="B230" s="3" t="s">
        <v>35</v>
      </c>
      <c r="C230" s="3" t="s">
        <v>39</v>
      </c>
      <c r="D230" s="3" t="s">
        <v>42</v>
      </c>
      <c r="E230" s="3" t="s">
        <v>49</v>
      </c>
      <c r="F230" s="3" t="s">
        <v>25</v>
      </c>
      <c r="G230" s="3" t="s">
        <v>25</v>
      </c>
      <c r="H230" s="3" t="s">
        <v>37</v>
      </c>
      <c r="I230" s="6">
        <v>44562</v>
      </c>
      <c r="J230" s="4">
        <v>0</v>
      </c>
      <c r="K230" s="58">
        <v>0</v>
      </c>
      <c r="L230" s="4">
        <v>0.247</v>
      </c>
      <c r="M230" s="58">
        <v>0.247</v>
      </c>
      <c r="N230" s="4">
        <v>0.247</v>
      </c>
      <c r="O230" s="58">
        <v>0.247</v>
      </c>
      <c r="P230" s="4">
        <v>0</v>
      </c>
      <c r="Q230" s="3" t="s">
        <v>26</v>
      </c>
      <c r="R230" s="3">
        <v>0</v>
      </c>
      <c r="S230" s="4">
        <v>0</v>
      </c>
      <c r="T230" s="4">
        <v>15</v>
      </c>
      <c r="U230" s="4">
        <v>24</v>
      </c>
      <c r="V230" s="58">
        <f>IF(ISERROR(VLOOKUP($S$230,'TAR FIN'!$A$1:$O$86,15,0)),0,VLOOKUP($S$230,'TAR FIN'!$A$1:$O$86,15,0))</f>
        <v>0</v>
      </c>
      <c r="W230" s="58">
        <f>IF(ISERROR(VLOOKUP($T$230,'TAR FIN'!$A$1:$O$86,15,0)),0,VLOOKUP($T$230,'TAR FIN'!$A$1:$O$86,15,0))*(1-0.04)</f>
        <v>2030.7647999999999</v>
      </c>
      <c r="X230" s="58">
        <f>IF(ISERROR(VLOOKUP($U$230,'TAR FIN'!$A$1:$O$86,15,0)),0,VLOOKUP($U$230,'TAR FIN'!$A$1:$O$86,15,0))*(1-0.04)</f>
        <v>203.07839999999999</v>
      </c>
      <c r="Y230" s="58"/>
      <c r="Z230" s="58">
        <f ca="1">('TUSD BE'!$AM$11+'TUSD BF'!$AM$11+'TUSD CVA'!$AM$11)*1*(1-0.02)</f>
        <v>2238.5316164441306</v>
      </c>
      <c r="AA230" s="58">
        <f>('TE BE'!$AB$5+'TE BF'!$AB$5+'TE CVA'!$AB$5)*1*(1-0.02)</f>
        <v>192.63738650886071</v>
      </c>
      <c r="AB230" s="4">
        <f>$K$230*$V$230</f>
        <v>0</v>
      </c>
      <c r="AC230" s="4">
        <f>$M$230*$W$230</f>
        <v>501.59890559999997</v>
      </c>
      <c r="AD230" s="4">
        <f>$O$230*$X$230</f>
        <v>50.160364799999996</v>
      </c>
      <c r="AE230" s="4">
        <f>$K$230*$Y$230</f>
        <v>0</v>
      </c>
      <c r="AF230" s="4">
        <f ca="1">$M$230*$Z$230</f>
        <v>552.91730926170021</v>
      </c>
      <c r="AG230" s="4">
        <f>$O$230*$AA$230</f>
        <v>47.581434467688595</v>
      </c>
    </row>
    <row r="231" spans="1:33" ht="11.25" customHeight="1" x14ac:dyDescent="0.25">
      <c r="A231" s="3" t="s">
        <v>21</v>
      </c>
      <c r="B231" s="3" t="s">
        <v>35</v>
      </c>
      <c r="C231" s="3" t="s">
        <v>39</v>
      </c>
      <c r="D231" s="3" t="s">
        <v>42</v>
      </c>
      <c r="E231" s="3" t="s">
        <v>49</v>
      </c>
      <c r="F231" s="3" t="s">
        <v>25</v>
      </c>
      <c r="G231" s="3" t="s">
        <v>25</v>
      </c>
      <c r="H231" s="3" t="s">
        <v>37</v>
      </c>
      <c r="I231" s="6">
        <v>44593</v>
      </c>
      <c r="J231" s="4">
        <v>0</v>
      </c>
      <c r="K231" s="58">
        <v>0</v>
      </c>
      <c r="L231" s="4">
        <v>1.0189999999999999</v>
      </c>
      <c r="M231" s="58">
        <v>1.0189999999999999</v>
      </c>
      <c r="N231" s="4">
        <v>1.0189999999999999</v>
      </c>
      <c r="O231" s="58">
        <v>1.0189999999999999</v>
      </c>
      <c r="P231" s="4">
        <v>0</v>
      </c>
      <c r="Q231" s="3" t="s">
        <v>26</v>
      </c>
      <c r="R231" s="3">
        <v>0</v>
      </c>
      <c r="S231" s="4">
        <v>0</v>
      </c>
      <c r="T231" s="4">
        <v>15</v>
      </c>
      <c r="U231" s="4">
        <v>24</v>
      </c>
      <c r="V231" s="58">
        <f>IF(ISERROR(VLOOKUP($S$231,'TAR FIN'!$A$1:$O$86,15,0)),0,VLOOKUP($S$231,'TAR FIN'!$A$1:$O$86,15,0))</f>
        <v>0</v>
      </c>
      <c r="W231" s="58">
        <f>IF(ISERROR(VLOOKUP($T$231,'TAR FIN'!$A$1:$O$86,15,0)),0,VLOOKUP($T$231,'TAR FIN'!$A$1:$O$86,15,0))*(1-0.04)</f>
        <v>2030.7647999999999</v>
      </c>
      <c r="X231" s="58">
        <f>IF(ISERROR(VLOOKUP($U$231,'TAR FIN'!$A$1:$O$86,15,0)),0,VLOOKUP($U$231,'TAR FIN'!$A$1:$O$86,15,0))*(1-0.04)</f>
        <v>203.07839999999999</v>
      </c>
      <c r="Y231" s="58"/>
      <c r="Z231" s="58">
        <f ca="1">('TUSD BE'!$AM$11+'TUSD BF'!$AM$11+'TUSD CVA'!$AM$11)*1*(1-0.02)</f>
        <v>2238.5316164441306</v>
      </c>
      <c r="AA231" s="58">
        <f>('TE BE'!$AB$5+'TE BF'!$AB$5+'TE CVA'!$AB$5)*1*(1-0.02)</f>
        <v>192.63738650886071</v>
      </c>
      <c r="AB231" s="4">
        <f>$K$231*$V$231</f>
        <v>0</v>
      </c>
      <c r="AC231" s="4">
        <f>$M$231*$W$231</f>
        <v>2069.3493311999996</v>
      </c>
      <c r="AD231" s="4">
        <f>$O$231*$X$231</f>
        <v>206.93688959999997</v>
      </c>
      <c r="AE231" s="4">
        <f>$K$231*$Y$231</f>
        <v>0</v>
      </c>
      <c r="AF231" s="4">
        <f ca="1">$M$231*$Z$231</f>
        <v>2281.0637171565691</v>
      </c>
      <c r="AG231" s="4">
        <f>$O$231*$AA$231</f>
        <v>196.29749685252904</v>
      </c>
    </row>
    <row r="232" spans="1:33" ht="11.25" customHeight="1" x14ac:dyDescent="0.25">
      <c r="A232" s="3" t="s">
        <v>21</v>
      </c>
      <c r="B232" s="3" t="s">
        <v>35</v>
      </c>
      <c r="C232" s="3" t="s">
        <v>39</v>
      </c>
      <c r="D232" s="3" t="s">
        <v>42</v>
      </c>
      <c r="E232" s="3" t="s">
        <v>49</v>
      </c>
      <c r="F232" s="3" t="s">
        <v>25</v>
      </c>
      <c r="G232" s="3" t="s">
        <v>25</v>
      </c>
      <c r="H232" s="3" t="s">
        <v>37</v>
      </c>
      <c r="I232" s="6">
        <v>44621</v>
      </c>
      <c r="J232" s="4">
        <v>0</v>
      </c>
      <c r="K232" s="58">
        <v>0</v>
      </c>
      <c r="L232" s="4">
        <v>1.1459999999999999</v>
      </c>
      <c r="M232" s="58">
        <v>1.1459999999999999</v>
      </c>
      <c r="N232" s="4">
        <v>1.1459999999999999</v>
      </c>
      <c r="O232" s="58">
        <v>1.1459999999999999</v>
      </c>
      <c r="P232" s="4">
        <v>0</v>
      </c>
      <c r="Q232" s="3" t="s">
        <v>26</v>
      </c>
      <c r="R232" s="3">
        <v>0</v>
      </c>
      <c r="S232" s="4">
        <v>0</v>
      </c>
      <c r="T232" s="4">
        <v>15</v>
      </c>
      <c r="U232" s="4">
        <v>24</v>
      </c>
      <c r="V232" s="58">
        <f>IF(ISERROR(VLOOKUP($S$232,'TAR FIN'!$A$1:$O$86,15,0)),0,VLOOKUP($S$232,'TAR FIN'!$A$1:$O$86,15,0))</f>
        <v>0</v>
      </c>
      <c r="W232" s="58">
        <f>IF(ISERROR(VLOOKUP($T$232,'TAR FIN'!$A$1:$O$86,15,0)),0,VLOOKUP($T$232,'TAR FIN'!$A$1:$O$86,15,0))*(1-0.04)</f>
        <v>2030.7647999999999</v>
      </c>
      <c r="X232" s="58">
        <f>IF(ISERROR(VLOOKUP($U$232,'TAR FIN'!$A$1:$O$86,15,0)),0,VLOOKUP($U$232,'TAR FIN'!$A$1:$O$86,15,0))*(1-0.04)</f>
        <v>203.07839999999999</v>
      </c>
      <c r="Y232" s="58"/>
      <c r="Z232" s="58">
        <f ca="1">('TUSD BE'!$AM$11+'TUSD BF'!$AM$11+'TUSD CVA'!$AM$11)*1*(1-0.02)</f>
        <v>2238.5316164441306</v>
      </c>
      <c r="AA232" s="58">
        <f>('TE BE'!$AB$5+'TE BF'!$AB$5+'TE CVA'!$AB$5)*1*(1-0.02)</f>
        <v>192.63738650886071</v>
      </c>
      <c r="AB232" s="4">
        <f>$K$232*$V$232</f>
        <v>0</v>
      </c>
      <c r="AC232" s="4">
        <f>$M$232*$W$232</f>
        <v>2327.2564607999998</v>
      </c>
      <c r="AD232" s="4">
        <f>$O$232*$X$232</f>
        <v>232.72784639999998</v>
      </c>
      <c r="AE232" s="4">
        <f>$K$232*$Y$232</f>
        <v>0</v>
      </c>
      <c r="AF232" s="4">
        <f ca="1">$M$232*$Z$232</f>
        <v>2565.3572324449733</v>
      </c>
      <c r="AG232" s="4">
        <f>$O$232*$AA$232</f>
        <v>220.76244493915436</v>
      </c>
    </row>
    <row r="233" spans="1:33" ht="11.25" customHeight="1" x14ac:dyDescent="0.25">
      <c r="A233" s="3" t="s">
        <v>21</v>
      </c>
      <c r="B233" s="3" t="s">
        <v>35</v>
      </c>
      <c r="C233" s="3" t="s">
        <v>39</v>
      </c>
      <c r="D233" s="3" t="s">
        <v>42</v>
      </c>
      <c r="E233" s="3" t="s">
        <v>49</v>
      </c>
      <c r="F233" s="3" t="s">
        <v>25</v>
      </c>
      <c r="G233" s="3" t="s">
        <v>25</v>
      </c>
      <c r="H233" s="3" t="s">
        <v>37</v>
      </c>
      <c r="I233" s="6">
        <v>44652</v>
      </c>
      <c r="J233" s="4">
        <v>0</v>
      </c>
      <c r="K233" s="58">
        <v>0</v>
      </c>
      <c r="L233" s="4">
        <v>0.46500000000000002</v>
      </c>
      <c r="M233" s="58">
        <v>0.46500000000000002</v>
      </c>
      <c r="N233" s="4">
        <v>0.46500000000000002</v>
      </c>
      <c r="O233" s="58">
        <v>0.46500000000000002</v>
      </c>
      <c r="P233" s="4">
        <v>0</v>
      </c>
      <c r="Q233" s="3" t="s">
        <v>26</v>
      </c>
      <c r="R233" s="3">
        <v>0</v>
      </c>
      <c r="S233" s="4">
        <v>0</v>
      </c>
      <c r="T233" s="4">
        <v>15</v>
      </c>
      <c r="U233" s="4">
        <v>24</v>
      </c>
      <c r="V233" s="58">
        <f>IF(ISERROR(VLOOKUP($S$233,'TAR FIN'!$A$1:$O$86,15,0)),0,VLOOKUP($S$233,'TAR FIN'!$A$1:$O$86,15,0))</f>
        <v>0</v>
      </c>
      <c r="W233" s="58">
        <f>IF(ISERROR(VLOOKUP($T$233,'TAR FIN'!$A$1:$O$86,15,0)),0,VLOOKUP($T$233,'TAR FIN'!$A$1:$O$86,15,0))*(1-0.04)</f>
        <v>2030.7647999999999</v>
      </c>
      <c r="X233" s="58">
        <f>IF(ISERROR(VLOOKUP($U$233,'TAR FIN'!$A$1:$O$86,15,0)),0,VLOOKUP($U$233,'TAR FIN'!$A$1:$O$86,15,0))*(1-0.04)</f>
        <v>203.07839999999999</v>
      </c>
      <c r="Y233" s="58"/>
      <c r="Z233" s="58">
        <f ca="1">('TUSD BE'!$AM$11+'TUSD BF'!$AM$11+'TUSD CVA'!$AM$11)*1*(1-0.02)</f>
        <v>2238.5316164441306</v>
      </c>
      <c r="AA233" s="58">
        <f>('TE BE'!$AB$5+'TE BF'!$AB$5+'TE CVA'!$AB$5)*1*(1-0.02)</f>
        <v>192.63738650886071</v>
      </c>
      <c r="AB233" s="4">
        <f>$K$233*$V$233</f>
        <v>0</v>
      </c>
      <c r="AC233" s="4">
        <f>$M$233*$W$233</f>
        <v>944.30563200000006</v>
      </c>
      <c r="AD233" s="4">
        <f>$O$233*$X$233</f>
        <v>94.431455999999997</v>
      </c>
      <c r="AE233" s="4">
        <f>$K$233*$Y$233</f>
        <v>0</v>
      </c>
      <c r="AF233" s="4">
        <f ca="1">$M$233*$Z$233</f>
        <v>1040.9172016465209</v>
      </c>
      <c r="AG233" s="4">
        <f>$O$233*$AA$233</f>
        <v>89.576384726620233</v>
      </c>
    </row>
    <row r="234" spans="1:33" ht="11.25" customHeight="1" x14ac:dyDescent="0.25">
      <c r="A234" s="3" t="s">
        <v>21</v>
      </c>
      <c r="B234" s="3" t="s">
        <v>35</v>
      </c>
      <c r="C234" s="3" t="s">
        <v>39</v>
      </c>
      <c r="D234" s="3" t="s">
        <v>42</v>
      </c>
      <c r="E234" s="3" t="s">
        <v>49</v>
      </c>
      <c r="F234" s="3" t="s">
        <v>25</v>
      </c>
      <c r="G234" s="3" t="s">
        <v>25</v>
      </c>
      <c r="H234" s="3" t="s">
        <v>37</v>
      </c>
      <c r="I234" s="6">
        <v>44682</v>
      </c>
      <c r="J234" s="4">
        <v>0</v>
      </c>
      <c r="K234" s="58">
        <v>0</v>
      </c>
      <c r="L234" s="4">
        <v>6.2E-2</v>
      </c>
      <c r="M234" s="58">
        <v>6.2E-2</v>
      </c>
      <c r="N234" s="4">
        <v>6.2E-2</v>
      </c>
      <c r="O234" s="58">
        <v>6.2E-2</v>
      </c>
      <c r="P234" s="4">
        <v>0</v>
      </c>
      <c r="Q234" s="3" t="s">
        <v>26</v>
      </c>
      <c r="R234" s="3">
        <v>0</v>
      </c>
      <c r="S234" s="4">
        <v>0</v>
      </c>
      <c r="T234" s="4">
        <v>15</v>
      </c>
      <c r="U234" s="4">
        <v>24</v>
      </c>
      <c r="V234" s="58">
        <f>IF(ISERROR(VLOOKUP($S$234,'TAR FIN'!$A$1:$O$86,15,0)),0,VLOOKUP($S$234,'TAR FIN'!$A$1:$O$86,15,0))</f>
        <v>0</v>
      </c>
      <c r="W234" s="58">
        <f>IF(ISERROR(VLOOKUP($T$234,'TAR FIN'!$A$1:$O$86,15,0)),0,VLOOKUP($T$234,'TAR FIN'!$A$1:$O$86,15,0))*(1-0.04)</f>
        <v>2030.7647999999999</v>
      </c>
      <c r="X234" s="58">
        <f>IF(ISERROR(VLOOKUP($U$234,'TAR FIN'!$A$1:$O$86,15,0)),0,VLOOKUP($U$234,'TAR FIN'!$A$1:$O$86,15,0))*(1-0.04)</f>
        <v>203.07839999999999</v>
      </c>
      <c r="Y234" s="58"/>
      <c r="Z234" s="58">
        <f ca="1">('TUSD BE'!$AM$11+'TUSD BF'!$AM$11+'TUSD CVA'!$AM$11)*1*(1-0.02)</f>
        <v>2238.5316164441306</v>
      </c>
      <c r="AA234" s="58">
        <f>('TE BE'!$AB$5+'TE BF'!$AB$5+'TE CVA'!$AB$5)*1*(1-0.02)</f>
        <v>192.63738650886071</v>
      </c>
      <c r="AB234" s="4">
        <f>$K$234*$V$234</f>
        <v>0</v>
      </c>
      <c r="AC234" s="4">
        <f>$M$234*$W$234</f>
        <v>125.90741759999999</v>
      </c>
      <c r="AD234" s="4">
        <f>$O$234*$X$234</f>
        <v>12.5908608</v>
      </c>
      <c r="AE234" s="4">
        <f>$K$234*$Y$234</f>
        <v>0</v>
      </c>
      <c r="AF234" s="4">
        <f ca="1">$M$234*$Z$234</f>
        <v>138.78896021953611</v>
      </c>
      <c r="AG234" s="4">
        <f>$O$234*$AA$234</f>
        <v>11.943517963549365</v>
      </c>
    </row>
    <row r="235" spans="1:33" ht="11.25" customHeight="1" x14ac:dyDescent="0.25">
      <c r="A235" s="3" t="s">
        <v>21</v>
      </c>
      <c r="B235" s="3" t="s">
        <v>35</v>
      </c>
      <c r="C235" s="3" t="s">
        <v>39</v>
      </c>
      <c r="D235" s="3" t="s">
        <v>42</v>
      </c>
      <c r="E235" s="3" t="s">
        <v>49</v>
      </c>
      <c r="F235" s="3" t="s">
        <v>25</v>
      </c>
      <c r="G235" s="3" t="s">
        <v>25</v>
      </c>
      <c r="H235" s="3" t="s">
        <v>37</v>
      </c>
      <c r="I235" s="6">
        <v>44713</v>
      </c>
      <c r="J235" s="4">
        <v>0</v>
      </c>
      <c r="K235" s="58">
        <v>0</v>
      </c>
      <c r="L235" s="4">
        <v>9.6000000000000002E-2</v>
      </c>
      <c r="M235" s="58">
        <v>9.6000000000000002E-2</v>
      </c>
      <c r="N235" s="4">
        <v>9.6000000000000002E-2</v>
      </c>
      <c r="O235" s="58">
        <v>9.6000000000000002E-2</v>
      </c>
      <c r="P235" s="4">
        <v>0</v>
      </c>
      <c r="Q235" s="3" t="s">
        <v>26</v>
      </c>
      <c r="R235" s="3">
        <v>0</v>
      </c>
      <c r="S235" s="4">
        <v>0</v>
      </c>
      <c r="T235" s="4">
        <v>15</v>
      </c>
      <c r="U235" s="4">
        <v>24</v>
      </c>
      <c r="V235" s="58">
        <f>IF(ISERROR(VLOOKUP($S$235,'TAR FIN'!$A$1:$O$86,15,0)),0,VLOOKUP($S$235,'TAR FIN'!$A$1:$O$86,15,0))</f>
        <v>0</v>
      </c>
      <c r="W235" s="58">
        <f>IF(ISERROR(VLOOKUP($T$235,'TAR FIN'!$A$1:$O$86,15,0)),0,VLOOKUP($T$235,'TAR FIN'!$A$1:$O$86,15,0))*(1-0.04)</f>
        <v>2030.7647999999999</v>
      </c>
      <c r="X235" s="58">
        <f>IF(ISERROR(VLOOKUP($U$235,'TAR FIN'!$A$1:$O$86,15,0)),0,VLOOKUP($U$235,'TAR FIN'!$A$1:$O$86,15,0))*(1-0.04)</f>
        <v>203.07839999999999</v>
      </c>
      <c r="Y235" s="58"/>
      <c r="Z235" s="58">
        <f ca="1">('TUSD BE'!$AM$11+'TUSD BF'!$AM$11+'TUSD CVA'!$AM$11)*1*(1-0.02)</f>
        <v>2238.5316164441306</v>
      </c>
      <c r="AA235" s="58">
        <f>('TE BE'!$AB$5+'TE BF'!$AB$5+'TE CVA'!$AB$5)*1*(1-0.02)</f>
        <v>192.63738650886071</v>
      </c>
      <c r="AB235" s="4">
        <f>$K$235*$V$235</f>
        <v>0</v>
      </c>
      <c r="AC235" s="4">
        <f>$M$235*$W$235</f>
        <v>194.9534208</v>
      </c>
      <c r="AD235" s="4">
        <f>$O$235*$X$235</f>
        <v>19.495526399999999</v>
      </c>
      <c r="AE235" s="4">
        <f>$K$235*$Y$235</f>
        <v>0</v>
      </c>
      <c r="AF235" s="4">
        <f ca="1">$M$235*$Z$235</f>
        <v>214.89903517863655</v>
      </c>
      <c r="AG235" s="4">
        <f>$O$235*$AA$235</f>
        <v>18.493189104850629</v>
      </c>
    </row>
    <row r="236" spans="1:33" ht="11.25" customHeight="1" x14ac:dyDescent="0.25">
      <c r="A236" s="3" t="s">
        <v>21</v>
      </c>
      <c r="B236" s="3" t="s">
        <v>35</v>
      </c>
      <c r="C236" s="3" t="s">
        <v>39</v>
      </c>
      <c r="D236" s="3" t="s">
        <v>42</v>
      </c>
      <c r="E236" s="3" t="s">
        <v>25</v>
      </c>
      <c r="F236" s="3" t="s">
        <v>25</v>
      </c>
      <c r="G236" s="3" t="s">
        <v>25</v>
      </c>
      <c r="H236" s="3" t="s">
        <v>38</v>
      </c>
      <c r="I236" s="6">
        <v>44378</v>
      </c>
      <c r="J236" s="4">
        <v>0</v>
      </c>
      <c r="K236" s="58">
        <v>0</v>
      </c>
      <c r="L236" s="4">
        <v>8.3209999999999997</v>
      </c>
      <c r="M236" s="58">
        <v>8.3209999999999997</v>
      </c>
      <c r="N236" s="4">
        <v>8.3209999999999997</v>
      </c>
      <c r="O236" s="58">
        <v>8.3209999999999997</v>
      </c>
      <c r="P236" s="4">
        <v>0</v>
      </c>
      <c r="Q236" s="3" t="s">
        <v>26</v>
      </c>
      <c r="R236" s="3">
        <v>0</v>
      </c>
      <c r="S236" s="4">
        <v>0</v>
      </c>
      <c r="T236" s="4">
        <v>3</v>
      </c>
      <c r="U236" s="4">
        <v>48</v>
      </c>
      <c r="V236" s="58">
        <f>IF(ISERROR(VLOOKUP($S$236,'TAR FIN'!$A$1:$O$86,15,0)),0,VLOOKUP($S$236,'TAR FIN'!$A$1:$O$86,15,0))</f>
        <v>0</v>
      </c>
      <c r="W236" s="58">
        <f>IF(ISERROR(VLOOKUP($T$236,'TAR FIN'!$A$1:$O$86,15,0)),0,VLOOKUP($T$236,'TAR FIN'!$A$1:$O$86,15,0))*(1-0.04)</f>
        <v>65.807999999999993</v>
      </c>
      <c r="X236" s="58">
        <f>IF(ISERROR(VLOOKUP($U$236,'TAR FIN'!$A$1:$O$86,15,0)),0,VLOOKUP($U$236,'TAR FIN'!$A$1:$O$86,15,0))*(1-0.04)</f>
        <v>203.07839999999999</v>
      </c>
      <c r="Y236" s="58"/>
      <c r="Z236" s="58">
        <f ca="1">('TUSD BE'!$AM$12+'TUSD BF'!$AM$12+'TUSD CVA'!$AM$12)*1*(1-0.02)</f>
        <v>94.759808934919519</v>
      </c>
      <c r="AA236" s="58">
        <f>('TE BE'!$AB$6+'TE BF'!$AB$6+'TE CVA'!$AB$6)*1*(1-0.02)</f>
        <v>192.63738650886071</v>
      </c>
      <c r="AB236" s="4">
        <f>$K$236*$V$236</f>
        <v>0</v>
      </c>
      <c r="AC236" s="4">
        <f>$M$236*$W$236</f>
        <v>547.58836799999995</v>
      </c>
      <c r="AD236" s="4">
        <f>$O$236*$X$236</f>
        <v>1689.8153663999999</v>
      </c>
      <c r="AE236" s="4">
        <f>$K$236*$Y$236</f>
        <v>0</v>
      </c>
      <c r="AF236" s="4">
        <f ca="1">$M$236*$Z$236</f>
        <v>788.49637014746531</v>
      </c>
      <c r="AG236" s="4">
        <f>$O$236*$AA$236</f>
        <v>1602.9356931402299</v>
      </c>
    </row>
    <row r="237" spans="1:33" ht="11.25" customHeight="1" x14ac:dyDescent="0.25">
      <c r="A237" s="3" t="s">
        <v>21</v>
      </c>
      <c r="B237" s="3" t="s">
        <v>35</v>
      </c>
      <c r="C237" s="3" t="s">
        <v>39</v>
      </c>
      <c r="D237" s="3" t="s">
        <v>42</v>
      </c>
      <c r="E237" s="3" t="s">
        <v>25</v>
      </c>
      <c r="F237" s="3" t="s">
        <v>25</v>
      </c>
      <c r="G237" s="3" t="s">
        <v>25</v>
      </c>
      <c r="H237" s="3" t="s">
        <v>38</v>
      </c>
      <c r="I237" s="6">
        <v>44409</v>
      </c>
      <c r="J237" s="4">
        <v>0</v>
      </c>
      <c r="K237" s="58">
        <v>0</v>
      </c>
      <c r="L237" s="4">
        <v>1.4419999999999999</v>
      </c>
      <c r="M237" s="58">
        <v>1.4419999999999999</v>
      </c>
      <c r="N237" s="4">
        <v>1.4419999999999999</v>
      </c>
      <c r="O237" s="58">
        <v>1.4419999999999999</v>
      </c>
      <c r="P237" s="4">
        <v>0</v>
      </c>
      <c r="Q237" s="3" t="s">
        <v>26</v>
      </c>
      <c r="R237" s="3">
        <v>0</v>
      </c>
      <c r="S237" s="4">
        <v>0</v>
      </c>
      <c r="T237" s="4">
        <v>3</v>
      </c>
      <c r="U237" s="4">
        <v>48</v>
      </c>
      <c r="V237" s="58">
        <f>IF(ISERROR(VLOOKUP($S$237,'TAR FIN'!$A$1:$O$86,15,0)),0,VLOOKUP($S$237,'TAR FIN'!$A$1:$O$86,15,0))</f>
        <v>0</v>
      </c>
      <c r="W237" s="58">
        <f>IF(ISERROR(VLOOKUP($T$237,'TAR FIN'!$A$1:$O$86,15,0)),0,VLOOKUP($T$237,'TAR FIN'!$A$1:$O$86,15,0))*(1-0.04)</f>
        <v>65.807999999999993</v>
      </c>
      <c r="X237" s="58">
        <f>IF(ISERROR(VLOOKUP($U$237,'TAR FIN'!$A$1:$O$86,15,0)),0,VLOOKUP($U$237,'TAR FIN'!$A$1:$O$86,15,0))*(1-0.04)</f>
        <v>203.07839999999999</v>
      </c>
      <c r="Y237" s="58"/>
      <c r="Z237" s="58">
        <f ca="1">('TUSD BE'!$AM$12+'TUSD BF'!$AM$12+'TUSD CVA'!$AM$12)*1*(1-0.02)</f>
        <v>94.759808934919519</v>
      </c>
      <c r="AA237" s="58">
        <f>('TE BE'!$AB$6+'TE BF'!$AB$6+'TE CVA'!$AB$6)*1*(1-0.02)</f>
        <v>192.63738650886071</v>
      </c>
      <c r="AB237" s="4">
        <f>$K$237*$V$237</f>
        <v>0</v>
      </c>
      <c r="AC237" s="4">
        <f>$M$237*$W$237</f>
        <v>94.89513599999998</v>
      </c>
      <c r="AD237" s="4">
        <f>$O$237*$X$237</f>
        <v>292.83905279999999</v>
      </c>
      <c r="AE237" s="4">
        <f>$K$237*$Y$237</f>
        <v>0</v>
      </c>
      <c r="AF237" s="4">
        <f ca="1">$M$237*$Z$237</f>
        <v>136.64364448415395</v>
      </c>
      <c r="AG237" s="4">
        <f>$O$237*$AA$237</f>
        <v>277.78311134577712</v>
      </c>
    </row>
    <row r="238" spans="1:33" ht="11.25" customHeight="1" x14ac:dyDescent="0.25">
      <c r="A238" s="3" t="s">
        <v>21</v>
      </c>
      <c r="B238" s="3" t="s">
        <v>35</v>
      </c>
      <c r="C238" s="3" t="s">
        <v>39</v>
      </c>
      <c r="D238" s="3" t="s">
        <v>42</v>
      </c>
      <c r="E238" s="3" t="s">
        <v>25</v>
      </c>
      <c r="F238" s="3" t="s">
        <v>25</v>
      </c>
      <c r="G238" s="3" t="s">
        <v>25</v>
      </c>
      <c r="H238" s="3" t="s">
        <v>38</v>
      </c>
      <c r="I238" s="6">
        <v>44440</v>
      </c>
      <c r="J238" s="4">
        <v>0</v>
      </c>
      <c r="K238" s="58">
        <v>0</v>
      </c>
      <c r="L238" s="4">
        <v>2.9969999999999999</v>
      </c>
      <c r="M238" s="58">
        <v>2.9969999999999999</v>
      </c>
      <c r="N238" s="4">
        <v>2.9969999999999999</v>
      </c>
      <c r="O238" s="58">
        <v>2.9969999999999999</v>
      </c>
      <c r="P238" s="4">
        <v>0</v>
      </c>
      <c r="Q238" s="3" t="s">
        <v>26</v>
      </c>
      <c r="R238" s="3">
        <v>0</v>
      </c>
      <c r="S238" s="4">
        <v>0</v>
      </c>
      <c r="T238" s="4">
        <v>3</v>
      </c>
      <c r="U238" s="4">
        <v>48</v>
      </c>
      <c r="V238" s="58">
        <f>IF(ISERROR(VLOOKUP($S$238,'TAR FIN'!$A$1:$O$86,15,0)),0,VLOOKUP($S$238,'TAR FIN'!$A$1:$O$86,15,0))</f>
        <v>0</v>
      </c>
      <c r="W238" s="58">
        <f>IF(ISERROR(VLOOKUP($T$238,'TAR FIN'!$A$1:$O$86,15,0)),0,VLOOKUP($T$238,'TAR FIN'!$A$1:$O$86,15,0))*(1-0.04)</f>
        <v>65.807999999999993</v>
      </c>
      <c r="X238" s="58">
        <f>IF(ISERROR(VLOOKUP($U$238,'TAR FIN'!$A$1:$O$86,15,0)),0,VLOOKUP($U$238,'TAR FIN'!$A$1:$O$86,15,0))*(1-0.04)</f>
        <v>203.07839999999999</v>
      </c>
      <c r="Y238" s="58"/>
      <c r="Z238" s="58">
        <f ca="1">('TUSD BE'!$AM$12+'TUSD BF'!$AM$12+'TUSD CVA'!$AM$12)*1*(1-0.02)</f>
        <v>94.759808934919519</v>
      </c>
      <c r="AA238" s="58">
        <f>('TE BE'!$AB$6+'TE BF'!$AB$6+'TE CVA'!$AB$6)*1*(1-0.02)</f>
        <v>192.63738650886071</v>
      </c>
      <c r="AB238" s="4">
        <f>$K$238*$V$238</f>
        <v>0</v>
      </c>
      <c r="AC238" s="4">
        <f>$M$238*$W$238</f>
        <v>197.22657599999997</v>
      </c>
      <c r="AD238" s="4">
        <f>$O$238*$X$238</f>
        <v>608.62596479999991</v>
      </c>
      <c r="AE238" s="4">
        <f>$K$238*$Y$238</f>
        <v>0</v>
      </c>
      <c r="AF238" s="4">
        <f ca="1">$M$238*$Z$238</f>
        <v>283.9951473779538</v>
      </c>
      <c r="AG238" s="4">
        <f>$O$238*$AA$238</f>
        <v>577.33424736705558</v>
      </c>
    </row>
    <row r="239" spans="1:33" ht="11.25" customHeight="1" x14ac:dyDescent="0.25">
      <c r="A239" s="3" t="s">
        <v>21</v>
      </c>
      <c r="B239" s="3" t="s">
        <v>35</v>
      </c>
      <c r="C239" s="3" t="s">
        <v>39</v>
      </c>
      <c r="D239" s="3" t="s">
        <v>42</v>
      </c>
      <c r="E239" s="3" t="s">
        <v>25</v>
      </c>
      <c r="F239" s="3" t="s">
        <v>25</v>
      </c>
      <c r="G239" s="3" t="s">
        <v>25</v>
      </c>
      <c r="H239" s="3" t="s">
        <v>38</v>
      </c>
      <c r="I239" s="6">
        <v>44470</v>
      </c>
      <c r="J239" s="4">
        <v>0</v>
      </c>
      <c r="K239" s="58">
        <v>0</v>
      </c>
      <c r="L239" s="4">
        <v>17.882000000000001</v>
      </c>
      <c r="M239" s="58">
        <v>17.882000000000001</v>
      </c>
      <c r="N239" s="4">
        <v>17.882000000000001</v>
      </c>
      <c r="O239" s="58">
        <v>17.882000000000001</v>
      </c>
      <c r="P239" s="4">
        <v>0</v>
      </c>
      <c r="Q239" s="3" t="s">
        <v>26</v>
      </c>
      <c r="R239" s="3">
        <v>0</v>
      </c>
      <c r="S239" s="4">
        <v>0</v>
      </c>
      <c r="T239" s="4">
        <v>3</v>
      </c>
      <c r="U239" s="4">
        <v>48</v>
      </c>
      <c r="V239" s="58">
        <f>IF(ISERROR(VLOOKUP($S$239,'TAR FIN'!$A$1:$O$86,15,0)),0,VLOOKUP($S$239,'TAR FIN'!$A$1:$O$86,15,0))</f>
        <v>0</v>
      </c>
      <c r="W239" s="58">
        <f>IF(ISERROR(VLOOKUP($T$239,'TAR FIN'!$A$1:$O$86,15,0)),0,VLOOKUP($T$239,'TAR FIN'!$A$1:$O$86,15,0))*(1-0.04)</f>
        <v>65.807999999999993</v>
      </c>
      <c r="X239" s="58">
        <f>IF(ISERROR(VLOOKUP($U$239,'TAR FIN'!$A$1:$O$86,15,0)),0,VLOOKUP($U$239,'TAR FIN'!$A$1:$O$86,15,0))*(1-0.04)</f>
        <v>203.07839999999999</v>
      </c>
      <c r="Y239" s="58"/>
      <c r="Z239" s="58">
        <f ca="1">('TUSD BE'!$AM$12+'TUSD BF'!$AM$12+'TUSD CVA'!$AM$12)*1*(1-0.02)</f>
        <v>94.759808934919519</v>
      </c>
      <c r="AA239" s="58">
        <f>('TE BE'!$AB$6+'TE BF'!$AB$6+'TE CVA'!$AB$6)*1*(1-0.02)</f>
        <v>192.63738650886071</v>
      </c>
      <c r="AB239" s="4">
        <f>$K$239*$V$239</f>
        <v>0</v>
      </c>
      <c r="AC239" s="4">
        <f>$M$239*$W$239</f>
        <v>1176.778656</v>
      </c>
      <c r="AD239" s="4">
        <f>$O$239*$X$239</f>
        <v>3631.4479488000002</v>
      </c>
      <c r="AE239" s="4">
        <f>$K$239*$Y$239</f>
        <v>0</v>
      </c>
      <c r="AF239" s="4">
        <f ca="1">$M$239*$Z$239</f>
        <v>1694.4949033742309</v>
      </c>
      <c r="AG239" s="4">
        <f>$O$239*$AA$239</f>
        <v>3444.7417455514474</v>
      </c>
    </row>
    <row r="240" spans="1:33" ht="11.25" customHeight="1" x14ac:dyDescent="0.25">
      <c r="A240" s="3" t="s">
        <v>21</v>
      </c>
      <c r="B240" s="3" t="s">
        <v>35</v>
      </c>
      <c r="C240" s="3" t="s">
        <v>39</v>
      </c>
      <c r="D240" s="3" t="s">
        <v>42</v>
      </c>
      <c r="E240" s="3" t="s">
        <v>25</v>
      </c>
      <c r="F240" s="3" t="s">
        <v>25</v>
      </c>
      <c r="G240" s="3" t="s">
        <v>25</v>
      </c>
      <c r="H240" s="3" t="s">
        <v>38</v>
      </c>
      <c r="I240" s="6">
        <v>44501</v>
      </c>
      <c r="J240" s="4">
        <v>0</v>
      </c>
      <c r="K240" s="58">
        <v>0</v>
      </c>
      <c r="L240" s="4">
        <v>29.914000000000001</v>
      </c>
      <c r="M240" s="58">
        <v>29.914000000000001</v>
      </c>
      <c r="N240" s="4">
        <v>29.914000000000001</v>
      </c>
      <c r="O240" s="58">
        <v>29.914000000000001</v>
      </c>
      <c r="P240" s="4">
        <v>0</v>
      </c>
      <c r="Q240" s="3" t="s">
        <v>26</v>
      </c>
      <c r="R240" s="3">
        <v>0</v>
      </c>
      <c r="S240" s="4">
        <v>0</v>
      </c>
      <c r="T240" s="4">
        <v>3</v>
      </c>
      <c r="U240" s="4">
        <v>48</v>
      </c>
      <c r="V240" s="58">
        <f>IF(ISERROR(VLOOKUP($S$240,'TAR FIN'!$A$1:$O$86,15,0)),0,VLOOKUP($S$240,'TAR FIN'!$A$1:$O$86,15,0))</f>
        <v>0</v>
      </c>
      <c r="W240" s="58">
        <f>IF(ISERROR(VLOOKUP($T$240,'TAR FIN'!$A$1:$O$86,15,0)),0,VLOOKUP($T$240,'TAR FIN'!$A$1:$O$86,15,0))*(1-0.04)</f>
        <v>65.807999999999993</v>
      </c>
      <c r="X240" s="58">
        <f>IF(ISERROR(VLOOKUP($U$240,'TAR FIN'!$A$1:$O$86,15,0)),0,VLOOKUP($U$240,'TAR FIN'!$A$1:$O$86,15,0))*(1-0.04)</f>
        <v>203.07839999999999</v>
      </c>
      <c r="Y240" s="58"/>
      <c r="Z240" s="58">
        <f ca="1">('TUSD BE'!$AM$12+'TUSD BF'!$AM$12+'TUSD CVA'!$AM$12)*1*(1-0.02)</f>
        <v>94.759808934919519</v>
      </c>
      <c r="AA240" s="58">
        <f>('TE BE'!$AB$6+'TE BF'!$AB$6+'TE CVA'!$AB$6)*1*(1-0.02)</f>
        <v>192.63738650886071</v>
      </c>
      <c r="AB240" s="4">
        <f>$K$240*$V$240</f>
        <v>0</v>
      </c>
      <c r="AC240" s="4">
        <f>$M$240*$W$240</f>
        <v>1968.5805119999998</v>
      </c>
      <c r="AD240" s="4">
        <f>$O$240*$X$240</f>
        <v>6074.8872576000003</v>
      </c>
      <c r="AE240" s="4">
        <f>$K$240*$Y$240</f>
        <v>0</v>
      </c>
      <c r="AF240" s="4">
        <f ca="1">$M$240*$Z$240</f>
        <v>2834.6449244791825</v>
      </c>
      <c r="AG240" s="4">
        <f>$O$240*$AA$240</f>
        <v>5762.5547800260601</v>
      </c>
    </row>
    <row r="241" spans="1:33" ht="11.25" customHeight="1" x14ac:dyDescent="0.25">
      <c r="A241" s="3" t="s">
        <v>21</v>
      </c>
      <c r="B241" s="3" t="s">
        <v>35</v>
      </c>
      <c r="C241" s="3" t="s">
        <v>39</v>
      </c>
      <c r="D241" s="3" t="s">
        <v>42</v>
      </c>
      <c r="E241" s="3" t="s">
        <v>25</v>
      </c>
      <c r="F241" s="3" t="s">
        <v>25</v>
      </c>
      <c r="G241" s="3" t="s">
        <v>25</v>
      </c>
      <c r="H241" s="3" t="s">
        <v>38</v>
      </c>
      <c r="I241" s="6">
        <v>44531</v>
      </c>
      <c r="J241" s="4">
        <v>0</v>
      </c>
      <c r="K241" s="58">
        <v>0</v>
      </c>
      <c r="L241" s="4">
        <v>35.438000000000002</v>
      </c>
      <c r="M241" s="58">
        <v>35.438000000000002</v>
      </c>
      <c r="N241" s="4">
        <v>35.438000000000002</v>
      </c>
      <c r="O241" s="58">
        <v>35.438000000000002</v>
      </c>
      <c r="P241" s="4">
        <v>0</v>
      </c>
      <c r="Q241" s="3" t="s">
        <v>26</v>
      </c>
      <c r="R241" s="3">
        <v>0</v>
      </c>
      <c r="S241" s="4">
        <v>0</v>
      </c>
      <c r="T241" s="4">
        <v>3</v>
      </c>
      <c r="U241" s="4">
        <v>48</v>
      </c>
      <c r="V241" s="58">
        <f>IF(ISERROR(VLOOKUP($S$241,'TAR FIN'!$A$1:$O$86,15,0)),0,VLOOKUP($S$241,'TAR FIN'!$A$1:$O$86,15,0))</f>
        <v>0</v>
      </c>
      <c r="W241" s="58">
        <f>IF(ISERROR(VLOOKUP($T$241,'TAR FIN'!$A$1:$O$86,15,0)),0,VLOOKUP($T$241,'TAR FIN'!$A$1:$O$86,15,0))*(1-0.04)</f>
        <v>65.807999999999993</v>
      </c>
      <c r="X241" s="58">
        <f>IF(ISERROR(VLOOKUP($U$241,'TAR FIN'!$A$1:$O$86,15,0)),0,VLOOKUP($U$241,'TAR FIN'!$A$1:$O$86,15,0))*(1-0.04)</f>
        <v>203.07839999999999</v>
      </c>
      <c r="Y241" s="58"/>
      <c r="Z241" s="58">
        <f ca="1">('TUSD BE'!$AM$12+'TUSD BF'!$AM$12+'TUSD CVA'!$AM$12)*1*(1-0.02)</f>
        <v>94.759808934919519</v>
      </c>
      <c r="AA241" s="58">
        <f>('TE BE'!$AB$6+'TE BF'!$AB$6+'TE CVA'!$AB$6)*1*(1-0.02)</f>
        <v>192.63738650886071</v>
      </c>
      <c r="AB241" s="4">
        <f>$K$241*$V$241</f>
        <v>0</v>
      </c>
      <c r="AC241" s="4">
        <f>$M$241*$W$241</f>
        <v>2332.1039040000001</v>
      </c>
      <c r="AD241" s="4">
        <f>$O$241*$X$241</f>
        <v>7196.6923391999999</v>
      </c>
      <c r="AE241" s="4">
        <f>$K$241*$Y$241</f>
        <v>0</v>
      </c>
      <c r="AF241" s="4">
        <f ca="1">$M$241*$Z$241</f>
        <v>3358.0981090356781</v>
      </c>
      <c r="AG241" s="4">
        <f>$O$241*$AA$241</f>
        <v>6826.6837031010064</v>
      </c>
    </row>
    <row r="242" spans="1:33" ht="11.25" customHeight="1" x14ac:dyDescent="0.25">
      <c r="A242" s="3" t="s">
        <v>21</v>
      </c>
      <c r="B242" s="3" t="s">
        <v>35</v>
      </c>
      <c r="C242" s="3" t="s">
        <v>39</v>
      </c>
      <c r="D242" s="3" t="s">
        <v>42</v>
      </c>
      <c r="E242" s="3" t="s">
        <v>25</v>
      </c>
      <c r="F242" s="3" t="s">
        <v>25</v>
      </c>
      <c r="G242" s="3" t="s">
        <v>25</v>
      </c>
      <c r="H242" s="3" t="s">
        <v>38</v>
      </c>
      <c r="I242" s="6">
        <v>44562</v>
      </c>
      <c r="J242" s="4">
        <v>0</v>
      </c>
      <c r="K242" s="58">
        <v>0</v>
      </c>
      <c r="L242" s="4">
        <v>67.201999999999998</v>
      </c>
      <c r="M242" s="58">
        <v>67.201999999999998</v>
      </c>
      <c r="N242" s="4">
        <v>67.201999999999998</v>
      </c>
      <c r="O242" s="58">
        <v>67.201999999999998</v>
      </c>
      <c r="P242" s="4">
        <v>0</v>
      </c>
      <c r="Q242" s="3" t="s">
        <v>26</v>
      </c>
      <c r="R242" s="3">
        <v>0</v>
      </c>
      <c r="S242" s="4">
        <v>0</v>
      </c>
      <c r="T242" s="4">
        <v>3</v>
      </c>
      <c r="U242" s="4">
        <v>48</v>
      </c>
      <c r="V242" s="58">
        <f>IF(ISERROR(VLOOKUP($S$242,'TAR FIN'!$A$1:$O$86,15,0)),0,VLOOKUP($S$242,'TAR FIN'!$A$1:$O$86,15,0))</f>
        <v>0</v>
      </c>
      <c r="W242" s="58">
        <f>IF(ISERROR(VLOOKUP($T$242,'TAR FIN'!$A$1:$O$86,15,0)),0,VLOOKUP($T$242,'TAR FIN'!$A$1:$O$86,15,0))*(1-0.04)</f>
        <v>65.807999999999993</v>
      </c>
      <c r="X242" s="58">
        <f>IF(ISERROR(VLOOKUP($U$242,'TAR FIN'!$A$1:$O$86,15,0)),0,VLOOKUP($U$242,'TAR FIN'!$A$1:$O$86,15,0))*(1-0.04)</f>
        <v>203.07839999999999</v>
      </c>
      <c r="Y242" s="58"/>
      <c r="Z242" s="58">
        <f ca="1">('TUSD BE'!$AM$12+'TUSD BF'!$AM$12+'TUSD CVA'!$AM$12)*1*(1-0.02)</f>
        <v>94.759808934919519</v>
      </c>
      <c r="AA242" s="58">
        <f>('TE BE'!$AB$6+'TE BF'!$AB$6+'TE CVA'!$AB$6)*1*(1-0.02)</f>
        <v>192.63738650886071</v>
      </c>
      <c r="AB242" s="4">
        <f>$K$242*$V$242</f>
        <v>0</v>
      </c>
      <c r="AC242" s="4">
        <f>$M$242*$W$242</f>
        <v>4422.4292159999995</v>
      </c>
      <c r="AD242" s="4">
        <f>$O$242*$X$242</f>
        <v>13647.274636799999</v>
      </c>
      <c r="AE242" s="4">
        <f>$K$242*$Y$242</f>
        <v>0</v>
      </c>
      <c r="AF242" s="4">
        <f ca="1">$M$242*$Z$242</f>
        <v>6368.0486800444614</v>
      </c>
      <c r="AG242" s="4">
        <f>$O$242*$AA$242</f>
        <v>12945.617648168458</v>
      </c>
    </row>
    <row r="243" spans="1:33" ht="11.25" customHeight="1" x14ac:dyDescent="0.25">
      <c r="A243" s="3" t="s">
        <v>21</v>
      </c>
      <c r="B243" s="3" t="s">
        <v>35</v>
      </c>
      <c r="C243" s="3" t="s">
        <v>39</v>
      </c>
      <c r="D243" s="3" t="s">
        <v>42</v>
      </c>
      <c r="E243" s="3" t="s">
        <v>25</v>
      </c>
      <c r="F243" s="3" t="s">
        <v>25</v>
      </c>
      <c r="G243" s="3" t="s">
        <v>25</v>
      </c>
      <c r="H243" s="3" t="s">
        <v>38</v>
      </c>
      <c r="I243" s="6">
        <v>44593</v>
      </c>
      <c r="J243" s="4">
        <v>0</v>
      </c>
      <c r="K243" s="58">
        <v>0</v>
      </c>
      <c r="L243" s="4">
        <v>33.357999999999997</v>
      </c>
      <c r="M243" s="58">
        <v>33.357999999999997</v>
      </c>
      <c r="N243" s="4">
        <v>33.357999999999997</v>
      </c>
      <c r="O243" s="58">
        <v>33.357999999999997</v>
      </c>
      <c r="P243" s="4">
        <v>0</v>
      </c>
      <c r="Q243" s="3" t="s">
        <v>26</v>
      </c>
      <c r="R243" s="3">
        <v>0</v>
      </c>
      <c r="S243" s="4">
        <v>0</v>
      </c>
      <c r="T243" s="4">
        <v>3</v>
      </c>
      <c r="U243" s="4">
        <v>48</v>
      </c>
      <c r="V243" s="58">
        <f>IF(ISERROR(VLOOKUP($S$243,'TAR FIN'!$A$1:$O$86,15,0)),0,VLOOKUP($S$243,'TAR FIN'!$A$1:$O$86,15,0))</f>
        <v>0</v>
      </c>
      <c r="W243" s="58">
        <f>IF(ISERROR(VLOOKUP($T$243,'TAR FIN'!$A$1:$O$86,15,0)),0,VLOOKUP($T$243,'TAR FIN'!$A$1:$O$86,15,0))*(1-0.04)</f>
        <v>65.807999999999993</v>
      </c>
      <c r="X243" s="58">
        <f>IF(ISERROR(VLOOKUP($U$243,'TAR FIN'!$A$1:$O$86,15,0)),0,VLOOKUP($U$243,'TAR FIN'!$A$1:$O$86,15,0))*(1-0.04)</f>
        <v>203.07839999999999</v>
      </c>
      <c r="Y243" s="58"/>
      <c r="Z243" s="58">
        <f ca="1">('TUSD BE'!$AM$12+'TUSD BF'!$AM$12+'TUSD CVA'!$AM$12)*1*(1-0.02)</f>
        <v>94.759808934919519</v>
      </c>
      <c r="AA243" s="58">
        <f>('TE BE'!$AB$6+'TE BF'!$AB$6+'TE CVA'!$AB$6)*1*(1-0.02)</f>
        <v>192.63738650886071</v>
      </c>
      <c r="AB243" s="4">
        <f>$K$243*$V$243</f>
        <v>0</v>
      </c>
      <c r="AC243" s="4">
        <f>$M$243*$W$243</f>
        <v>2195.2232639999997</v>
      </c>
      <c r="AD243" s="4">
        <f>$O$243*$X$243</f>
        <v>6774.2892671999989</v>
      </c>
      <c r="AE243" s="4">
        <f>$K$243*$Y$243</f>
        <v>0</v>
      </c>
      <c r="AF243" s="4">
        <f ca="1">$M$243*$Z$243</f>
        <v>3160.9977064510449</v>
      </c>
      <c r="AG243" s="4">
        <f>$O$243*$AA$243</f>
        <v>6425.9979391625748</v>
      </c>
    </row>
    <row r="244" spans="1:33" ht="11.25" customHeight="1" x14ac:dyDescent="0.25">
      <c r="A244" s="3" t="s">
        <v>21</v>
      </c>
      <c r="B244" s="3" t="s">
        <v>35</v>
      </c>
      <c r="C244" s="3" t="s">
        <v>39</v>
      </c>
      <c r="D244" s="3" t="s">
        <v>42</v>
      </c>
      <c r="E244" s="3" t="s">
        <v>25</v>
      </c>
      <c r="F244" s="3" t="s">
        <v>25</v>
      </c>
      <c r="G244" s="3" t="s">
        <v>25</v>
      </c>
      <c r="H244" s="3" t="s">
        <v>38</v>
      </c>
      <c r="I244" s="6">
        <v>44621</v>
      </c>
      <c r="J244" s="4">
        <v>0</v>
      </c>
      <c r="K244" s="58">
        <v>0</v>
      </c>
      <c r="L244" s="4">
        <v>31.106000000000002</v>
      </c>
      <c r="M244" s="58">
        <v>31.106000000000002</v>
      </c>
      <c r="N244" s="4">
        <v>31.106000000000002</v>
      </c>
      <c r="O244" s="58">
        <v>31.106000000000002</v>
      </c>
      <c r="P244" s="4">
        <v>0</v>
      </c>
      <c r="Q244" s="3" t="s">
        <v>26</v>
      </c>
      <c r="R244" s="3">
        <v>0</v>
      </c>
      <c r="S244" s="4">
        <v>0</v>
      </c>
      <c r="T244" s="4">
        <v>3</v>
      </c>
      <c r="U244" s="4">
        <v>48</v>
      </c>
      <c r="V244" s="58">
        <f>IF(ISERROR(VLOOKUP($S$244,'TAR FIN'!$A$1:$O$86,15,0)),0,VLOOKUP($S$244,'TAR FIN'!$A$1:$O$86,15,0))</f>
        <v>0</v>
      </c>
      <c r="W244" s="58">
        <f>IF(ISERROR(VLOOKUP($T$244,'TAR FIN'!$A$1:$O$86,15,0)),0,VLOOKUP($T$244,'TAR FIN'!$A$1:$O$86,15,0))*(1-0.04)</f>
        <v>65.807999999999993</v>
      </c>
      <c r="X244" s="58">
        <f>IF(ISERROR(VLOOKUP($U$244,'TAR FIN'!$A$1:$O$86,15,0)),0,VLOOKUP($U$244,'TAR FIN'!$A$1:$O$86,15,0))*(1-0.04)</f>
        <v>203.07839999999999</v>
      </c>
      <c r="Y244" s="58"/>
      <c r="Z244" s="58">
        <f ca="1">('TUSD BE'!$AM$12+'TUSD BF'!$AM$12+'TUSD CVA'!$AM$12)*1*(1-0.02)</f>
        <v>94.759808934919519</v>
      </c>
      <c r="AA244" s="58">
        <f>('TE BE'!$AB$6+'TE BF'!$AB$6+'TE CVA'!$AB$6)*1*(1-0.02)</f>
        <v>192.63738650886071</v>
      </c>
      <c r="AB244" s="4">
        <f>$K$244*$V$244</f>
        <v>0</v>
      </c>
      <c r="AC244" s="4">
        <f>$M$244*$W$244</f>
        <v>2047.0236479999999</v>
      </c>
      <c r="AD244" s="4">
        <f>$O$244*$X$244</f>
        <v>6316.9567103999998</v>
      </c>
      <c r="AE244" s="4">
        <f>$K$244*$Y$244</f>
        <v>0</v>
      </c>
      <c r="AF244" s="4">
        <f ca="1">$M$244*$Z$244</f>
        <v>2947.5986167296069</v>
      </c>
      <c r="AG244" s="4">
        <f>$O$244*$AA$244</f>
        <v>5992.1785447446218</v>
      </c>
    </row>
    <row r="245" spans="1:33" ht="11.25" customHeight="1" x14ac:dyDescent="0.25">
      <c r="A245" s="3" t="s">
        <v>21</v>
      </c>
      <c r="B245" s="3" t="s">
        <v>35</v>
      </c>
      <c r="C245" s="3" t="s">
        <v>39</v>
      </c>
      <c r="D245" s="3" t="s">
        <v>42</v>
      </c>
      <c r="E245" s="3" t="s">
        <v>25</v>
      </c>
      <c r="F245" s="3" t="s">
        <v>25</v>
      </c>
      <c r="G245" s="3" t="s">
        <v>25</v>
      </c>
      <c r="H245" s="3" t="s">
        <v>38</v>
      </c>
      <c r="I245" s="6">
        <v>44652</v>
      </c>
      <c r="J245" s="4">
        <v>0</v>
      </c>
      <c r="K245" s="58">
        <v>0</v>
      </c>
      <c r="L245" s="4">
        <v>23.597999999999999</v>
      </c>
      <c r="M245" s="58">
        <v>23.597999999999999</v>
      </c>
      <c r="N245" s="4">
        <v>23.597999999999999</v>
      </c>
      <c r="O245" s="58">
        <v>23.597999999999999</v>
      </c>
      <c r="P245" s="4">
        <v>0</v>
      </c>
      <c r="Q245" s="3" t="s">
        <v>26</v>
      </c>
      <c r="R245" s="3">
        <v>0</v>
      </c>
      <c r="S245" s="4">
        <v>0</v>
      </c>
      <c r="T245" s="4">
        <v>3</v>
      </c>
      <c r="U245" s="4">
        <v>48</v>
      </c>
      <c r="V245" s="58">
        <f>IF(ISERROR(VLOOKUP($S$245,'TAR FIN'!$A$1:$O$86,15,0)),0,VLOOKUP($S$245,'TAR FIN'!$A$1:$O$86,15,0))</f>
        <v>0</v>
      </c>
      <c r="W245" s="58">
        <f>IF(ISERROR(VLOOKUP($T$245,'TAR FIN'!$A$1:$O$86,15,0)),0,VLOOKUP($T$245,'TAR FIN'!$A$1:$O$86,15,0))*(1-0.04)</f>
        <v>65.807999999999993</v>
      </c>
      <c r="X245" s="58">
        <f>IF(ISERROR(VLOOKUP($U$245,'TAR FIN'!$A$1:$O$86,15,0)),0,VLOOKUP($U$245,'TAR FIN'!$A$1:$O$86,15,0))*(1-0.04)</f>
        <v>203.07839999999999</v>
      </c>
      <c r="Y245" s="58"/>
      <c r="Z245" s="58">
        <f ca="1">('TUSD BE'!$AM$12+'TUSD BF'!$AM$12+'TUSD CVA'!$AM$12)*1*(1-0.02)</f>
        <v>94.759808934919519</v>
      </c>
      <c r="AA245" s="58">
        <f>('TE BE'!$AB$6+'TE BF'!$AB$6+'TE CVA'!$AB$6)*1*(1-0.02)</f>
        <v>192.63738650886071</v>
      </c>
      <c r="AB245" s="4">
        <f>$K$245*$V$245</f>
        <v>0</v>
      </c>
      <c r="AC245" s="4">
        <f>$M$245*$W$245</f>
        <v>1552.9371839999997</v>
      </c>
      <c r="AD245" s="4">
        <f>$O$245*$X$245</f>
        <v>4792.2440831999993</v>
      </c>
      <c r="AE245" s="4">
        <f>$K$245*$Y$245</f>
        <v>0</v>
      </c>
      <c r="AF245" s="4">
        <f ca="1">$M$245*$Z$245</f>
        <v>2236.1419712462307</v>
      </c>
      <c r="AG245" s="4">
        <f>$O$245*$AA$245</f>
        <v>4545.8570468360949</v>
      </c>
    </row>
    <row r="246" spans="1:33" ht="11.25" customHeight="1" x14ac:dyDescent="0.25">
      <c r="A246" s="3" t="s">
        <v>21</v>
      </c>
      <c r="B246" s="3" t="s">
        <v>35</v>
      </c>
      <c r="C246" s="3" t="s">
        <v>39</v>
      </c>
      <c r="D246" s="3" t="s">
        <v>42</v>
      </c>
      <c r="E246" s="3" t="s">
        <v>25</v>
      </c>
      <c r="F246" s="3" t="s">
        <v>25</v>
      </c>
      <c r="G246" s="3" t="s">
        <v>25</v>
      </c>
      <c r="H246" s="3" t="s">
        <v>38</v>
      </c>
      <c r="I246" s="6">
        <v>44682</v>
      </c>
      <c r="J246" s="4">
        <v>0</v>
      </c>
      <c r="K246" s="58">
        <v>0</v>
      </c>
      <c r="L246" s="4">
        <v>19.457999999999998</v>
      </c>
      <c r="M246" s="58">
        <v>19.457999999999998</v>
      </c>
      <c r="N246" s="4">
        <v>19.457999999999998</v>
      </c>
      <c r="O246" s="58">
        <v>19.457999999999998</v>
      </c>
      <c r="P246" s="4">
        <v>0</v>
      </c>
      <c r="Q246" s="3" t="s">
        <v>26</v>
      </c>
      <c r="R246" s="3">
        <v>0</v>
      </c>
      <c r="S246" s="4">
        <v>0</v>
      </c>
      <c r="T246" s="4">
        <v>3</v>
      </c>
      <c r="U246" s="4">
        <v>48</v>
      </c>
      <c r="V246" s="58">
        <f>IF(ISERROR(VLOOKUP($S$246,'TAR FIN'!$A$1:$O$86,15,0)),0,VLOOKUP($S$246,'TAR FIN'!$A$1:$O$86,15,0))</f>
        <v>0</v>
      </c>
      <c r="W246" s="58">
        <f>IF(ISERROR(VLOOKUP($T$246,'TAR FIN'!$A$1:$O$86,15,0)),0,VLOOKUP($T$246,'TAR FIN'!$A$1:$O$86,15,0))*(1-0.04)</f>
        <v>65.807999999999993</v>
      </c>
      <c r="X246" s="58">
        <f>IF(ISERROR(VLOOKUP($U$246,'TAR FIN'!$A$1:$O$86,15,0)),0,VLOOKUP($U$246,'TAR FIN'!$A$1:$O$86,15,0))*(1-0.04)</f>
        <v>203.07839999999999</v>
      </c>
      <c r="Y246" s="58"/>
      <c r="Z246" s="58">
        <f ca="1">('TUSD BE'!$AM$12+'TUSD BF'!$AM$12+'TUSD CVA'!$AM$12)*1*(1-0.02)</f>
        <v>94.759808934919519</v>
      </c>
      <c r="AA246" s="58">
        <f>('TE BE'!$AB$6+'TE BF'!$AB$6+'TE CVA'!$AB$6)*1*(1-0.02)</f>
        <v>192.63738650886071</v>
      </c>
      <c r="AB246" s="4">
        <f>$K$246*$V$246</f>
        <v>0</v>
      </c>
      <c r="AC246" s="4">
        <f>$M$246*$W$246</f>
        <v>1280.4920639999998</v>
      </c>
      <c r="AD246" s="4">
        <f>$O$246*$X$246</f>
        <v>3951.4995071999992</v>
      </c>
      <c r="AE246" s="4">
        <f>$K$246*$Y$246</f>
        <v>0</v>
      </c>
      <c r="AF246" s="4">
        <f ca="1">$M$246*$Z$246</f>
        <v>1843.8363622556637</v>
      </c>
      <c r="AG246" s="4">
        <f>$O$246*$AA$246</f>
        <v>3748.3382666894113</v>
      </c>
    </row>
    <row r="247" spans="1:33" ht="11.25" customHeight="1" x14ac:dyDescent="0.25">
      <c r="A247" s="3" t="s">
        <v>21</v>
      </c>
      <c r="B247" s="3" t="s">
        <v>35</v>
      </c>
      <c r="C247" s="3" t="s">
        <v>39</v>
      </c>
      <c r="D247" s="3" t="s">
        <v>42</v>
      </c>
      <c r="E247" s="3" t="s">
        <v>25</v>
      </c>
      <c r="F247" s="3" t="s">
        <v>25</v>
      </c>
      <c r="G247" s="3" t="s">
        <v>25</v>
      </c>
      <c r="H247" s="3" t="s">
        <v>38</v>
      </c>
      <c r="I247" s="6">
        <v>44713</v>
      </c>
      <c r="J247" s="4">
        <v>0</v>
      </c>
      <c r="K247" s="58">
        <v>0</v>
      </c>
      <c r="L247" s="4">
        <v>18.079000000000001</v>
      </c>
      <c r="M247" s="58">
        <v>18.079000000000001</v>
      </c>
      <c r="N247" s="4">
        <v>18.079000000000001</v>
      </c>
      <c r="O247" s="58">
        <v>18.079000000000001</v>
      </c>
      <c r="P247" s="4">
        <v>0</v>
      </c>
      <c r="Q247" s="3" t="s">
        <v>26</v>
      </c>
      <c r="R247" s="3">
        <v>0</v>
      </c>
      <c r="S247" s="4">
        <v>0</v>
      </c>
      <c r="T247" s="4">
        <v>3</v>
      </c>
      <c r="U247" s="4">
        <v>48</v>
      </c>
      <c r="V247" s="58">
        <f>IF(ISERROR(VLOOKUP($S$247,'TAR FIN'!$A$1:$O$86,15,0)),0,VLOOKUP($S$247,'TAR FIN'!$A$1:$O$86,15,0))</f>
        <v>0</v>
      </c>
      <c r="W247" s="58">
        <f>IF(ISERROR(VLOOKUP($T$247,'TAR FIN'!$A$1:$O$86,15,0)),0,VLOOKUP($T$247,'TAR FIN'!$A$1:$O$86,15,0))*(1-0.04)</f>
        <v>65.807999999999993</v>
      </c>
      <c r="X247" s="58">
        <f>IF(ISERROR(VLOOKUP($U$247,'TAR FIN'!$A$1:$O$86,15,0)),0,VLOOKUP($U$247,'TAR FIN'!$A$1:$O$86,15,0))*(1-0.04)</f>
        <v>203.07839999999999</v>
      </c>
      <c r="Y247" s="58"/>
      <c r="Z247" s="58">
        <f ca="1">('TUSD BE'!$AM$12+'TUSD BF'!$AM$12+'TUSD CVA'!$AM$12)*1*(1-0.02)</f>
        <v>94.759808934919519</v>
      </c>
      <c r="AA247" s="58">
        <f>('TE BE'!$AB$6+'TE BF'!$AB$6+'TE CVA'!$AB$6)*1*(1-0.02)</f>
        <v>192.63738650886071</v>
      </c>
      <c r="AB247" s="4">
        <f>$K$247*$V$247</f>
        <v>0</v>
      </c>
      <c r="AC247" s="4">
        <f>$M$247*$W$247</f>
        <v>1189.7428319999999</v>
      </c>
      <c r="AD247" s="4">
        <f>$O$247*$X$247</f>
        <v>3671.4543936</v>
      </c>
      <c r="AE247" s="4">
        <f>$K$247*$Y$247</f>
        <v>0</v>
      </c>
      <c r="AF247" s="4">
        <f ca="1">$M$247*$Z$247</f>
        <v>1713.16258573441</v>
      </c>
      <c r="AG247" s="4">
        <f>$O$247*$AA$247</f>
        <v>3482.6913106936931</v>
      </c>
    </row>
    <row r="248" spans="1:33" ht="11.25" customHeight="1" x14ac:dyDescent="0.25">
      <c r="A248" s="3" t="s">
        <v>21</v>
      </c>
      <c r="B248" s="3" t="s">
        <v>35</v>
      </c>
      <c r="C248" s="3" t="s">
        <v>39</v>
      </c>
      <c r="D248" s="3" t="s">
        <v>42</v>
      </c>
      <c r="E248" s="3" t="s">
        <v>25</v>
      </c>
      <c r="F248" s="3" t="s">
        <v>25</v>
      </c>
      <c r="G248" s="3" t="s">
        <v>25</v>
      </c>
      <c r="H248" s="3" t="s">
        <v>25</v>
      </c>
      <c r="I248" s="6">
        <v>44378</v>
      </c>
      <c r="J248" s="4">
        <v>110</v>
      </c>
      <c r="K248" s="58">
        <v>110</v>
      </c>
      <c r="L248" s="4">
        <v>0</v>
      </c>
      <c r="M248" s="58">
        <v>0</v>
      </c>
      <c r="N248" s="4">
        <v>0</v>
      </c>
      <c r="O248" s="58">
        <v>0</v>
      </c>
      <c r="P248" s="4">
        <v>1</v>
      </c>
      <c r="Q248" s="3" t="s">
        <v>26</v>
      </c>
      <c r="R248" s="3">
        <v>0</v>
      </c>
      <c r="S248" s="4">
        <v>31</v>
      </c>
      <c r="T248" s="4">
        <v>0</v>
      </c>
      <c r="U248" s="4">
        <v>0</v>
      </c>
      <c r="V248" s="58">
        <f>IF(ISERROR(VLOOKUP($S$248,'TAR FIN'!$A$1:$O$86,15,0)),0,VLOOKUP($S$248,'TAR FIN'!$A$1:$O$86,15,0))*(1-0.04)</f>
        <v>36.979199999999999</v>
      </c>
      <c r="W248" s="58">
        <f>IF(ISERROR(VLOOKUP($T$248,'TAR FIN'!$A$1:$O$86,15,0)),0,VLOOKUP($T$248,'TAR FIN'!$A$1:$O$86,15,0))</f>
        <v>0</v>
      </c>
      <c r="X248" s="58">
        <f>IF(ISERROR(VLOOKUP($U$248,'TAR FIN'!$A$1:$O$86,15,0)),0,VLOOKUP($U$248,'TAR FIN'!$A$1:$O$86,15,0))</f>
        <v>0</v>
      </c>
      <c r="Y248" s="58">
        <f ca="1">('TUSD BE'!$AM$10+'TUSD BF'!$AM$10+'TUSD CVA'!$AM$10)*1*(1-0.02)</f>
        <v>43.370109275458091</v>
      </c>
      <c r="Z248" s="58"/>
      <c r="AA248" s="58"/>
      <c r="AB248" s="4">
        <f>$K$248*$V$248</f>
        <v>4067.712</v>
      </c>
      <c r="AC248" s="4">
        <f>$M$248*$W$248</f>
        <v>0</v>
      </c>
      <c r="AD248" s="4">
        <f>$O$248*$X$248</f>
        <v>0</v>
      </c>
      <c r="AE248" s="4">
        <f ca="1">$K$248*$Y$248</f>
        <v>4770.7120203003897</v>
      </c>
      <c r="AF248" s="4">
        <f>$M$248*$Z$248</f>
        <v>0</v>
      </c>
      <c r="AG248" s="4">
        <f>$O$248*$AA$248</f>
        <v>0</v>
      </c>
    </row>
    <row r="249" spans="1:33" ht="11.25" customHeight="1" x14ac:dyDescent="0.25">
      <c r="A249" s="3" t="s">
        <v>21</v>
      </c>
      <c r="B249" s="3" t="s">
        <v>35</v>
      </c>
      <c r="C249" s="3" t="s">
        <v>39</v>
      </c>
      <c r="D249" s="3" t="s">
        <v>42</v>
      </c>
      <c r="E249" s="3" t="s">
        <v>25</v>
      </c>
      <c r="F249" s="3" t="s">
        <v>25</v>
      </c>
      <c r="G249" s="3" t="s">
        <v>25</v>
      </c>
      <c r="H249" s="3" t="s">
        <v>25</v>
      </c>
      <c r="I249" s="6">
        <v>44409</v>
      </c>
      <c r="J249" s="4">
        <v>110</v>
      </c>
      <c r="K249" s="58">
        <v>110</v>
      </c>
      <c r="L249" s="4">
        <v>0</v>
      </c>
      <c r="M249" s="58">
        <v>0</v>
      </c>
      <c r="N249" s="4">
        <v>0</v>
      </c>
      <c r="O249" s="58">
        <v>0</v>
      </c>
      <c r="P249" s="4">
        <v>1</v>
      </c>
      <c r="Q249" s="3" t="s">
        <v>26</v>
      </c>
      <c r="R249" s="3">
        <v>0</v>
      </c>
      <c r="S249" s="4">
        <v>31</v>
      </c>
      <c r="T249" s="4">
        <v>0</v>
      </c>
      <c r="U249" s="4">
        <v>0</v>
      </c>
      <c r="V249" s="58">
        <f>IF(ISERROR(VLOOKUP($S$249,'TAR FIN'!$A$1:$O$86,15,0)),0,VLOOKUP($S$249,'TAR FIN'!$A$1:$O$86,15,0))*(1-0.04)</f>
        <v>36.979199999999999</v>
      </c>
      <c r="W249" s="58">
        <f>IF(ISERROR(VLOOKUP($T$249,'TAR FIN'!$A$1:$O$86,15,0)),0,VLOOKUP($T$249,'TAR FIN'!$A$1:$O$86,15,0))</f>
        <v>0</v>
      </c>
      <c r="X249" s="58">
        <f>IF(ISERROR(VLOOKUP($U$249,'TAR FIN'!$A$1:$O$86,15,0)),0,VLOOKUP($U$249,'TAR FIN'!$A$1:$O$86,15,0))</f>
        <v>0</v>
      </c>
      <c r="Y249" s="58">
        <f ca="1">('TUSD BE'!$AM$10+'TUSD BF'!$AM$10+'TUSD CVA'!$AM$10)*1*(1-0.02)</f>
        <v>43.370109275458091</v>
      </c>
      <c r="Z249" s="58"/>
      <c r="AA249" s="58"/>
      <c r="AB249" s="4">
        <f>$K$249*$V$249</f>
        <v>4067.712</v>
      </c>
      <c r="AC249" s="4">
        <f>$M$249*$W$249</f>
        <v>0</v>
      </c>
      <c r="AD249" s="4">
        <f>$O$249*$X$249</f>
        <v>0</v>
      </c>
      <c r="AE249" s="4">
        <f ca="1">$K$249*$Y$249</f>
        <v>4770.7120203003897</v>
      </c>
      <c r="AF249" s="4">
        <f>$M$249*$Z$249</f>
        <v>0</v>
      </c>
      <c r="AG249" s="4">
        <f>$O$249*$AA$249</f>
        <v>0</v>
      </c>
    </row>
    <row r="250" spans="1:33" ht="11.25" customHeight="1" x14ac:dyDescent="0.25">
      <c r="A250" s="3" t="s">
        <v>21</v>
      </c>
      <c r="B250" s="3" t="s">
        <v>35</v>
      </c>
      <c r="C250" s="3" t="s">
        <v>39</v>
      </c>
      <c r="D250" s="3" t="s">
        <v>42</v>
      </c>
      <c r="E250" s="3" t="s">
        <v>25</v>
      </c>
      <c r="F250" s="3" t="s">
        <v>25</v>
      </c>
      <c r="G250" s="3" t="s">
        <v>25</v>
      </c>
      <c r="H250" s="3" t="s">
        <v>25</v>
      </c>
      <c r="I250" s="6">
        <v>44440</v>
      </c>
      <c r="J250" s="4">
        <v>110</v>
      </c>
      <c r="K250" s="58">
        <v>110</v>
      </c>
      <c r="L250" s="4">
        <v>0</v>
      </c>
      <c r="M250" s="58">
        <v>0</v>
      </c>
      <c r="N250" s="4">
        <v>0</v>
      </c>
      <c r="O250" s="58">
        <v>0</v>
      </c>
      <c r="P250" s="4">
        <v>1</v>
      </c>
      <c r="Q250" s="3" t="s">
        <v>26</v>
      </c>
      <c r="R250" s="3">
        <v>0</v>
      </c>
      <c r="S250" s="4">
        <v>31</v>
      </c>
      <c r="T250" s="4">
        <v>0</v>
      </c>
      <c r="U250" s="4">
        <v>0</v>
      </c>
      <c r="V250" s="58">
        <f>IF(ISERROR(VLOOKUP($S$250,'TAR FIN'!$A$1:$O$86,15,0)),0,VLOOKUP($S$250,'TAR FIN'!$A$1:$O$86,15,0))*(1-0.04)</f>
        <v>36.979199999999999</v>
      </c>
      <c r="W250" s="58">
        <f>IF(ISERROR(VLOOKUP($T$250,'TAR FIN'!$A$1:$O$86,15,0)),0,VLOOKUP($T$250,'TAR FIN'!$A$1:$O$86,15,0))</f>
        <v>0</v>
      </c>
      <c r="X250" s="58">
        <f>IF(ISERROR(VLOOKUP($U$250,'TAR FIN'!$A$1:$O$86,15,0)),0,VLOOKUP($U$250,'TAR FIN'!$A$1:$O$86,15,0))</f>
        <v>0</v>
      </c>
      <c r="Y250" s="58">
        <f ca="1">('TUSD BE'!$AM$10+'TUSD BF'!$AM$10+'TUSD CVA'!$AM$10)*1*(1-0.02)</f>
        <v>43.370109275458091</v>
      </c>
      <c r="Z250" s="58"/>
      <c r="AA250" s="58"/>
      <c r="AB250" s="4">
        <f>$K$250*$V$250</f>
        <v>4067.712</v>
      </c>
      <c r="AC250" s="4">
        <f>$M$250*$W$250</f>
        <v>0</v>
      </c>
      <c r="AD250" s="4">
        <f>$O$250*$X$250</f>
        <v>0</v>
      </c>
      <c r="AE250" s="4">
        <f ca="1">$K$250*$Y$250</f>
        <v>4770.7120203003897</v>
      </c>
      <c r="AF250" s="4">
        <f>$M$250*$Z$250</f>
        <v>0</v>
      </c>
      <c r="AG250" s="4">
        <f>$O$250*$AA$250</f>
        <v>0</v>
      </c>
    </row>
    <row r="251" spans="1:33" ht="11.25" customHeight="1" x14ac:dyDescent="0.25">
      <c r="A251" s="3" t="s">
        <v>21</v>
      </c>
      <c r="B251" s="3" t="s">
        <v>35</v>
      </c>
      <c r="C251" s="3" t="s">
        <v>39</v>
      </c>
      <c r="D251" s="3" t="s">
        <v>42</v>
      </c>
      <c r="E251" s="3" t="s">
        <v>25</v>
      </c>
      <c r="F251" s="3" t="s">
        <v>25</v>
      </c>
      <c r="G251" s="3" t="s">
        <v>25</v>
      </c>
      <c r="H251" s="3" t="s">
        <v>25</v>
      </c>
      <c r="I251" s="6">
        <v>44470</v>
      </c>
      <c r="J251" s="4">
        <v>110</v>
      </c>
      <c r="K251" s="58">
        <v>110</v>
      </c>
      <c r="L251" s="4">
        <v>0</v>
      </c>
      <c r="M251" s="58">
        <v>0</v>
      </c>
      <c r="N251" s="4">
        <v>0</v>
      </c>
      <c r="O251" s="58">
        <v>0</v>
      </c>
      <c r="P251" s="4">
        <v>1</v>
      </c>
      <c r="Q251" s="3" t="s">
        <v>26</v>
      </c>
      <c r="R251" s="3">
        <v>0</v>
      </c>
      <c r="S251" s="4">
        <v>31</v>
      </c>
      <c r="T251" s="4">
        <v>0</v>
      </c>
      <c r="U251" s="4">
        <v>0</v>
      </c>
      <c r="V251" s="58">
        <f>IF(ISERROR(VLOOKUP($S$251,'TAR FIN'!$A$1:$O$86,15,0)),0,VLOOKUP($S$251,'TAR FIN'!$A$1:$O$86,15,0))*(1-0.04)</f>
        <v>36.979199999999999</v>
      </c>
      <c r="W251" s="58">
        <f>IF(ISERROR(VLOOKUP($T$251,'TAR FIN'!$A$1:$O$86,15,0)),0,VLOOKUP($T$251,'TAR FIN'!$A$1:$O$86,15,0))</f>
        <v>0</v>
      </c>
      <c r="X251" s="58">
        <f>IF(ISERROR(VLOOKUP($U$251,'TAR FIN'!$A$1:$O$86,15,0)),0,VLOOKUP($U$251,'TAR FIN'!$A$1:$O$86,15,0))</f>
        <v>0</v>
      </c>
      <c r="Y251" s="58">
        <f ca="1">('TUSD BE'!$AM$10+'TUSD BF'!$AM$10+'TUSD CVA'!$AM$10)*1*(1-0.02)</f>
        <v>43.370109275458091</v>
      </c>
      <c r="Z251" s="58"/>
      <c r="AA251" s="58"/>
      <c r="AB251" s="4">
        <f>$K$251*$V$251</f>
        <v>4067.712</v>
      </c>
      <c r="AC251" s="4">
        <f>$M$251*$W$251</f>
        <v>0</v>
      </c>
      <c r="AD251" s="4">
        <f>$O$251*$X$251</f>
        <v>0</v>
      </c>
      <c r="AE251" s="4">
        <f ca="1">$K$251*$Y$251</f>
        <v>4770.7120203003897</v>
      </c>
      <c r="AF251" s="4">
        <f>$M$251*$Z$251</f>
        <v>0</v>
      </c>
      <c r="AG251" s="4">
        <f>$O$251*$AA$251</f>
        <v>0</v>
      </c>
    </row>
    <row r="252" spans="1:33" ht="11.25" customHeight="1" x14ac:dyDescent="0.25">
      <c r="A252" s="3" t="s">
        <v>21</v>
      </c>
      <c r="B252" s="3" t="s">
        <v>35</v>
      </c>
      <c r="C252" s="3" t="s">
        <v>39</v>
      </c>
      <c r="D252" s="3" t="s">
        <v>42</v>
      </c>
      <c r="E252" s="3" t="s">
        <v>25</v>
      </c>
      <c r="F252" s="3" t="s">
        <v>25</v>
      </c>
      <c r="G252" s="3" t="s">
        <v>25</v>
      </c>
      <c r="H252" s="3" t="s">
        <v>25</v>
      </c>
      <c r="I252" s="6">
        <v>44501</v>
      </c>
      <c r="J252" s="4">
        <v>119</v>
      </c>
      <c r="K252" s="58">
        <v>119</v>
      </c>
      <c r="L252" s="4">
        <v>0</v>
      </c>
      <c r="M252" s="58">
        <v>0</v>
      </c>
      <c r="N252" s="4">
        <v>0</v>
      </c>
      <c r="O252" s="58">
        <v>0</v>
      </c>
      <c r="P252" s="4">
        <v>1</v>
      </c>
      <c r="Q252" s="3" t="s">
        <v>26</v>
      </c>
      <c r="R252" s="3">
        <v>0</v>
      </c>
      <c r="S252" s="4">
        <v>31</v>
      </c>
      <c r="T252" s="4">
        <v>0</v>
      </c>
      <c r="U252" s="4">
        <v>0</v>
      </c>
      <c r="V252" s="58">
        <f>IF(ISERROR(VLOOKUP($S$252,'TAR FIN'!$A$1:$O$86,15,0)),0,VLOOKUP($S$252,'TAR FIN'!$A$1:$O$86,15,0))*(1-0.04)</f>
        <v>36.979199999999999</v>
      </c>
      <c r="W252" s="58">
        <f>IF(ISERROR(VLOOKUP($T$252,'TAR FIN'!$A$1:$O$86,15,0)),0,VLOOKUP($T$252,'TAR FIN'!$A$1:$O$86,15,0))</f>
        <v>0</v>
      </c>
      <c r="X252" s="58">
        <f>IF(ISERROR(VLOOKUP($U$252,'TAR FIN'!$A$1:$O$86,15,0)),0,VLOOKUP($U$252,'TAR FIN'!$A$1:$O$86,15,0))</f>
        <v>0</v>
      </c>
      <c r="Y252" s="58">
        <f ca="1">('TUSD BE'!$AM$10+'TUSD BF'!$AM$10+'TUSD CVA'!$AM$10)*1*(1-0.02)</f>
        <v>43.370109275458091</v>
      </c>
      <c r="Z252" s="58"/>
      <c r="AA252" s="58"/>
      <c r="AB252" s="4">
        <f>$K$252*$V$252</f>
        <v>4400.5248000000001</v>
      </c>
      <c r="AC252" s="4">
        <f>$M$252*$W$252</f>
        <v>0</v>
      </c>
      <c r="AD252" s="4">
        <f>$O$252*$X$252</f>
        <v>0</v>
      </c>
      <c r="AE252" s="4">
        <f ca="1">$K$252*$Y$252</f>
        <v>5161.0430037795131</v>
      </c>
      <c r="AF252" s="4">
        <f>$M$252*$Z$252</f>
        <v>0</v>
      </c>
      <c r="AG252" s="4">
        <f>$O$252*$AA$252</f>
        <v>0</v>
      </c>
    </row>
    <row r="253" spans="1:33" ht="11.25" customHeight="1" x14ac:dyDescent="0.25">
      <c r="A253" s="3" t="s">
        <v>21</v>
      </c>
      <c r="B253" s="3" t="s">
        <v>35</v>
      </c>
      <c r="C253" s="3" t="s">
        <v>39</v>
      </c>
      <c r="D253" s="3" t="s">
        <v>42</v>
      </c>
      <c r="E253" s="3" t="s">
        <v>25</v>
      </c>
      <c r="F253" s="3" t="s">
        <v>25</v>
      </c>
      <c r="G253" s="3" t="s">
        <v>25</v>
      </c>
      <c r="H253" s="3" t="s">
        <v>25</v>
      </c>
      <c r="I253" s="6">
        <v>44531</v>
      </c>
      <c r="J253" s="4">
        <v>116</v>
      </c>
      <c r="K253" s="58">
        <v>116</v>
      </c>
      <c r="L253" s="4">
        <v>0</v>
      </c>
      <c r="M253" s="58">
        <v>0</v>
      </c>
      <c r="N253" s="4">
        <v>0</v>
      </c>
      <c r="O253" s="58">
        <v>0</v>
      </c>
      <c r="P253" s="4">
        <v>1</v>
      </c>
      <c r="Q253" s="3" t="s">
        <v>26</v>
      </c>
      <c r="R253" s="3">
        <v>0</v>
      </c>
      <c r="S253" s="4">
        <v>31</v>
      </c>
      <c r="T253" s="4">
        <v>0</v>
      </c>
      <c r="U253" s="4">
        <v>0</v>
      </c>
      <c r="V253" s="58">
        <f>IF(ISERROR(VLOOKUP($S$253,'TAR FIN'!$A$1:$O$86,15,0)),0,VLOOKUP($S$253,'TAR FIN'!$A$1:$O$86,15,0))*(1-0.04)</f>
        <v>36.979199999999999</v>
      </c>
      <c r="W253" s="58">
        <f>IF(ISERROR(VLOOKUP($T$253,'TAR FIN'!$A$1:$O$86,15,0)),0,VLOOKUP($T$253,'TAR FIN'!$A$1:$O$86,15,0))</f>
        <v>0</v>
      </c>
      <c r="X253" s="58">
        <f>IF(ISERROR(VLOOKUP($U$253,'TAR FIN'!$A$1:$O$86,15,0)),0,VLOOKUP($U$253,'TAR FIN'!$A$1:$O$86,15,0))</f>
        <v>0</v>
      </c>
      <c r="Y253" s="58">
        <f ca="1">('TUSD BE'!$AM$10+'TUSD BF'!$AM$10+'TUSD CVA'!$AM$10)*1*(1-0.02)</f>
        <v>43.370109275458091</v>
      </c>
      <c r="Z253" s="58"/>
      <c r="AA253" s="58"/>
      <c r="AB253" s="4">
        <f>$K$253*$V$253</f>
        <v>4289.5871999999999</v>
      </c>
      <c r="AC253" s="4">
        <f>$M$253*$W$253</f>
        <v>0</v>
      </c>
      <c r="AD253" s="4">
        <f>$O$253*$X$253</f>
        <v>0</v>
      </c>
      <c r="AE253" s="4">
        <f ca="1">$K$253*$Y$253</f>
        <v>5030.9326759531386</v>
      </c>
      <c r="AF253" s="4">
        <f>$M$253*$Z$253</f>
        <v>0</v>
      </c>
      <c r="AG253" s="4">
        <f>$O$253*$AA$253</f>
        <v>0</v>
      </c>
    </row>
    <row r="254" spans="1:33" ht="11.25" customHeight="1" x14ac:dyDescent="0.25">
      <c r="A254" s="3" t="s">
        <v>21</v>
      </c>
      <c r="B254" s="3" t="s">
        <v>35</v>
      </c>
      <c r="C254" s="3" t="s">
        <v>39</v>
      </c>
      <c r="D254" s="3" t="s">
        <v>42</v>
      </c>
      <c r="E254" s="3" t="s">
        <v>25</v>
      </c>
      <c r="F254" s="3" t="s">
        <v>25</v>
      </c>
      <c r="G254" s="3" t="s">
        <v>25</v>
      </c>
      <c r="H254" s="3" t="s">
        <v>25</v>
      </c>
      <c r="I254" s="6">
        <v>44562</v>
      </c>
      <c r="J254" s="4">
        <v>119</v>
      </c>
      <c r="K254" s="58">
        <v>119</v>
      </c>
      <c r="L254" s="4">
        <v>0</v>
      </c>
      <c r="M254" s="58">
        <v>0</v>
      </c>
      <c r="N254" s="4">
        <v>0</v>
      </c>
      <c r="O254" s="58">
        <v>0</v>
      </c>
      <c r="P254" s="4">
        <v>1</v>
      </c>
      <c r="Q254" s="3" t="s">
        <v>26</v>
      </c>
      <c r="R254" s="3">
        <v>0</v>
      </c>
      <c r="S254" s="4">
        <v>31</v>
      </c>
      <c r="T254" s="4">
        <v>0</v>
      </c>
      <c r="U254" s="4">
        <v>0</v>
      </c>
      <c r="V254" s="58">
        <f>IF(ISERROR(VLOOKUP($S$254,'TAR FIN'!$A$1:$O$86,15,0)),0,VLOOKUP($S$254,'TAR FIN'!$A$1:$O$86,15,0))*(1-0.04)</f>
        <v>36.979199999999999</v>
      </c>
      <c r="W254" s="58">
        <f>IF(ISERROR(VLOOKUP($T$254,'TAR FIN'!$A$1:$O$86,15,0)),0,VLOOKUP($T$254,'TAR FIN'!$A$1:$O$86,15,0))</f>
        <v>0</v>
      </c>
      <c r="X254" s="58">
        <f>IF(ISERROR(VLOOKUP($U$254,'TAR FIN'!$A$1:$O$86,15,0)),0,VLOOKUP($U$254,'TAR FIN'!$A$1:$O$86,15,0))</f>
        <v>0</v>
      </c>
      <c r="Y254" s="58">
        <f ca="1">('TUSD BE'!$AM$10+'TUSD BF'!$AM$10+'TUSD CVA'!$AM$10)*1*(1-0.02)</f>
        <v>43.370109275458091</v>
      </c>
      <c r="Z254" s="58"/>
      <c r="AA254" s="58"/>
      <c r="AB254" s="4">
        <f>$K$254*$V$254</f>
        <v>4400.5248000000001</v>
      </c>
      <c r="AC254" s="4">
        <f>$M$254*$W$254</f>
        <v>0</v>
      </c>
      <c r="AD254" s="4">
        <f>$O$254*$X$254</f>
        <v>0</v>
      </c>
      <c r="AE254" s="4">
        <f ca="1">$K$254*$Y$254</f>
        <v>5161.0430037795131</v>
      </c>
      <c r="AF254" s="4">
        <f>$M$254*$Z$254</f>
        <v>0</v>
      </c>
      <c r="AG254" s="4">
        <f>$O$254*$AA$254</f>
        <v>0</v>
      </c>
    </row>
    <row r="255" spans="1:33" ht="11.25" customHeight="1" x14ac:dyDescent="0.25">
      <c r="A255" s="3" t="s">
        <v>21</v>
      </c>
      <c r="B255" s="3" t="s">
        <v>35</v>
      </c>
      <c r="C255" s="3" t="s">
        <v>39</v>
      </c>
      <c r="D255" s="3" t="s">
        <v>42</v>
      </c>
      <c r="E255" s="3" t="s">
        <v>25</v>
      </c>
      <c r="F255" s="3" t="s">
        <v>25</v>
      </c>
      <c r="G255" s="3" t="s">
        <v>25</v>
      </c>
      <c r="H255" s="3" t="s">
        <v>25</v>
      </c>
      <c r="I255" s="6">
        <v>44593</v>
      </c>
      <c r="J255" s="4">
        <v>117</v>
      </c>
      <c r="K255" s="58">
        <v>117</v>
      </c>
      <c r="L255" s="4">
        <v>0</v>
      </c>
      <c r="M255" s="58">
        <v>0</v>
      </c>
      <c r="N255" s="4">
        <v>0</v>
      </c>
      <c r="O255" s="58">
        <v>0</v>
      </c>
      <c r="P255" s="4">
        <v>1</v>
      </c>
      <c r="Q255" s="3" t="s">
        <v>26</v>
      </c>
      <c r="R255" s="3">
        <v>0</v>
      </c>
      <c r="S255" s="4">
        <v>31</v>
      </c>
      <c r="T255" s="4">
        <v>0</v>
      </c>
      <c r="U255" s="4">
        <v>0</v>
      </c>
      <c r="V255" s="58">
        <f>IF(ISERROR(VLOOKUP($S$255,'TAR FIN'!$A$1:$O$86,15,0)),0,VLOOKUP($S$255,'TAR FIN'!$A$1:$O$86,15,0))*(1-0.04)</f>
        <v>36.979199999999999</v>
      </c>
      <c r="W255" s="58">
        <f>IF(ISERROR(VLOOKUP($T$255,'TAR FIN'!$A$1:$O$86,15,0)),0,VLOOKUP($T$255,'TAR FIN'!$A$1:$O$86,15,0))</f>
        <v>0</v>
      </c>
      <c r="X255" s="58">
        <f>IF(ISERROR(VLOOKUP($U$255,'TAR FIN'!$A$1:$O$86,15,0)),0,VLOOKUP($U$255,'TAR FIN'!$A$1:$O$86,15,0))</f>
        <v>0</v>
      </c>
      <c r="Y255" s="58">
        <f ca="1">('TUSD BE'!$AM$10+'TUSD BF'!$AM$10+'TUSD CVA'!$AM$10)*1*(1-0.02)</f>
        <v>43.370109275458091</v>
      </c>
      <c r="Z255" s="58"/>
      <c r="AA255" s="58"/>
      <c r="AB255" s="4">
        <f>$K$255*$V$255</f>
        <v>4326.5663999999997</v>
      </c>
      <c r="AC255" s="4">
        <f>$M$255*$W$255</f>
        <v>0</v>
      </c>
      <c r="AD255" s="4">
        <f>$O$255*$X$255</f>
        <v>0</v>
      </c>
      <c r="AE255" s="4">
        <f ca="1">$K$255*$Y$255</f>
        <v>5074.3027852285968</v>
      </c>
      <c r="AF255" s="4">
        <f>$M$255*$Z$255</f>
        <v>0</v>
      </c>
      <c r="AG255" s="4">
        <f>$O$255*$AA$255</f>
        <v>0</v>
      </c>
    </row>
    <row r="256" spans="1:33" ht="11.25" customHeight="1" x14ac:dyDescent="0.25">
      <c r="A256" s="3" t="s">
        <v>21</v>
      </c>
      <c r="B256" s="3" t="s">
        <v>35</v>
      </c>
      <c r="C256" s="3" t="s">
        <v>39</v>
      </c>
      <c r="D256" s="3" t="s">
        <v>42</v>
      </c>
      <c r="E256" s="3" t="s">
        <v>25</v>
      </c>
      <c r="F256" s="3" t="s">
        <v>25</v>
      </c>
      <c r="G256" s="3" t="s">
        <v>25</v>
      </c>
      <c r="H256" s="3" t="s">
        <v>25</v>
      </c>
      <c r="I256" s="6">
        <v>44621</v>
      </c>
      <c r="J256" s="4">
        <v>118</v>
      </c>
      <c r="K256" s="58">
        <v>118</v>
      </c>
      <c r="L256" s="4">
        <v>0</v>
      </c>
      <c r="M256" s="58">
        <v>0</v>
      </c>
      <c r="N256" s="4">
        <v>0</v>
      </c>
      <c r="O256" s="58">
        <v>0</v>
      </c>
      <c r="P256" s="4">
        <v>1</v>
      </c>
      <c r="Q256" s="3" t="s">
        <v>26</v>
      </c>
      <c r="R256" s="3">
        <v>0</v>
      </c>
      <c r="S256" s="4">
        <v>31</v>
      </c>
      <c r="T256" s="4">
        <v>0</v>
      </c>
      <c r="U256" s="4">
        <v>0</v>
      </c>
      <c r="V256" s="58">
        <f>IF(ISERROR(VLOOKUP($S$256,'TAR FIN'!$A$1:$O$86,15,0)),0,VLOOKUP($S$256,'TAR FIN'!$A$1:$O$86,15,0))*(1-0.04)</f>
        <v>36.979199999999999</v>
      </c>
      <c r="W256" s="58">
        <f>IF(ISERROR(VLOOKUP($T$256,'TAR FIN'!$A$1:$O$86,15,0)),0,VLOOKUP($T$256,'TAR FIN'!$A$1:$O$86,15,0))</f>
        <v>0</v>
      </c>
      <c r="X256" s="58">
        <f>IF(ISERROR(VLOOKUP($U$256,'TAR FIN'!$A$1:$O$86,15,0)),0,VLOOKUP($U$256,'TAR FIN'!$A$1:$O$86,15,0))</f>
        <v>0</v>
      </c>
      <c r="Y256" s="58">
        <f ca="1">('TUSD BE'!$AM$10+'TUSD BF'!$AM$10+'TUSD CVA'!$AM$10)*1*(1-0.02)</f>
        <v>43.370109275458091</v>
      </c>
      <c r="Z256" s="58"/>
      <c r="AA256" s="58"/>
      <c r="AB256" s="4">
        <f>$K$256*$V$256</f>
        <v>4363.5455999999995</v>
      </c>
      <c r="AC256" s="4">
        <f>$M$256*$W$256</f>
        <v>0</v>
      </c>
      <c r="AD256" s="4">
        <f>$O$256*$X$256</f>
        <v>0</v>
      </c>
      <c r="AE256" s="4">
        <f ca="1">$K$256*$Y$256</f>
        <v>5117.672894504055</v>
      </c>
      <c r="AF256" s="4">
        <f>$M$256*$Z$256</f>
        <v>0</v>
      </c>
      <c r="AG256" s="4">
        <f>$O$256*$AA$256</f>
        <v>0</v>
      </c>
    </row>
    <row r="257" spans="1:33" ht="11.25" customHeight="1" x14ac:dyDescent="0.25">
      <c r="A257" s="3" t="s">
        <v>21</v>
      </c>
      <c r="B257" s="3" t="s">
        <v>35</v>
      </c>
      <c r="C257" s="3" t="s">
        <v>39</v>
      </c>
      <c r="D257" s="3" t="s">
        <v>42</v>
      </c>
      <c r="E257" s="3" t="s">
        <v>25</v>
      </c>
      <c r="F257" s="3" t="s">
        <v>25</v>
      </c>
      <c r="G257" s="3" t="s">
        <v>25</v>
      </c>
      <c r="H257" s="3" t="s">
        <v>25</v>
      </c>
      <c r="I257" s="6">
        <v>44652</v>
      </c>
      <c r="J257" s="4">
        <v>111</v>
      </c>
      <c r="K257" s="58">
        <v>111</v>
      </c>
      <c r="L257" s="4">
        <v>0</v>
      </c>
      <c r="M257" s="58">
        <v>0</v>
      </c>
      <c r="N257" s="4">
        <v>0</v>
      </c>
      <c r="O257" s="58">
        <v>0</v>
      </c>
      <c r="P257" s="4">
        <v>1</v>
      </c>
      <c r="Q257" s="3" t="s">
        <v>26</v>
      </c>
      <c r="R257" s="3">
        <v>0</v>
      </c>
      <c r="S257" s="4">
        <v>31</v>
      </c>
      <c r="T257" s="4">
        <v>0</v>
      </c>
      <c r="U257" s="4">
        <v>0</v>
      </c>
      <c r="V257" s="58">
        <f>IF(ISERROR(VLOOKUP($S$257,'TAR FIN'!$A$1:$O$86,15,0)),0,VLOOKUP($S$257,'TAR FIN'!$A$1:$O$86,15,0))*(1-0.04)</f>
        <v>36.979199999999999</v>
      </c>
      <c r="W257" s="58">
        <f>IF(ISERROR(VLOOKUP($T$257,'TAR FIN'!$A$1:$O$86,15,0)),0,VLOOKUP($T$257,'TAR FIN'!$A$1:$O$86,15,0))</f>
        <v>0</v>
      </c>
      <c r="X257" s="58">
        <f>IF(ISERROR(VLOOKUP($U$257,'TAR FIN'!$A$1:$O$86,15,0)),0,VLOOKUP($U$257,'TAR FIN'!$A$1:$O$86,15,0))</f>
        <v>0</v>
      </c>
      <c r="Y257" s="58">
        <f ca="1">('TUSD BE'!$AM$10+'TUSD BF'!$AM$10+'TUSD CVA'!$AM$10)*1*(1-0.02)</f>
        <v>43.370109275458091</v>
      </c>
      <c r="Z257" s="58"/>
      <c r="AA257" s="58"/>
      <c r="AB257" s="4">
        <f>$K$257*$V$257</f>
        <v>4104.6912000000002</v>
      </c>
      <c r="AC257" s="4">
        <f>$M$257*$W$257</f>
        <v>0</v>
      </c>
      <c r="AD257" s="4">
        <f>$O$257*$X$257</f>
        <v>0</v>
      </c>
      <c r="AE257" s="4">
        <f ca="1">$K$257*$Y$257</f>
        <v>4814.0821295758478</v>
      </c>
      <c r="AF257" s="4">
        <f>$M$257*$Z$257</f>
        <v>0</v>
      </c>
      <c r="AG257" s="4">
        <f>$O$257*$AA$257</f>
        <v>0</v>
      </c>
    </row>
    <row r="258" spans="1:33" ht="11.25" customHeight="1" x14ac:dyDescent="0.25">
      <c r="A258" s="3" t="s">
        <v>21</v>
      </c>
      <c r="B258" s="3" t="s">
        <v>35</v>
      </c>
      <c r="C258" s="3" t="s">
        <v>39</v>
      </c>
      <c r="D258" s="3" t="s">
        <v>42</v>
      </c>
      <c r="E258" s="3" t="s">
        <v>25</v>
      </c>
      <c r="F258" s="3" t="s">
        <v>25</v>
      </c>
      <c r="G258" s="3" t="s">
        <v>25</v>
      </c>
      <c r="H258" s="3" t="s">
        <v>25</v>
      </c>
      <c r="I258" s="6">
        <v>44682</v>
      </c>
      <c r="J258" s="4">
        <v>110</v>
      </c>
      <c r="K258" s="58">
        <v>110</v>
      </c>
      <c r="L258" s="4">
        <v>0</v>
      </c>
      <c r="M258" s="58">
        <v>0</v>
      </c>
      <c r="N258" s="4">
        <v>0</v>
      </c>
      <c r="O258" s="58">
        <v>0</v>
      </c>
      <c r="P258" s="4">
        <v>1</v>
      </c>
      <c r="Q258" s="3" t="s">
        <v>26</v>
      </c>
      <c r="R258" s="3">
        <v>0</v>
      </c>
      <c r="S258" s="4">
        <v>31</v>
      </c>
      <c r="T258" s="4">
        <v>0</v>
      </c>
      <c r="U258" s="4">
        <v>0</v>
      </c>
      <c r="V258" s="58">
        <f>IF(ISERROR(VLOOKUP($S$258,'TAR FIN'!$A$1:$O$86,15,0)),0,VLOOKUP($S$258,'TAR FIN'!$A$1:$O$86,15,0))*(1-0.04)</f>
        <v>36.979199999999999</v>
      </c>
      <c r="W258" s="58">
        <f>IF(ISERROR(VLOOKUP($T$258,'TAR FIN'!$A$1:$O$86,15,0)),0,VLOOKUP($T$258,'TAR FIN'!$A$1:$O$86,15,0))</f>
        <v>0</v>
      </c>
      <c r="X258" s="58">
        <f>IF(ISERROR(VLOOKUP($U$258,'TAR FIN'!$A$1:$O$86,15,0)),0,VLOOKUP($U$258,'TAR FIN'!$A$1:$O$86,15,0))</f>
        <v>0</v>
      </c>
      <c r="Y258" s="58">
        <f ca="1">('TUSD BE'!$AM$10+'TUSD BF'!$AM$10+'TUSD CVA'!$AM$10)*1*(1-0.02)</f>
        <v>43.370109275458091</v>
      </c>
      <c r="Z258" s="58"/>
      <c r="AA258" s="58"/>
      <c r="AB258" s="4">
        <f>$K$258*$V$258</f>
        <v>4067.712</v>
      </c>
      <c r="AC258" s="4">
        <f>$M$258*$W$258</f>
        <v>0</v>
      </c>
      <c r="AD258" s="4">
        <f>$O$258*$X$258</f>
        <v>0</v>
      </c>
      <c r="AE258" s="4">
        <f ca="1">$K$258*$Y$258</f>
        <v>4770.7120203003897</v>
      </c>
      <c r="AF258" s="4">
        <f>$M$258*$Z$258</f>
        <v>0</v>
      </c>
      <c r="AG258" s="4">
        <f>$O$258*$AA$258</f>
        <v>0</v>
      </c>
    </row>
    <row r="259" spans="1:33" ht="11.25" customHeight="1" x14ac:dyDescent="0.25">
      <c r="A259" s="3" t="s">
        <v>21</v>
      </c>
      <c r="B259" s="3" t="s">
        <v>35</v>
      </c>
      <c r="C259" s="3" t="s">
        <v>39</v>
      </c>
      <c r="D259" s="3" t="s">
        <v>42</v>
      </c>
      <c r="E259" s="3" t="s">
        <v>25</v>
      </c>
      <c r="F259" s="3" t="s">
        <v>25</v>
      </c>
      <c r="G259" s="3" t="s">
        <v>25</v>
      </c>
      <c r="H259" s="3" t="s">
        <v>25</v>
      </c>
      <c r="I259" s="6">
        <v>44713</v>
      </c>
      <c r="J259" s="4">
        <v>110</v>
      </c>
      <c r="K259" s="58">
        <v>110</v>
      </c>
      <c r="L259" s="4">
        <v>0</v>
      </c>
      <c r="M259" s="58">
        <v>0</v>
      </c>
      <c r="N259" s="4">
        <v>0</v>
      </c>
      <c r="O259" s="58">
        <v>0</v>
      </c>
      <c r="P259" s="4">
        <v>1</v>
      </c>
      <c r="Q259" s="3" t="s">
        <v>26</v>
      </c>
      <c r="R259" s="3">
        <v>0</v>
      </c>
      <c r="S259" s="4">
        <v>31</v>
      </c>
      <c r="T259" s="4">
        <v>0</v>
      </c>
      <c r="U259" s="4">
        <v>0</v>
      </c>
      <c r="V259" s="58">
        <f>IF(ISERROR(VLOOKUP($S$259,'TAR FIN'!$A$1:$O$86,15,0)),0,VLOOKUP($S$259,'TAR FIN'!$A$1:$O$86,15,0))*(1-0.04)</f>
        <v>36.979199999999999</v>
      </c>
      <c r="W259" s="58">
        <f>IF(ISERROR(VLOOKUP($T$259,'TAR FIN'!$A$1:$O$86,15,0)),0,VLOOKUP($T$259,'TAR FIN'!$A$1:$O$86,15,0))</f>
        <v>0</v>
      </c>
      <c r="X259" s="58">
        <f>IF(ISERROR(VLOOKUP($U$259,'TAR FIN'!$A$1:$O$86,15,0)),0,VLOOKUP($U$259,'TAR FIN'!$A$1:$O$86,15,0))</f>
        <v>0</v>
      </c>
      <c r="Y259" s="58">
        <f ca="1">('TUSD BE'!$AM$10+'TUSD BF'!$AM$10+'TUSD CVA'!$AM$10)*1*(1-0.02)</f>
        <v>43.370109275458091</v>
      </c>
      <c r="Z259" s="58"/>
      <c r="AA259" s="58"/>
      <c r="AB259" s="4">
        <f>$K$259*$V$259</f>
        <v>4067.712</v>
      </c>
      <c r="AC259" s="4">
        <f>$M$259*$W$259</f>
        <v>0</v>
      </c>
      <c r="AD259" s="4">
        <f>$O$259*$X$259</f>
        <v>0</v>
      </c>
      <c r="AE259" s="4">
        <f ca="1">$K$259*$Y$259</f>
        <v>4770.7120203003897</v>
      </c>
      <c r="AF259" s="4">
        <f>$M$259*$Z$259</f>
        <v>0</v>
      </c>
      <c r="AG259" s="4">
        <f>$O$259*$AA$259</f>
        <v>0</v>
      </c>
    </row>
    <row r="260" spans="1:33" ht="11.25" customHeight="1" x14ac:dyDescent="0.25">
      <c r="A260" s="3" t="s">
        <v>21</v>
      </c>
      <c r="B260" s="3" t="s">
        <v>35</v>
      </c>
      <c r="C260" s="3" t="s">
        <v>39</v>
      </c>
      <c r="D260" s="3" t="s">
        <v>42</v>
      </c>
      <c r="E260" s="3" t="s">
        <v>25</v>
      </c>
      <c r="F260" s="3" t="s">
        <v>25</v>
      </c>
      <c r="G260" s="3" t="s">
        <v>25</v>
      </c>
      <c r="H260" s="3" t="s">
        <v>37</v>
      </c>
      <c r="I260" s="6">
        <v>44378</v>
      </c>
      <c r="J260" s="4">
        <v>0</v>
      </c>
      <c r="K260" s="58">
        <v>0</v>
      </c>
      <c r="L260" s="4">
        <v>0.60699999999999998</v>
      </c>
      <c r="M260" s="58">
        <v>0.60699999999999998</v>
      </c>
      <c r="N260" s="4">
        <v>0.60699999999999998</v>
      </c>
      <c r="O260" s="58">
        <v>0.60699999999999998</v>
      </c>
      <c r="P260" s="4">
        <v>0</v>
      </c>
      <c r="Q260" s="3" t="s">
        <v>26</v>
      </c>
      <c r="R260" s="3">
        <v>0</v>
      </c>
      <c r="S260" s="4">
        <v>0</v>
      </c>
      <c r="T260" s="4">
        <v>15</v>
      </c>
      <c r="U260" s="4">
        <v>24</v>
      </c>
      <c r="V260" s="58">
        <f>IF(ISERROR(VLOOKUP($S$260,'TAR FIN'!$A$1:$O$86,15,0)),0,VLOOKUP($S$260,'TAR FIN'!$A$1:$O$86,15,0))</f>
        <v>0</v>
      </c>
      <c r="W260" s="58">
        <f>IF(ISERROR(VLOOKUP($T$260,'TAR FIN'!$A$1:$O$86,15,0)),0,VLOOKUP($T$260,'TAR FIN'!$A$1:$O$86,15,0))*(1-0.04)</f>
        <v>2030.7647999999999</v>
      </c>
      <c r="X260" s="58">
        <f>IF(ISERROR(VLOOKUP($U$260,'TAR FIN'!$A$1:$O$86,15,0)),0,VLOOKUP($U$260,'TAR FIN'!$A$1:$O$86,15,0))*(1-0.04)</f>
        <v>203.07839999999999</v>
      </c>
      <c r="Y260" s="58"/>
      <c r="Z260" s="58">
        <f ca="1">('TUSD BE'!$AM$11+'TUSD BF'!$AM$11+'TUSD CVA'!$AM$11)*1*(1-0.02)</f>
        <v>2238.5316164441306</v>
      </c>
      <c r="AA260" s="58">
        <f>('TE BE'!$AB$5+'TE BF'!$AB$5+'TE CVA'!$AB$5)*1*(1-0.02)</f>
        <v>192.63738650886071</v>
      </c>
      <c r="AB260" s="4">
        <f>$K$260*$V$260</f>
        <v>0</v>
      </c>
      <c r="AC260" s="4">
        <f>$M$260*$W$260</f>
        <v>1232.6742336</v>
      </c>
      <c r="AD260" s="4">
        <f>$O$260*$X$260</f>
        <v>123.26858879999999</v>
      </c>
      <c r="AE260" s="4">
        <f>$K$260*$Y$260</f>
        <v>0</v>
      </c>
      <c r="AF260" s="4">
        <f ca="1">$M$260*$Z$260</f>
        <v>1358.7886911815872</v>
      </c>
      <c r="AG260" s="4">
        <f>$O$260*$AA$260</f>
        <v>116.93089361087846</v>
      </c>
    </row>
    <row r="261" spans="1:33" ht="11.25" customHeight="1" x14ac:dyDescent="0.25">
      <c r="A261" s="3" t="s">
        <v>21</v>
      </c>
      <c r="B261" s="3" t="s">
        <v>35</v>
      </c>
      <c r="C261" s="3" t="s">
        <v>39</v>
      </c>
      <c r="D261" s="3" t="s">
        <v>42</v>
      </c>
      <c r="E261" s="3" t="s">
        <v>25</v>
      </c>
      <c r="F261" s="3" t="s">
        <v>25</v>
      </c>
      <c r="G261" s="3" t="s">
        <v>25</v>
      </c>
      <c r="H261" s="3" t="s">
        <v>37</v>
      </c>
      <c r="I261" s="6">
        <v>44409</v>
      </c>
      <c r="J261" s="4">
        <v>0</v>
      </c>
      <c r="K261" s="58">
        <v>0</v>
      </c>
      <c r="L261" s="4">
        <v>0.193</v>
      </c>
      <c r="M261" s="58">
        <v>0.193</v>
      </c>
      <c r="N261" s="4">
        <v>0.193</v>
      </c>
      <c r="O261" s="58">
        <v>0.193</v>
      </c>
      <c r="P261" s="4">
        <v>0</v>
      </c>
      <c r="Q261" s="3" t="s">
        <v>26</v>
      </c>
      <c r="R261" s="3">
        <v>0</v>
      </c>
      <c r="S261" s="4">
        <v>0</v>
      </c>
      <c r="T261" s="4">
        <v>15</v>
      </c>
      <c r="U261" s="4">
        <v>24</v>
      </c>
      <c r="V261" s="58">
        <f>IF(ISERROR(VLOOKUP($S$261,'TAR FIN'!$A$1:$O$86,15,0)),0,VLOOKUP($S$261,'TAR FIN'!$A$1:$O$86,15,0))</f>
        <v>0</v>
      </c>
      <c r="W261" s="58">
        <f>IF(ISERROR(VLOOKUP($T$261,'TAR FIN'!$A$1:$O$86,15,0)),0,VLOOKUP($T$261,'TAR FIN'!$A$1:$O$86,15,0))*(1-0.04)</f>
        <v>2030.7647999999999</v>
      </c>
      <c r="X261" s="58">
        <f>IF(ISERROR(VLOOKUP($U$261,'TAR FIN'!$A$1:$O$86,15,0)),0,VLOOKUP($U$261,'TAR FIN'!$A$1:$O$86,15,0))*(1-0.04)</f>
        <v>203.07839999999999</v>
      </c>
      <c r="Y261" s="58"/>
      <c r="Z261" s="58">
        <f ca="1">('TUSD BE'!$AM$11+'TUSD BF'!$AM$11+'TUSD CVA'!$AM$11)*1*(1-0.02)</f>
        <v>2238.5316164441306</v>
      </c>
      <c r="AA261" s="58">
        <f>('TE BE'!$AB$5+'TE BF'!$AB$5+'TE CVA'!$AB$5)*1*(1-0.02)</f>
        <v>192.63738650886071</v>
      </c>
      <c r="AB261" s="4">
        <f>$K$261*$V$261</f>
        <v>0</v>
      </c>
      <c r="AC261" s="4">
        <f>$M$261*$W$261</f>
        <v>391.93760639999999</v>
      </c>
      <c r="AD261" s="4">
        <f>$O$261*$X$261</f>
        <v>39.194131200000001</v>
      </c>
      <c r="AE261" s="4">
        <f>$K$261*$Y$261</f>
        <v>0</v>
      </c>
      <c r="AF261" s="4">
        <f ca="1">$M$261*$Z$261</f>
        <v>432.03660197371721</v>
      </c>
      <c r="AG261" s="4">
        <f>$O$261*$AA$261</f>
        <v>37.179015596210121</v>
      </c>
    </row>
    <row r="262" spans="1:33" ht="11.25" customHeight="1" x14ac:dyDescent="0.25">
      <c r="A262" s="3" t="s">
        <v>21</v>
      </c>
      <c r="B262" s="3" t="s">
        <v>35</v>
      </c>
      <c r="C262" s="3" t="s">
        <v>39</v>
      </c>
      <c r="D262" s="3" t="s">
        <v>42</v>
      </c>
      <c r="E262" s="3" t="s">
        <v>25</v>
      </c>
      <c r="F262" s="3" t="s">
        <v>25</v>
      </c>
      <c r="G262" s="3" t="s">
        <v>25</v>
      </c>
      <c r="H262" s="3" t="s">
        <v>37</v>
      </c>
      <c r="I262" s="6">
        <v>44440</v>
      </c>
      <c r="J262" s="4">
        <v>0</v>
      </c>
      <c r="K262" s="58">
        <v>0</v>
      </c>
      <c r="L262" s="4">
        <v>0.314</v>
      </c>
      <c r="M262" s="58">
        <v>0.314</v>
      </c>
      <c r="N262" s="4">
        <v>0.314</v>
      </c>
      <c r="O262" s="58">
        <v>0.314</v>
      </c>
      <c r="P262" s="4">
        <v>0</v>
      </c>
      <c r="Q262" s="3" t="s">
        <v>26</v>
      </c>
      <c r="R262" s="3">
        <v>0</v>
      </c>
      <c r="S262" s="4">
        <v>0</v>
      </c>
      <c r="T262" s="4">
        <v>15</v>
      </c>
      <c r="U262" s="4">
        <v>24</v>
      </c>
      <c r="V262" s="58">
        <f>IF(ISERROR(VLOOKUP($S$262,'TAR FIN'!$A$1:$O$86,15,0)),0,VLOOKUP($S$262,'TAR FIN'!$A$1:$O$86,15,0))</f>
        <v>0</v>
      </c>
      <c r="W262" s="58">
        <f>IF(ISERROR(VLOOKUP($T$262,'TAR FIN'!$A$1:$O$86,15,0)),0,VLOOKUP($T$262,'TAR FIN'!$A$1:$O$86,15,0))*(1-0.04)</f>
        <v>2030.7647999999999</v>
      </c>
      <c r="X262" s="58">
        <f>IF(ISERROR(VLOOKUP($U$262,'TAR FIN'!$A$1:$O$86,15,0)),0,VLOOKUP($U$262,'TAR FIN'!$A$1:$O$86,15,0))*(1-0.04)</f>
        <v>203.07839999999999</v>
      </c>
      <c r="Y262" s="58"/>
      <c r="Z262" s="58">
        <f ca="1">('TUSD BE'!$AM$11+'TUSD BF'!$AM$11+'TUSD CVA'!$AM$11)*1*(1-0.02)</f>
        <v>2238.5316164441306</v>
      </c>
      <c r="AA262" s="58">
        <f>('TE BE'!$AB$5+'TE BF'!$AB$5+'TE CVA'!$AB$5)*1*(1-0.02)</f>
        <v>192.63738650886071</v>
      </c>
      <c r="AB262" s="4">
        <f>$K$262*$V$262</f>
        <v>0</v>
      </c>
      <c r="AC262" s="4">
        <f>$M$262*$W$262</f>
        <v>637.66014719999998</v>
      </c>
      <c r="AD262" s="4">
        <f>$O$262*$X$262</f>
        <v>63.766617599999996</v>
      </c>
      <c r="AE262" s="4">
        <f>$K$262*$Y$262</f>
        <v>0</v>
      </c>
      <c r="AF262" s="4">
        <f ca="1">$M$262*$Z$262</f>
        <v>702.89892756345705</v>
      </c>
      <c r="AG262" s="4">
        <f>$O$262*$AA$262</f>
        <v>60.488139363782267</v>
      </c>
    </row>
    <row r="263" spans="1:33" ht="11.25" customHeight="1" x14ac:dyDescent="0.25">
      <c r="A263" s="3" t="s">
        <v>21</v>
      </c>
      <c r="B263" s="3" t="s">
        <v>35</v>
      </c>
      <c r="C263" s="3" t="s">
        <v>39</v>
      </c>
      <c r="D263" s="3" t="s">
        <v>42</v>
      </c>
      <c r="E263" s="3" t="s">
        <v>25</v>
      </c>
      <c r="F263" s="3" t="s">
        <v>25</v>
      </c>
      <c r="G263" s="3" t="s">
        <v>25</v>
      </c>
      <c r="H263" s="3" t="s">
        <v>37</v>
      </c>
      <c r="I263" s="6">
        <v>44470</v>
      </c>
      <c r="J263" s="4">
        <v>0</v>
      </c>
      <c r="K263" s="58">
        <v>0</v>
      </c>
      <c r="L263" s="4">
        <v>1.246</v>
      </c>
      <c r="M263" s="58">
        <v>1.246</v>
      </c>
      <c r="N263" s="4">
        <v>1.246</v>
      </c>
      <c r="O263" s="58">
        <v>1.246</v>
      </c>
      <c r="P263" s="4">
        <v>0</v>
      </c>
      <c r="Q263" s="3" t="s">
        <v>26</v>
      </c>
      <c r="R263" s="3">
        <v>0</v>
      </c>
      <c r="S263" s="4">
        <v>0</v>
      </c>
      <c r="T263" s="4">
        <v>15</v>
      </c>
      <c r="U263" s="4">
        <v>24</v>
      </c>
      <c r="V263" s="58">
        <f>IF(ISERROR(VLOOKUP($S$263,'TAR FIN'!$A$1:$O$86,15,0)),0,VLOOKUP($S$263,'TAR FIN'!$A$1:$O$86,15,0))</f>
        <v>0</v>
      </c>
      <c r="W263" s="58">
        <f>IF(ISERROR(VLOOKUP($T$263,'TAR FIN'!$A$1:$O$86,15,0)),0,VLOOKUP($T$263,'TAR FIN'!$A$1:$O$86,15,0))*(1-0.04)</f>
        <v>2030.7647999999999</v>
      </c>
      <c r="X263" s="58">
        <f>IF(ISERROR(VLOOKUP($U$263,'TAR FIN'!$A$1:$O$86,15,0)),0,VLOOKUP($U$263,'TAR FIN'!$A$1:$O$86,15,0))*(1-0.04)</f>
        <v>203.07839999999999</v>
      </c>
      <c r="Y263" s="58"/>
      <c r="Z263" s="58">
        <f ca="1">('TUSD BE'!$AM$11+'TUSD BF'!$AM$11+'TUSD CVA'!$AM$11)*1*(1-0.02)</f>
        <v>2238.5316164441306</v>
      </c>
      <c r="AA263" s="58">
        <f>('TE BE'!$AB$5+'TE BF'!$AB$5+'TE CVA'!$AB$5)*1*(1-0.02)</f>
        <v>192.63738650886071</v>
      </c>
      <c r="AB263" s="4">
        <f>$K$263*$V$263</f>
        <v>0</v>
      </c>
      <c r="AC263" s="4">
        <f>$M$263*$W$263</f>
        <v>2530.3329408</v>
      </c>
      <c r="AD263" s="4">
        <f>$O$263*$X$263</f>
        <v>253.03568639999997</v>
      </c>
      <c r="AE263" s="4">
        <f>$K$263*$Y$263</f>
        <v>0</v>
      </c>
      <c r="AF263" s="4">
        <f ca="1">$M$263*$Z$263</f>
        <v>2789.2103940893867</v>
      </c>
      <c r="AG263" s="4">
        <f>$O$263*$AA$263</f>
        <v>240.02618359004046</v>
      </c>
    </row>
    <row r="264" spans="1:33" ht="11.25" customHeight="1" x14ac:dyDescent="0.25">
      <c r="A264" s="3" t="s">
        <v>21</v>
      </c>
      <c r="B264" s="3" t="s">
        <v>35</v>
      </c>
      <c r="C264" s="3" t="s">
        <v>39</v>
      </c>
      <c r="D264" s="3" t="s">
        <v>42</v>
      </c>
      <c r="E264" s="3" t="s">
        <v>25</v>
      </c>
      <c r="F264" s="3" t="s">
        <v>25</v>
      </c>
      <c r="G264" s="3" t="s">
        <v>25</v>
      </c>
      <c r="H264" s="3" t="s">
        <v>37</v>
      </c>
      <c r="I264" s="6">
        <v>44501</v>
      </c>
      <c r="J264" s="4">
        <v>0</v>
      </c>
      <c r="K264" s="58">
        <v>0</v>
      </c>
      <c r="L264" s="4">
        <v>2.6160000000000001</v>
      </c>
      <c r="M264" s="58">
        <v>2.6160000000000001</v>
      </c>
      <c r="N264" s="4">
        <v>2.6160000000000001</v>
      </c>
      <c r="O264" s="58">
        <v>2.6160000000000001</v>
      </c>
      <c r="P264" s="4">
        <v>0</v>
      </c>
      <c r="Q264" s="3" t="s">
        <v>26</v>
      </c>
      <c r="R264" s="3">
        <v>0</v>
      </c>
      <c r="S264" s="4">
        <v>0</v>
      </c>
      <c r="T264" s="4">
        <v>15</v>
      </c>
      <c r="U264" s="4">
        <v>24</v>
      </c>
      <c r="V264" s="58">
        <f>IF(ISERROR(VLOOKUP($S$264,'TAR FIN'!$A$1:$O$86,15,0)),0,VLOOKUP($S$264,'TAR FIN'!$A$1:$O$86,15,0))</f>
        <v>0</v>
      </c>
      <c r="W264" s="58">
        <f>IF(ISERROR(VLOOKUP($T$264,'TAR FIN'!$A$1:$O$86,15,0)),0,VLOOKUP($T$264,'TAR FIN'!$A$1:$O$86,15,0))*(1-0.04)</f>
        <v>2030.7647999999999</v>
      </c>
      <c r="X264" s="58">
        <f>IF(ISERROR(VLOOKUP($U$264,'TAR FIN'!$A$1:$O$86,15,0)),0,VLOOKUP($U$264,'TAR FIN'!$A$1:$O$86,15,0))*(1-0.04)</f>
        <v>203.07839999999999</v>
      </c>
      <c r="Y264" s="58"/>
      <c r="Z264" s="58">
        <f ca="1">('TUSD BE'!$AM$11+'TUSD BF'!$AM$11+'TUSD CVA'!$AM$11)*1*(1-0.02)</f>
        <v>2238.5316164441306</v>
      </c>
      <c r="AA264" s="58">
        <f>('TE BE'!$AB$5+'TE BF'!$AB$5+'TE CVA'!$AB$5)*1*(1-0.02)</f>
        <v>192.63738650886071</v>
      </c>
      <c r="AB264" s="4">
        <f>$K$264*$V$264</f>
        <v>0</v>
      </c>
      <c r="AC264" s="4">
        <f>$M$264*$W$264</f>
        <v>5312.4807167999998</v>
      </c>
      <c r="AD264" s="4">
        <f>$O$264*$X$264</f>
        <v>531.25309440000001</v>
      </c>
      <c r="AE264" s="4">
        <f>$K$264*$Y$264</f>
        <v>0</v>
      </c>
      <c r="AF264" s="4">
        <f ca="1">$M$264*$Z$264</f>
        <v>5855.9987086178462</v>
      </c>
      <c r="AG264" s="4">
        <f>$O$264*$AA$264</f>
        <v>503.93940310717966</v>
      </c>
    </row>
    <row r="265" spans="1:33" ht="11.25" customHeight="1" x14ac:dyDescent="0.25">
      <c r="A265" s="3" t="s">
        <v>21</v>
      </c>
      <c r="B265" s="3" t="s">
        <v>35</v>
      </c>
      <c r="C265" s="3" t="s">
        <v>39</v>
      </c>
      <c r="D265" s="3" t="s">
        <v>42</v>
      </c>
      <c r="E265" s="3" t="s">
        <v>25</v>
      </c>
      <c r="F265" s="3" t="s">
        <v>25</v>
      </c>
      <c r="G265" s="3" t="s">
        <v>25</v>
      </c>
      <c r="H265" s="3" t="s">
        <v>37</v>
      </c>
      <c r="I265" s="6">
        <v>44531</v>
      </c>
      <c r="J265" s="4">
        <v>0</v>
      </c>
      <c r="K265" s="58">
        <v>0</v>
      </c>
      <c r="L265" s="4">
        <v>3.5259999999999998</v>
      </c>
      <c r="M265" s="58">
        <v>3.5259999999999998</v>
      </c>
      <c r="N265" s="4">
        <v>3.5259999999999998</v>
      </c>
      <c r="O265" s="58">
        <v>3.5259999999999998</v>
      </c>
      <c r="P265" s="4">
        <v>0</v>
      </c>
      <c r="Q265" s="3" t="s">
        <v>26</v>
      </c>
      <c r="R265" s="3">
        <v>0</v>
      </c>
      <c r="S265" s="4">
        <v>0</v>
      </c>
      <c r="T265" s="4">
        <v>15</v>
      </c>
      <c r="U265" s="4">
        <v>24</v>
      </c>
      <c r="V265" s="58">
        <f>IF(ISERROR(VLOOKUP($S$265,'TAR FIN'!$A$1:$O$86,15,0)),0,VLOOKUP($S$265,'TAR FIN'!$A$1:$O$86,15,0))</f>
        <v>0</v>
      </c>
      <c r="W265" s="58">
        <f>IF(ISERROR(VLOOKUP($T$265,'TAR FIN'!$A$1:$O$86,15,0)),0,VLOOKUP($T$265,'TAR FIN'!$A$1:$O$86,15,0))*(1-0.04)</f>
        <v>2030.7647999999999</v>
      </c>
      <c r="X265" s="58">
        <f>IF(ISERROR(VLOOKUP($U$265,'TAR FIN'!$A$1:$O$86,15,0)),0,VLOOKUP($U$265,'TAR FIN'!$A$1:$O$86,15,0))*(1-0.04)</f>
        <v>203.07839999999999</v>
      </c>
      <c r="Y265" s="58"/>
      <c r="Z265" s="58">
        <f ca="1">('TUSD BE'!$AM$11+'TUSD BF'!$AM$11+'TUSD CVA'!$AM$11)*1*(1-0.02)</f>
        <v>2238.5316164441306</v>
      </c>
      <c r="AA265" s="58">
        <f>('TE BE'!$AB$5+'TE BF'!$AB$5+'TE CVA'!$AB$5)*1*(1-0.02)</f>
        <v>192.63738650886071</v>
      </c>
      <c r="AB265" s="4">
        <f>$K$265*$V$265</f>
        <v>0</v>
      </c>
      <c r="AC265" s="4">
        <f>$M$265*$W$265</f>
        <v>7160.476684799999</v>
      </c>
      <c r="AD265" s="4">
        <f>$O$265*$X$265</f>
        <v>716.05443839999987</v>
      </c>
      <c r="AE265" s="4">
        <f>$K$265*$Y$265</f>
        <v>0</v>
      </c>
      <c r="AF265" s="4">
        <f ca="1">$M$265*$Z$265</f>
        <v>7893.062479582004</v>
      </c>
      <c r="AG265" s="4">
        <f>$O$265*$AA$265</f>
        <v>679.2394248302428</v>
      </c>
    </row>
    <row r="266" spans="1:33" ht="11.25" customHeight="1" x14ac:dyDescent="0.25">
      <c r="A266" s="3" t="s">
        <v>21</v>
      </c>
      <c r="B266" s="3" t="s">
        <v>35</v>
      </c>
      <c r="C266" s="3" t="s">
        <v>39</v>
      </c>
      <c r="D266" s="3" t="s">
        <v>42</v>
      </c>
      <c r="E266" s="3" t="s">
        <v>25</v>
      </c>
      <c r="F266" s="3" t="s">
        <v>25</v>
      </c>
      <c r="G266" s="3" t="s">
        <v>25</v>
      </c>
      <c r="H266" s="3" t="s">
        <v>37</v>
      </c>
      <c r="I266" s="6">
        <v>44562</v>
      </c>
      <c r="J266" s="4">
        <v>0</v>
      </c>
      <c r="K266" s="58">
        <v>0</v>
      </c>
      <c r="L266" s="4">
        <v>3.8039999999999998</v>
      </c>
      <c r="M266" s="58">
        <v>3.8039999999999998</v>
      </c>
      <c r="N266" s="4">
        <v>3.8039999999999998</v>
      </c>
      <c r="O266" s="58">
        <v>3.8039999999999998</v>
      </c>
      <c r="P266" s="4">
        <v>0</v>
      </c>
      <c r="Q266" s="3" t="s">
        <v>26</v>
      </c>
      <c r="R266" s="3">
        <v>0</v>
      </c>
      <c r="S266" s="4">
        <v>0</v>
      </c>
      <c r="T266" s="4">
        <v>15</v>
      </c>
      <c r="U266" s="4">
        <v>24</v>
      </c>
      <c r="V266" s="58">
        <f>IF(ISERROR(VLOOKUP($S$266,'TAR FIN'!$A$1:$O$86,15,0)),0,VLOOKUP($S$266,'TAR FIN'!$A$1:$O$86,15,0))</f>
        <v>0</v>
      </c>
      <c r="W266" s="58">
        <f>IF(ISERROR(VLOOKUP($T$266,'TAR FIN'!$A$1:$O$86,15,0)),0,VLOOKUP($T$266,'TAR FIN'!$A$1:$O$86,15,0))*(1-0.04)</f>
        <v>2030.7647999999999</v>
      </c>
      <c r="X266" s="58">
        <f>IF(ISERROR(VLOOKUP($U$266,'TAR FIN'!$A$1:$O$86,15,0)),0,VLOOKUP($U$266,'TAR FIN'!$A$1:$O$86,15,0))*(1-0.04)</f>
        <v>203.07839999999999</v>
      </c>
      <c r="Y266" s="58"/>
      <c r="Z266" s="58">
        <f ca="1">('TUSD BE'!$AM$11+'TUSD BF'!$AM$11+'TUSD CVA'!$AM$11)*1*(1-0.02)</f>
        <v>2238.5316164441306</v>
      </c>
      <c r="AA266" s="58">
        <f>('TE BE'!$AB$5+'TE BF'!$AB$5+'TE CVA'!$AB$5)*1*(1-0.02)</f>
        <v>192.63738650886071</v>
      </c>
      <c r="AB266" s="4">
        <f>$K$266*$V$266</f>
        <v>0</v>
      </c>
      <c r="AC266" s="4">
        <f>$M$266*$W$266</f>
        <v>7725.0292991999995</v>
      </c>
      <c r="AD266" s="4">
        <f>$O$266*$X$266</f>
        <v>772.51023359999988</v>
      </c>
      <c r="AE266" s="4">
        <f>$K$266*$Y$266</f>
        <v>0</v>
      </c>
      <c r="AF266" s="4">
        <f ca="1">$M$266*$Z$266</f>
        <v>8515.374268953472</v>
      </c>
      <c r="AG266" s="4">
        <f>$O$266*$AA$266</f>
        <v>732.79261827970618</v>
      </c>
    </row>
    <row r="267" spans="1:33" ht="11.25" customHeight="1" x14ac:dyDescent="0.25">
      <c r="A267" s="3" t="s">
        <v>21</v>
      </c>
      <c r="B267" s="3" t="s">
        <v>35</v>
      </c>
      <c r="C267" s="3" t="s">
        <v>39</v>
      </c>
      <c r="D267" s="3" t="s">
        <v>42</v>
      </c>
      <c r="E267" s="3" t="s">
        <v>25</v>
      </c>
      <c r="F267" s="3" t="s">
        <v>25</v>
      </c>
      <c r="G267" s="3" t="s">
        <v>25</v>
      </c>
      <c r="H267" s="3" t="s">
        <v>37</v>
      </c>
      <c r="I267" s="6">
        <v>44593</v>
      </c>
      <c r="J267" s="4">
        <v>0</v>
      </c>
      <c r="K267" s="58">
        <v>0</v>
      </c>
      <c r="L267" s="4">
        <v>3.0819999999999999</v>
      </c>
      <c r="M267" s="58">
        <v>3.0819999999999999</v>
      </c>
      <c r="N267" s="4">
        <v>3.0819999999999999</v>
      </c>
      <c r="O267" s="58">
        <v>3.0819999999999999</v>
      </c>
      <c r="P267" s="4">
        <v>0</v>
      </c>
      <c r="Q267" s="3" t="s">
        <v>26</v>
      </c>
      <c r="R267" s="3">
        <v>0</v>
      </c>
      <c r="S267" s="4">
        <v>0</v>
      </c>
      <c r="T267" s="4">
        <v>15</v>
      </c>
      <c r="U267" s="4">
        <v>24</v>
      </c>
      <c r="V267" s="58">
        <f>IF(ISERROR(VLOOKUP($S$267,'TAR FIN'!$A$1:$O$86,15,0)),0,VLOOKUP($S$267,'TAR FIN'!$A$1:$O$86,15,0))</f>
        <v>0</v>
      </c>
      <c r="W267" s="58">
        <f>IF(ISERROR(VLOOKUP($T$267,'TAR FIN'!$A$1:$O$86,15,0)),0,VLOOKUP($T$267,'TAR FIN'!$A$1:$O$86,15,0))*(1-0.04)</f>
        <v>2030.7647999999999</v>
      </c>
      <c r="X267" s="58">
        <f>IF(ISERROR(VLOOKUP($U$267,'TAR FIN'!$A$1:$O$86,15,0)),0,VLOOKUP($U$267,'TAR FIN'!$A$1:$O$86,15,0))*(1-0.04)</f>
        <v>203.07839999999999</v>
      </c>
      <c r="Y267" s="58"/>
      <c r="Z267" s="58">
        <f ca="1">('TUSD BE'!$AM$11+'TUSD BF'!$AM$11+'TUSD CVA'!$AM$11)*1*(1-0.02)</f>
        <v>2238.5316164441306</v>
      </c>
      <c r="AA267" s="58">
        <f>('TE BE'!$AB$5+'TE BF'!$AB$5+'TE CVA'!$AB$5)*1*(1-0.02)</f>
        <v>192.63738650886071</v>
      </c>
      <c r="AB267" s="4">
        <f>$K$267*$V$267</f>
        <v>0</v>
      </c>
      <c r="AC267" s="4">
        <f>$M$267*$W$267</f>
        <v>6258.8171135999992</v>
      </c>
      <c r="AD267" s="4">
        <f>$O$267*$X$267</f>
        <v>625.8876287999999</v>
      </c>
      <c r="AE267" s="4">
        <f>$K$267*$Y$267</f>
        <v>0</v>
      </c>
      <c r="AF267" s="4">
        <f ca="1">$M$267*$Z$267</f>
        <v>6899.1544418808098</v>
      </c>
      <c r="AG267" s="4">
        <f>$O$267*$AA$267</f>
        <v>593.70842522030864</v>
      </c>
    </row>
    <row r="268" spans="1:33" ht="11.25" customHeight="1" x14ac:dyDescent="0.25">
      <c r="A268" s="3" t="s">
        <v>21</v>
      </c>
      <c r="B268" s="3" t="s">
        <v>35</v>
      </c>
      <c r="C268" s="3" t="s">
        <v>39</v>
      </c>
      <c r="D268" s="3" t="s">
        <v>42</v>
      </c>
      <c r="E268" s="3" t="s">
        <v>25</v>
      </c>
      <c r="F268" s="3" t="s">
        <v>25</v>
      </c>
      <c r="G268" s="3" t="s">
        <v>25</v>
      </c>
      <c r="H268" s="3" t="s">
        <v>37</v>
      </c>
      <c r="I268" s="6">
        <v>44621</v>
      </c>
      <c r="J268" s="4">
        <v>0</v>
      </c>
      <c r="K268" s="58">
        <v>0</v>
      </c>
      <c r="L268" s="4">
        <v>2.762</v>
      </c>
      <c r="M268" s="58">
        <v>2.762</v>
      </c>
      <c r="N268" s="4">
        <v>2.762</v>
      </c>
      <c r="O268" s="58">
        <v>2.762</v>
      </c>
      <c r="P268" s="4">
        <v>0</v>
      </c>
      <c r="Q268" s="3" t="s">
        <v>26</v>
      </c>
      <c r="R268" s="3">
        <v>0</v>
      </c>
      <c r="S268" s="4">
        <v>0</v>
      </c>
      <c r="T268" s="4">
        <v>15</v>
      </c>
      <c r="U268" s="4">
        <v>24</v>
      </c>
      <c r="V268" s="58">
        <f>IF(ISERROR(VLOOKUP($S$268,'TAR FIN'!$A$1:$O$86,15,0)),0,VLOOKUP($S$268,'TAR FIN'!$A$1:$O$86,15,0))</f>
        <v>0</v>
      </c>
      <c r="W268" s="58">
        <f>IF(ISERROR(VLOOKUP($T$268,'TAR FIN'!$A$1:$O$86,15,0)),0,VLOOKUP($T$268,'TAR FIN'!$A$1:$O$86,15,0))*(1-0.04)</f>
        <v>2030.7647999999999</v>
      </c>
      <c r="X268" s="58">
        <f>IF(ISERROR(VLOOKUP($U$268,'TAR FIN'!$A$1:$O$86,15,0)),0,VLOOKUP($U$268,'TAR FIN'!$A$1:$O$86,15,0))*(1-0.04)</f>
        <v>203.07839999999999</v>
      </c>
      <c r="Y268" s="58"/>
      <c r="Z268" s="58">
        <f ca="1">('TUSD BE'!$AM$11+'TUSD BF'!$AM$11+'TUSD CVA'!$AM$11)*1*(1-0.02)</f>
        <v>2238.5316164441306</v>
      </c>
      <c r="AA268" s="58">
        <f>('TE BE'!$AB$5+'TE BF'!$AB$5+'TE CVA'!$AB$5)*1*(1-0.02)</f>
        <v>192.63738650886071</v>
      </c>
      <c r="AB268" s="4">
        <f>$K$268*$V$268</f>
        <v>0</v>
      </c>
      <c r="AC268" s="4">
        <f>$M$268*$W$268</f>
        <v>5608.9723776000001</v>
      </c>
      <c r="AD268" s="4">
        <f>$O$268*$X$268</f>
        <v>560.9025408</v>
      </c>
      <c r="AE268" s="4">
        <f>$K$268*$Y$268</f>
        <v>0</v>
      </c>
      <c r="AF268" s="4">
        <f ca="1">$M$268*$Z$268</f>
        <v>6182.8243246186885</v>
      </c>
      <c r="AG268" s="4">
        <f>$O$268*$AA$268</f>
        <v>532.06446153747333</v>
      </c>
    </row>
    <row r="269" spans="1:33" ht="11.25" customHeight="1" x14ac:dyDescent="0.25">
      <c r="A269" s="3" t="s">
        <v>21</v>
      </c>
      <c r="B269" s="3" t="s">
        <v>35</v>
      </c>
      <c r="C269" s="3" t="s">
        <v>39</v>
      </c>
      <c r="D269" s="3" t="s">
        <v>42</v>
      </c>
      <c r="E269" s="3" t="s">
        <v>25</v>
      </c>
      <c r="F269" s="3" t="s">
        <v>25</v>
      </c>
      <c r="G269" s="3" t="s">
        <v>25</v>
      </c>
      <c r="H269" s="3" t="s">
        <v>37</v>
      </c>
      <c r="I269" s="6">
        <v>44652</v>
      </c>
      <c r="J269" s="4">
        <v>0</v>
      </c>
      <c r="K269" s="58">
        <v>0</v>
      </c>
      <c r="L269" s="4">
        <v>1.7370000000000001</v>
      </c>
      <c r="M269" s="58">
        <v>1.7370000000000001</v>
      </c>
      <c r="N269" s="4">
        <v>1.7370000000000001</v>
      </c>
      <c r="O269" s="58">
        <v>1.7370000000000001</v>
      </c>
      <c r="P269" s="4">
        <v>0</v>
      </c>
      <c r="Q269" s="3" t="s">
        <v>26</v>
      </c>
      <c r="R269" s="3">
        <v>0</v>
      </c>
      <c r="S269" s="4">
        <v>0</v>
      </c>
      <c r="T269" s="4">
        <v>15</v>
      </c>
      <c r="U269" s="4">
        <v>24</v>
      </c>
      <c r="V269" s="58">
        <f>IF(ISERROR(VLOOKUP($S$269,'TAR FIN'!$A$1:$O$86,15,0)),0,VLOOKUP($S$269,'TAR FIN'!$A$1:$O$86,15,0))</f>
        <v>0</v>
      </c>
      <c r="W269" s="58">
        <f>IF(ISERROR(VLOOKUP($T$269,'TAR FIN'!$A$1:$O$86,15,0)),0,VLOOKUP($T$269,'TAR FIN'!$A$1:$O$86,15,0))*(1-0.04)</f>
        <v>2030.7647999999999</v>
      </c>
      <c r="X269" s="58">
        <f>IF(ISERROR(VLOOKUP($U$269,'TAR FIN'!$A$1:$O$86,15,0)),0,VLOOKUP($U$269,'TAR FIN'!$A$1:$O$86,15,0))*(1-0.04)</f>
        <v>203.07839999999999</v>
      </c>
      <c r="Y269" s="58"/>
      <c r="Z269" s="58">
        <f ca="1">('TUSD BE'!$AM$11+'TUSD BF'!$AM$11+'TUSD CVA'!$AM$11)*1*(1-0.02)</f>
        <v>2238.5316164441306</v>
      </c>
      <c r="AA269" s="58">
        <f>('TE BE'!$AB$5+'TE BF'!$AB$5+'TE CVA'!$AB$5)*1*(1-0.02)</f>
        <v>192.63738650886071</v>
      </c>
      <c r="AB269" s="4">
        <f>$K$269*$V$269</f>
        <v>0</v>
      </c>
      <c r="AC269" s="4">
        <f>$M$269*$W$269</f>
        <v>3527.4384576000002</v>
      </c>
      <c r="AD269" s="4">
        <f>$O$269*$X$269</f>
        <v>352.74718080000002</v>
      </c>
      <c r="AE269" s="4">
        <f>$K$269*$Y$269</f>
        <v>0</v>
      </c>
      <c r="AF269" s="4">
        <f ca="1">$M$269*$Z$269</f>
        <v>3888.3294177634552</v>
      </c>
      <c r="AG269" s="4">
        <f>$O$269*$AA$269</f>
        <v>334.61114036589106</v>
      </c>
    </row>
    <row r="270" spans="1:33" ht="11.25" customHeight="1" x14ac:dyDescent="0.25">
      <c r="A270" s="3" t="s">
        <v>21</v>
      </c>
      <c r="B270" s="3" t="s">
        <v>35</v>
      </c>
      <c r="C270" s="3" t="s">
        <v>39</v>
      </c>
      <c r="D270" s="3" t="s">
        <v>42</v>
      </c>
      <c r="E270" s="3" t="s">
        <v>25</v>
      </c>
      <c r="F270" s="3" t="s">
        <v>25</v>
      </c>
      <c r="G270" s="3" t="s">
        <v>25</v>
      </c>
      <c r="H270" s="3" t="s">
        <v>37</v>
      </c>
      <c r="I270" s="6">
        <v>44682</v>
      </c>
      <c r="J270" s="4">
        <v>0</v>
      </c>
      <c r="K270" s="58">
        <v>0</v>
      </c>
      <c r="L270" s="4">
        <v>1.429</v>
      </c>
      <c r="M270" s="58">
        <v>1.429</v>
      </c>
      <c r="N270" s="4">
        <v>1.429</v>
      </c>
      <c r="O270" s="58">
        <v>1.429</v>
      </c>
      <c r="P270" s="4">
        <v>0</v>
      </c>
      <c r="Q270" s="3" t="s">
        <v>26</v>
      </c>
      <c r="R270" s="3">
        <v>0</v>
      </c>
      <c r="S270" s="4">
        <v>0</v>
      </c>
      <c r="T270" s="4">
        <v>15</v>
      </c>
      <c r="U270" s="4">
        <v>24</v>
      </c>
      <c r="V270" s="58">
        <f>IF(ISERROR(VLOOKUP($S$270,'TAR FIN'!$A$1:$O$86,15,0)),0,VLOOKUP($S$270,'TAR FIN'!$A$1:$O$86,15,0))</f>
        <v>0</v>
      </c>
      <c r="W270" s="58">
        <f>IF(ISERROR(VLOOKUP($T$270,'TAR FIN'!$A$1:$O$86,15,0)),0,VLOOKUP($T$270,'TAR FIN'!$A$1:$O$86,15,0))*(1-0.04)</f>
        <v>2030.7647999999999</v>
      </c>
      <c r="X270" s="58">
        <f>IF(ISERROR(VLOOKUP($U$270,'TAR FIN'!$A$1:$O$86,15,0)),0,VLOOKUP($U$270,'TAR FIN'!$A$1:$O$86,15,0))*(1-0.04)</f>
        <v>203.07839999999999</v>
      </c>
      <c r="Y270" s="58"/>
      <c r="Z270" s="58">
        <f ca="1">('TUSD BE'!$AM$11+'TUSD BF'!$AM$11+'TUSD CVA'!$AM$11)*1*(1-0.02)</f>
        <v>2238.5316164441306</v>
      </c>
      <c r="AA270" s="58">
        <f>('TE BE'!$AB$5+'TE BF'!$AB$5+'TE CVA'!$AB$5)*1*(1-0.02)</f>
        <v>192.63738650886071</v>
      </c>
      <c r="AB270" s="4">
        <f>$K$270*$V$270</f>
        <v>0</v>
      </c>
      <c r="AC270" s="4">
        <f>$M$270*$W$270</f>
        <v>2901.9628991999998</v>
      </c>
      <c r="AD270" s="4">
        <f>$O$270*$X$270</f>
        <v>290.19903360000001</v>
      </c>
      <c r="AE270" s="4">
        <f>$K$270*$Y$270</f>
        <v>0</v>
      </c>
      <c r="AF270" s="4">
        <f ca="1">$M$270*$Z$270</f>
        <v>3198.8616798986627</v>
      </c>
      <c r="AG270" s="4">
        <f>$O$270*$AA$270</f>
        <v>275.27882532116195</v>
      </c>
    </row>
    <row r="271" spans="1:33" ht="11.25" customHeight="1" x14ac:dyDescent="0.25">
      <c r="A271" s="3" t="s">
        <v>21</v>
      </c>
      <c r="B271" s="3" t="s">
        <v>35</v>
      </c>
      <c r="C271" s="3" t="s">
        <v>39</v>
      </c>
      <c r="D271" s="3" t="s">
        <v>42</v>
      </c>
      <c r="E271" s="3" t="s">
        <v>25</v>
      </c>
      <c r="F271" s="3" t="s">
        <v>25</v>
      </c>
      <c r="G271" s="3" t="s">
        <v>25</v>
      </c>
      <c r="H271" s="3" t="s">
        <v>37</v>
      </c>
      <c r="I271" s="6">
        <v>44713</v>
      </c>
      <c r="J271" s="4">
        <v>0</v>
      </c>
      <c r="K271" s="58">
        <v>0</v>
      </c>
      <c r="L271" s="4">
        <v>1.288</v>
      </c>
      <c r="M271" s="58">
        <v>1.288</v>
      </c>
      <c r="N271" s="4">
        <v>1.288</v>
      </c>
      <c r="O271" s="58">
        <v>1.288</v>
      </c>
      <c r="P271" s="4">
        <v>0</v>
      </c>
      <c r="Q271" s="3" t="s">
        <v>26</v>
      </c>
      <c r="R271" s="3">
        <v>0</v>
      </c>
      <c r="S271" s="4">
        <v>0</v>
      </c>
      <c r="T271" s="4">
        <v>15</v>
      </c>
      <c r="U271" s="4">
        <v>24</v>
      </c>
      <c r="V271" s="58">
        <f>IF(ISERROR(VLOOKUP($S$271,'TAR FIN'!$A$1:$O$86,15,0)),0,VLOOKUP($S$271,'TAR FIN'!$A$1:$O$86,15,0))</f>
        <v>0</v>
      </c>
      <c r="W271" s="58">
        <f>IF(ISERROR(VLOOKUP($T$271,'TAR FIN'!$A$1:$O$86,15,0)),0,VLOOKUP($T$271,'TAR FIN'!$A$1:$O$86,15,0))*(1-0.04)</f>
        <v>2030.7647999999999</v>
      </c>
      <c r="X271" s="58">
        <f>IF(ISERROR(VLOOKUP($U$271,'TAR FIN'!$A$1:$O$86,15,0)),0,VLOOKUP($U$271,'TAR FIN'!$A$1:$O$86,15,0))*(1-0.04)</f>
        <v>203.07839999999999</v>
      </c>
      <c r="Y271" s="58"/>
      <c r="Z271" s="58">
        <f ca="1">('TUSD BE'!$AM$11+'TUSD BF'!$AM$11+'TUSD CVA'!$AM$11)*1*(1-0.02)</f>
        <v>2238.5316164441306</v>
      </c>
      <c r="AA271" s="58">
        <f>('TE BE'!$AB$5+'TE BF'!$AB$5+'TE CVA'!$AB$5)*1*(1-0.02)</f>
        <v>192.63738650886071</v>
      </c>
      <c r="AB271" s="4">
        <f>$K$271*$V$271</f>
        <v>0</v>
      </c>
      <c r="AC271" s="4">
        <f>$M$271*$W$271</f>
        <v>2615.6250623999999</v>
      </c>
      <c r="AD271" s="4">
        <f>$O$271*$X$271</f>
        <v>261.56497919999998</v>
      </c>
      <c r="AE271" s="4">
        <f>$K$271*$Y$271</f>
        <v>0</v>
      </c>
      <c r="AF271" s="4">
        <f ca="1">$M$271*$Z$271</f>
        <v>2883.2287219800401</v>
      </c>
      <c r="AG271" s="4">
        <f>$O$271*$AA$271</f>
        <v>248.11695382341262</v>
      </c>
    </row>
    <row r="272" spans="1:33" ht="11.25" customHeight="1" x14ac:dyDescent="0.25">
      <c r="A272" s="3" t="s">
        <v>21</v>
      </c>
      <c r="B272" s="3" t="s">
        <v>22</v>
      </c>
      <c r="C272" s="3" t="s">
        <v>23</v>
      </c>
      <c r="D272" s="3" t="s">
        <v>24</v>
      </c>
      <c r="E272" s="3" t="s">
        <v>24</v>
      </c>
      <c r="F272" s="3" t="s">
        <v>25</v>
      </c>
      <c r="G272" s="3" t="s">
        <v>25</v>
      </c>
      <c r="H272" s="3" t="s">
        <v>25</v>
      </c>
      <c r="I272" s="6">
        <v>44378</v>
      </c>
      <c r="J272" s="4">
        <v>0</v>
      </c>
      <c r="K272" s="4">
        <v>0</v>
      </c>
      <c r="L272" s="4">
        <v>373.61099999999999</v>
      </c>
      <c r="M272" s="4">
        <v>373.61099999999999</v>
      </c>
      <c r="N272" s="4">
        <v>373.61099999999999</v>
      </c>
      <c r="O272" s="4">
        <v>373.61099999999999</v>
      </c>
      <c r="P272" s="4">
        <v>2299</v>
      </c>
      <c r="Q272" s="3" t="s">
        <v>26</v>
      </c>
      <c r="R272" s="3">
        <v>0</v>
      </c>
      <c r="S272" s="4">
        <v>0</v>
      </c>
      <c r="T272" s="4">
        <v>20</v>
      </c>
      <c r="U272" s="4">
        <v>62</v>
      </c>
      <c r="V272" s="4">
        <f>IF(ISERROR(VLOOKUP($S$272,'TAR FIN'!$A$1:$O$86,15,0)),0,VLOOKUP($S$272,'TAR FIN'!$A$1:$O$86,15,0))</f>
        <v>0</v>
      </c>
      <c r="W272" s="4">
        <f>IF(ISERROR(VLOOKUP($T$272,'TAR FIN'!$A$1:$O$86,15,0)),0,VLOOKUP($T$272,'TAR FIN'!$A$1:$O$86,15,0))</f>
        <v>489.03</v>
      </c>
      <c r="X272" s="4">
        <f>IF(ISERROR(VLOOKUP($U$272,'TAR FIN'!$A$1:$O$86,15,0)),0,VLOOKUP($U$272,'TAR FIN'!$A$1:$O$86,15,0))</f>
        <v>211.54</v>
      </c>
      <c r="Y272" s="4"/>
      <c r="Z272" s="4">
        <f ca="1">('TUSD BE'!$AM$20+'TUSD BF'!$AM$20+'TUSD CVA'!$AM$20)*1</f>
        <v>570.88759713673926</v>
      </c>
      <c r="AA272" s="4">
        <f>('TE BE'!$AB$11+'TE BF'!$AB$11+'TE CVA'!$AB$11)*1</f>
        <v>196.56876174373542</v>
      </c>
      <c r="AB272" s="4">
        <f>$K$272*$V$272</f>
        <v>0</v>
      </c>
      <c r="AC272" s="4">
        <f>$M$272*$W$272</f>
        <v>182706.98732999997</v>
      </c>
      <c r="AD272" s="4">
        <f>$O$272*$X$272</f>
        <v>79033.670939999996</v>
      </c>
      <c r="AE272" s="4">
        <f>$K$272*$Y$272</f>
        <v>0</v>
      </c>
      <c r="AF272" s="4">
        <f ca="1">$M$272*$Z$272</f>
        <v>213289.88605385428</v>
      </c>
      <c r="AG272" s="4">
        <f>$O$272*$AA$272</f>
        <v>73440.251643838739</v>
      </c>
    </row>
    <row r="273" spans="1:33" ht="11.25" customHeight="1" x14ac:dyDescent="0.25">
      <c r="A273" s="3" t="s">
        <v>27</v>
      </c>
      <c r="B273" s="3" t="s">
        <v>22</v>
      </c>
      <c r="C273" s="3" t="s">
        <v>23</v>
      </c>
      <c r="D273" s="3" t="s">
        <v>24</v>
      </c>
      <c r="E273" s="3" t="s">
        <v>24</v>
      </c>
      <c r="F273" s="3" t="s">
        <v>25</v>
      </c>
      <c r="G273" s="3" t="s">
        <v>25</v>
      </c>
      <c r="H273" s="3" t="s">
        <v>25</v>
      </c>
      <c r="I273" s="6">
        <v>44378</v>
      </c>
      <c r="J273" s="4">
        <v>0</v>
      </c>
      <c r="K273" s="4">
        <v>0</v>
      </c>
      <c r="L273" s="4">
        <v>-1.41</v>
      </c>
      <c r="M273" s="4">
        <v>-1.41</v>
      </c>
      <c r="N273" s="4">
        <v>-1.41</v>
      </c>
      <c r="O273" s="4">
        <v>-1.41</v>
      </c>
      <c r="P273" s="4">
        <v>0</v>
      </c>
      <c r="Q273" s="3" t="s">
        <v>26</v>
      </c>
      <c r="R273" s="3">
        <v>0</v>
      </c>
      <c r="S273" s="4">
        <v>0</v>
      </c>
      <c r="T273" s="4">
        <v>20</v>
      </c>
      <c r="U273" s="4">
        <v>62</v>
      </c>
      <c r="V273" s="4">
        <f>IF(ISERROR(VLOOKUP($S$273,'TAR FIN'!$A$1:$O$86,15,0)),0,VLOOKUP($S$273,'TAR FIN'!$A$1:$O$86,15,0))</f>
        <v>0</v>
      </c>
      <c r="W273" s="4">
        <f>IF(ISERROR(VLOOKUP($T$273,'TAR FIN'!$A$1:$O$86,15,0)),0,VLOOKUP($T$273,'TAR FIN'!$A$1:$O$86,15,0))</f>
        <v>489.03</v>
      </c>
      <c r="X273" s="4">
        <f>IF(ISERROR(VLOOKUP($U$273,'TAR FIN'!$A$1:$O$86,15,0)),0,VLOOKUP($U$273,'TAR FIN'!$A$1:$O$86,15,0))</f>
        <v>211.54</v>
      </c>
      <c r="Y273" s="4"/>
      <c r="Z273" s="4">
        <f ca="1">('TUSD BE'!$AM$20+'TUSD BF'!$AM$20+'TUSD CVA'!$AM$20)*1</f>
        <v>570.88759713673926</v>
      </c>
      <c r="AA273" s="4">
        <f>('TE BE'!$AB$11+'TE BF'!$AB$11+'TE CVA'!$AB$11)*1</f>
        <v>196.56876174373542</v>
      </c>
      <c r="AB273" s="4">
        <f>$K$273*$V$273</f>
        <v>0</v>
      </c>
      <c r="AC273" s="4">
        <f>$M$273*$W$273</f>
        <v>-689.53229999999996</v>
      </c>
      <c r="AD273" s="4">
        <f>$O$273*$X$273</f>
        <v>-298.27139999999997</v>
      </c>
      <c r="AE273" s="4">
        <f>$K$273*$Y$273</f>
        <v>0</v>
      </c>
      <c r="AF273" s="4">
        <f ca="1">$M$273*$Z$273</f>
        <v>-804.95151196280233</v>
      </c>
      <c r="AG273" s="4">
        <f>$O$273*$AA$273</f>
        <v>-277.16195405866694</v>
      </c>
    </row>
    <row r="274" spans="1:33" ht="11.25" customHeight="1" x14ac:dyDescent="0.25">
      <c r="A274" s="3" t="s">
        <v>28</v>
      </c>
      <c r="B274" s="3" t="s">
        <v>22</v>
      </c>
      <c r="C274" s="3" t="s">
        <v>23</v>
      </c>
      <c r="D274" s="3" t="s">
        <v>24</v>
      </c>
      <c r="E274" s="3" t="s">
        <v>24</v>
      </c>
      <c r="F274" s="3" t="s">
        <v>25</v>
      </c>
      <c r="G274" s="3" t="s">
        <v>25</v>
      </c>
      <c r="H274" s="3" t="s">
        <v>25</v>
      </c>
      <c r="I274" s="6">
        <v>44378</v>
      </c>
      <c r="J274" s="4">
        <v>0</v>
      </c>
      <c r="K274" s="4">
        <v>0</v>
      </c>
      <c r="L274" s="4">
        <v>1.0149999999999999</v>
      </c>
      <c r="M274" s="4">
        <v>1.0149999999999999</v>
      </c>
      <c r="N274" s="4">
        <v>1.0149999999999999</v>
      </c>
      <c r="O274" s="4">
        <v>1.0149999999999999</v>
      </c>
      <c r="P274" s="4">
        <v>14</v>
      </c>
      <c r="Q274" s="3" t="s">
        <v>26</v>
      </c>
      <c r="R274" s="3">
        <v>0</v>
      </c>
      <c r="S274" s="4">
        <v>0</v>
      </c>
      <c r="T274" s="4">
        <v>20</v>
      </c>
      <c r="U274" s="4">
        <v>62</v>
      </c>
      <c r="V274" s="4">
        <f>IF(ISERROR(VLOOKUP($S$274,'TAR FIN'!$A$1:$O$86,15,0)),0,VLOOKUP($S$274,'TAR FIN'!$A$1:$O$86,15,0))</f>
        <v>0</v>
      </c>
      <c r="W274" s="4">
        <f>IF(ISERROR(VLOOKUP($T$274,'TAR FIN'!$A$1:$O$86,15,0)),0,VLOOKUP($T$274,'TAR FIN'!$A$1:$O$86,15,0))</f>
        <v>489.03</v>
      </c>
      <c r="X274" s="4">
        <f>IF(ISERROR(VLOOKUP($U$274,'TAR FIN'!$A$1:$O$86,15,0)),0,VLOOKUP($U$274,'TAR FIN'!$A$1:$O$86,15,0))</f>
        <v>211.54</v>
      </c>
      <c r="Y274" s="4"/>
      <c r="Z274" s="4">
        <f ca="1">('TUSD BE'!$AM$20+'TUSD BF'!$AM$20+'TUSD CVA'!$AM$20)*1</f>
        <v>570.88759713673926</v>
      </c>
      <c r="AA274" s="4">
        <f>('TE BE'!$AB$11+'TE BF'!$AB$11+'TE CVA'!$AB$11)*1</f>
        <v>196.56876174373542</v>
      </c>
      <c r="AB274" s="4">
        <f>$K$274*$V$274</f>
        <v>0</v>
      </c>
      <c r="AC274" s="4">
        <f>$M$274*$W$274</f>
        <v>496.3654499999999</v>
      </c>
      <c r="AD274" s="4">
        <f>$O$274*$X$274</f>
        <v>214.71309999999997</v>
      </c>
      <c r="AE274" s="4">
        <f>$K$274*$Y$274</f>
        <v>0</v>
      </c>
      <c r="AF274" s="4">
        <f ca="1">$M$274*$Z$274</f>
        <v>579.4509110937903</v>
      </c>
      <c r="AG274" s="4">
        <f>$O$274*$AA$274</f>
        <v>199.51729316989145</v>
      </c>
    </row>
    <row r="275" spans="1:33" ht="11.25" customHeight="1" x14ac:dyDescent="0.25">
      <c r="A275" s="3" t="s">
        <v>21</v>
      </c>
      <c r="B275" s="3" t="s">
        <v>22</v>
      </c>
      <c r="C275" s="3" t="s">
        <v>23</v>
      </c>
      <c r="D275" s="3" t="s">
        <v>24</v>
      </c>
      <c r="E275" s="3" t="s">
        <v>24</v>
      </c>
      <c r="F275" s="3" t="s">
        <v>25</v>
      </c>
      <c r="G275" s="3" t="s">
        <v>25</v>
      </c>
      <c r="H275" s="3" t="s">
        <v>25</v>
      </c>
      <c r="I275" s="6">
        <v>44409</v>
      </c>
      <c r="J275" s="4">
        <v>0</v>
      </c>
      <c r="K275" s="4">
        <v>0</v>
      </c>
      <c r="L275" s="4">
        <v>390.56099999999998</v>
      </c>
      <c r="M275" s="4">
        <v>390.56099999999998</v>
      </c>
      <c r="N275" s="4">
        <v>390.56099999999998</v>
      </c>
      <c r="O275" s="4">
        <v>390.56099999999998</v>
      </c>
      <c r="P275" s="4">
        <v>2325</v>
      </c>
      <c r="Q275" s="3" t="s">
        <v>26</v>
      </c>
      <c r="R275" s="3">
        <v>0</v>
      </c>
      <c r="S275" s="4">
        <v>0</v>
      </c>
      <c r="T275" s="4">
        <v>20</v>
      </c>
      <c r="U275" s="4">
        <v>62</v>
      </c>
      <c r="V275" s="4">
        <f>IF(ISERROR(VLOOKUP($S$275,'TAR FIN'!$A$1:$O$86,15,0)),0,VLOOKUP($S$275,'TAR FIN'!$A$1:$O$86,15,0))</f>
        <v>0</v>
      </c>
      <c r="W275" s="4">
        <f>IF(ISERROR(VLOOKUP($T$275,'TAR FIN'!$A$1:$O$86,15,0)),0,VLOOKUP($T$275,'TAR FIN'!$A$1:$O$86,15,0))</f>
        <v>489.03</v>
      </c>
      <c r="X275" s="4">
        <f>IF(ISERROR(VLOOKUP($U$275,'TAR FIN'!$A$1:$O$86,15,0)),0,VLOOKUP($U$275,'TAR FIN'!$A$1:$O$86,15,0))</f>
        <v>211.54</v>
      </c>
      <c r="Y275" s="4"/>
      <c r="Z275" s="4">
        <f ca="1">('TUSD BE'!$AM$20+'TUSD BF'!$AM$20+'TUSD CVA'!$AM$20)*1</f>
        <v>570.88759713673926</v>
      </c>
      <c r="AA275" s="4">
        <f>('TE BE'!$AB$11+'TE BF'!$AB$11+'TE CVA'!$AB$11)*1</f>
        <v>196.56876174373542</v>
      </c>
      <c r="AB275" s="4">
        <f>$K$275*$V$275</f>
        <v>0</v>
      </c>
      <c r="AC275" s="4">
        <f>$M$275*$W$275</f>
        <v>190996.04582999999</v>
      </c>
      <c r="AD275" s="4">
        <f>$O$275*$X$275</f>
        <v>82619.273939999999</v>
      </c>
      <c r="AE275" s="4">
        <f>$K$275*$Y$275</f>
        <v>0</v>
      </c>
      <c r="AF275" s="4">
        <f ca="1">$M$275*$Z$275</f>
        <v>222966.43082532202</v>
      </c>
      <c r="AG275" s="4">
        <f>$O$275*$AA$275</f>
        <v>76772.092155395047</v>
      </c>
    </row>
    <row r="276" spans="1:33" ht="11.25" customHeight="1" x14ac:dyDescent="0.25">
      <c r="A276" s="3" t="s">
        <v>27</v>
      </c>
      <c r="B276" s="3" t="s">
        <v>22</v>
      </c>
      <c r="C276" s="3" t="s">
        <v>23</v>
      </c>
      <c r="D276" s="3" t="s">
        <v>24</v>
      </c>
      <c r="E276" s="3" t="s">
        <v>24</v>
      </c>
      <c r="F276" s="3" t="s">
        <v>25</v>
      </c>
      <c r="G276" s="3" t="s">
        <v>25</v>
      </c>
      <c r="H276" s="3" t="s">
        <v>25</v>
      </c>
      <c r="I276" s="6">
        <v>44409</v>
      </c>
      <c r="J276" s="4">
        <v>0</v>
      </c>
      <c r="K276" s="4">
        <v>0</v>
      </c>
      <c r="L276" s="4">
        <v>-4.266</v>
      </c>
      <c r="M276" s="4">
        <v>-4.266</v>
      </c>
      <c r="N276" s="4">
        <v>-4.266</v>
      </c>
      <c r="O276" s="4">
        <v>-4.266</v>
      </c>
      <c r="P276" s="4">
        <v>0</v>
      </c>
      <c r="Q276" s="3" t="s">
        <v>26</v>
      </c>
      <c r="R276" s="3">
        <v>0</v>
      </c>
      <c r="S276" s="4">
        <v>0</v>
      </c>
      <c r="T276" s="4">
        <v>20</v>
      </c>
      <c r="U276" s="4">
        <v>62</v>
      </c>
      <c r="V276" s="4">
        <f>IF(ISERROR(VLOOKUP($S$276,'TAR FIN'!$A$1:$O$86,15,0)),0,VLOOKUP($S$276,'TAR FIN'!$A$1:$O$86,15,0))</f>
        <v>0</v>
      </c>
      <c r="W276" s="4">
        <f>IF(ISERROR(VLOOKUP($T$276,'TAR FIN'!$A$1:$O$86,15,0)),0,VLOOKUP($T$276,'TAR FIN'!$A$1:$O$86,15,0))</f>
        <v>489.03</v>
      </c>
      <c r="X276" s="4">
        <f>IF(ISERROR(VLOOKUP($U$276,'TAR FIN'!$A$1:$O$86,15,0)),0,VLOOKUP($U$276,'TAR FIN'!$A$1:$O$86,15,0))</f>
        <v>211.54</v>
      </c>
      <c r="Y276" s="4"/>
      <c r="Z276" s="4">
        <f ca="1">('TUSD BE'!$AM$20+'TUSD BF'!$AM$20+'TUSD CVA'!$AM$20)*1</f>
        <v>570.88759713673926</v>
      </c>
      <c r="AA276" s="4">
        <f>('TE BE'!$AB$11+'TE BF'!$AB$11+'TE CVA'!$AB$11)*1</f>
        <v>196.56876174373542</v>
      </c>
      <c r="AB276" s="4">
        <f>$K$276*$V$276</f>
        <v>0</v>
      </c>
      <c r="AC276" s="4">
        <f>$M$276*$W$276</f>
        <v>-2086.2019799999998</v>
      </c>
      <c r="AD276" s="4">
        <f>$O$276*$X$276</f>
        <v>-902.42963999999995</v>
      </c>
      <c r="AE276" s="4">
        <f>$K$276*$Y$276</f>
        <v>0</v>
      </c>
      <c r="AF276" s="4">
        <f ca="1">$M$276*$Z$276</f>
        <v>-2435.4064893853297</v>
      </c>
      <c r="AG276" s="4">
        <f>$O$276*$AA$276</f>
        <v>-838.56233759877534</v>
      </c>
    </row>
    <row r="277" spans="1:33" ht="11.25" customHeight="1" x14ac:dyDescent="0.25">
      <c r="A277" s="3" t="s">
        <v>21</v>
      </c>
      <c r="B277" s="3" t="s">
        <v>22</v>
      </c>
      <c r="C277" s="3" t="s">
        <v>23</v>
      </c>
      <c r="D277" s="3" t="s">
        <v>24</v>
      </c>
      <c r="E277" s="3" t="s">
        <v>24</v>
      </c>
      <c r="F277" s="3" t="s">
        <v>25</v>
      </c>
      <c r="G277" s="3" t="s">
        <v>25</v>
      </c>
      <c r="H277" s="3" t="s">
        <v>25</v>
      </c>
      <c r="I277" s="6">
        <v>44440</v>
      </c>
      <c r="J277" s="4">
        <v>0</v>
      </c>
      <c r="K277" s="4">
        <v>0</v>
      </c>
      <c r="L277" s="4">
        <v>364.50099999999998</v>
      </c>
      <c r="M277" s="4">
        <v>364.50099999999998</v>
      </c>
      <c r="N277" s="4">
        <v>364.50099999999998</v>
      </c>
      <c r="O277" s="4">
        <v>364.50099999999998</v>
      </c>
      <c r="P277" s="4">
        <v>2331</v>
      </c>
      <c r="Q277" s="3" t="s">
        <v>26</v>
      </c>
      <c r="R277" s="3">
        <v>0</v>
      </c>
      <c r="S277" s="4">
        <v>0</v>
      </c>
      <c r="T277" s="4">
        <v>20</v>
      </c>
      <c r="U277" s="4">
        <v>62</v>
      </c>
      <c r="V277" s="4">
        <f>IF(ISERROR(VLOOKUP($S$277,'TAR FIN'!$A$1:$O$86,15,0)),0,VLOOKUP($S$277,'TAR FIN'!$A$1:$O$86,15,0))</f>
        <v>0</v>
      </c>
      <c r="W277" s="4">
        <f>IF(ISERROR(VLOOKUP($T$277,'TAR FIN'!$A$1:$O$86,15,0)),0,VLOOKUP($T$277,'TAR FIN'!$A$1:$O$86,15,0))</f>
        <v>489.03</v>
      </c>
      <c r="X277" s="4">
        <f>IF(ISERROR(VLOOKUP($U$277,'TAR FIN'!$A$1:$O$86,15,0)),0,VLOOKUP($U$277,'TAR FIN'!$A$1:$O$86,15,0))</f>
        <v>211.54</v>
      </c>
      <c r="Y277" s="4"/>
      <c r="Z277" s="4">
        <f ca="1">('TUSD BE'!$AM$20+'TUSD BF'!$AM$20+'TUSD CVA'!$AM$20)*1</f>
        <v>570.88759713673926</v>
      </c>
      <c r="AA277" s="4">
        <f>('TE BE'!$AB$11+'TE BF'!$AB$11+'TE CVA'!$AB$11)*1</f>
        <v>196.56876174373542</v>
      </c>
      <c r="AB277" s="4">
        <f>$K$277*$V$277</f>
        <v>0</v>
      </c>
      <c r="AC277" s="4">
        <f>$M$277*$W$277</f>
        <v>178251.92402999997</v>
      </c>
      <c r="AD277" s="4">
        <f>$O$277*$X$277</f>
        <v>77106.541539999991</v>
      </c>
      <c r="AE277" s="4">
        <f>$K$277*$Y$277</f>
        <v>0</v>
      </c>
      <c r="AF277" s="4">
        <f ca="1">$M$277*$Z$277</f>
        <v>208089.10004393858</v>
      </c>
      <c r="AG277" s="4">
        <f>$O$277*$AA$277</f>
        <v>71649.510224353304</v>
      </c>
    </row>
    <row r="278" spans="1:33" ht="11.25" customHeight="1" x14ac:dyDescent="0.25">
      <c r="A278" s="3" t="s">
        <v>27</v>
      </c>
      <c r="B278" s="3" t="s">
        <v>22</v>
      </c>
      <c r="C278" s="3" t="s">
        <v>23</v>
      </c>
      <c r="D278" s="3" t="s">
        <v>24</v>
      </c>
      <c r="E278" s="3" t="s">
        <v>24</v>
      </c>
      <c r="F278" s="3" t="s">
        <v>25</v>
      </c>
      <c r="G278" s="3" t="s">
        <v>25</v>
      </c>
      <c r="H278" s="3" t="s">
        <v>25</v>
      </c>
      <c r="I278" s="6">
        <v>44440</v>
      </c>
      <c r="J278" s="4">
        <v>0</v>
      </c>
      <c r="K278" s="4">
        <v>0</v>
      </c>
      <c r="L278" s="4">
        <v>-1.931</v>
      </c>
      <c r="M278" s="4">
        <v>-1.931</v>
      </c>
      <c r="N278" s="4">
        <v>-1.931</v>
      </c>
      <c r="O278" s="4">
        <v>-1.931</v>
      </c>
      <c r="P278" s="4">
        <v>0</v>
      </c>
      <c r="Q278" s="3" t="s">
        <v>26</v>
      </c>
      <c r="R278" s="3">
        <v>0</v>
      </c>
      <c r="S278" s="4">
        <v>0</v>
      </c>
      <c r="T278" s="4">
        <v>20</v>
      </c>
      <c r="U278" s="4">
        <v>62</v>
      </c>
      <c r="V278" s="4">
        <f>IF(ISERROR(VLOOKUP($S$278,'TAR FIN'!$A$1:$O$86,15,0)),0,VLOOKUP($S$278,'TAR FIN'!$A$1:$O$86,15,0))</f>
        <v>0</v>
      </c>
      <c r="W278" s="4">
        <f>IF(ISERROR(VLOOKUP($T$278,'TAR FIN'!$A$1:$O$86,15,0)),0,VLOOKUP($T$278,'TAR FIN'!$A$1:$O$86,15,0))</f>
        <v>489.03</v>
      </c>
      <c r="X278" s="4">
        <f>IF(ISERROR(VLOOKUP($U$278,'TAR FIN'!$A$1:$O$86,15,0)),0,VLOOKUP($U$278,'TAR FIN'!$A$1:$O$86,15,0))</f>
        <v>211.54</v>
      </c>
      <c r="Y278" s="4"/>
      <c r="Z278" s="4">
        <f ca="1">('TUSD BE'!$AM$20+'TUSD BF'!$AM$20+'TUSD CVA'!$AM$20)*1</f>
        <v>570.88759713673926</v>
      </c>
      <c r="AA278" s="4">
        <f>('TE BE'!$AB$11+'TE BF'!$AB$11+'TE CVA'!$AB$11)*1</f>
        <v>196.56876174373542</v>
      </c>
      <c r="AB278" s="4">
        <f>$K$278*$V$278</f>
        <v>0</v>
      </c>
      <c r="AC278" s="4">
        <f>$M$278*$W$278</f>
        <v>-944.31692999999996</v>
      </c>
      <c r="AD278" s="4">
        <f>$O$278*$X$278</f>
        <v>-408.48374000000001</v>
      </c>
      <c r="AE278" s="4">
        <f>$K$278*$Y$278</f>
        <v>0</v>
      </c>
      <c r="AF278" s="4">
        <f ca="1">$M$278*$Z$278</f>
        <v>-1102.3839500710435</v>
      </c>
      <c r="AG278" s="4">
        <f>$O$278*$AA$278</f>
        <v>-379.5742789271531</v>
      </c>
    </row>
    <row r="279" spans="1:33" ht="11.25" customHeight="1" x14ac:dyDescent="0.25">
      <c r="A279" s="3" t="s">
        <v>28</v>
      </c>
      <c r="B279" s="3" t="s">
        <v>22</v>
      </c>
      <c r="C279" s="3" t="s">
        <v>23</v>
      </c>
      <c r="D279" s="3" t="s">
        <v>24</v>
      </c>
      <c r="E279" s="3" t="s">
        <v>24</v>
      </c>
      <c r="F279" s="3" t="s">
        <v>25</v>
      </c>
      <c r="G279" s="3" t="s">
        <v>25</v>
      </c>
      <c r="H279" s="3" t="s">
        <v>25</v>
      </c>
      <c r="I279" s="6">
        <v>44440</v>
      </c>
      <c r="J279" s="4">
        <v>0</v>
      </c>
      <c r="K279" s="4">
        <v>0</v>
      </c>
      <c r="L279" s="4">
        <v>1.6839999999999999</v>
      </c>
      <c r="M279" s="4">
        <v>1.6839999999999999</v>
      </c>
      <c r="N279" s="4">
        <v>1.6839999999999999</v>
      </c>
      <c r="O279" s="4">
        <v>1.6839999999999999</v>
      </c>
      <c r="P279" s="4">
        <v>20</v>
      </c>
      <c r="Q279" s="3" t="s">
        <v>26</v>
      </c>
      <c r="R279" s="3">
        <v>0</v>
      </c>
      <c r="S279" s="4">
        <v>0</v>
      </c>
      <c r="T279" s="4">
        <v>20</v>
      </c>
      <c r="U279" s="4">
        <v>62</v>
      </c>
      <c r="V279" s="4">
        <f>IF(ISERROR(VLOOKUP($S$279,'TAR FIN'!$A$1:$O$86,15,0)),0,VLOOKUP($S$279,'TAR FIN'!$A$1:$O$86,15,0))</f>
        <v>0</v>
      </c>
      <c r="W279" s="4">
        <f>IF(ISERROR(VLOOKUP($T$279,'TAR FIN'!$A$1:$O$86,15,0)),0,VLOOKUP($T$279,'TAR FIN'!$A$1:$O$86,15,0))</f>
        <v>489.03</v>
      </c>
      <c r="X279" s="4">
        <f>IF(ISERROR(VLOOKUP($U$279,'TAR FIN'!$A$1:$O$86,15,0)),0,VLOOKUP($U$279,'TAR FIN'!$A$1:$O$86,15,0))</f>
        <v>211.54</v>
      </c>
      <c r="Y279" s="4"/>
      <c r="Z279" s="4">
        <f ca="1">('TUSD BE'!$AM$20+'TUSD BF'!$AM$20+'TUSD CVA'!$AM$20)*1</f>
        <v>570.88759713673926</v>
      </c>
      <c r="AA279" s="4">
        <f>('TE BE'!$AB$11+'TE BF'!$AB$11+'TE CVA'!$AB$11)*1</f>
        <v>196.56876174373542</v>
      </c>
      <c r="AB279" s="4">
        <f>$K$279*$V$279</f>
        <v>0</v>
      </c>
      <c r="AC279" s="4">
        <f>$M$279*$W$279</f>
        <v>823.52651999999989</v>
      </c>
      <c r="AD279" s="4">
        <f>$O$279*$X$279</f>
        <v>356.23335999999995</v>
      </c>
      <c r="AE279" s="4">
        <f>$K$279*$Y$279</f>
        <v>0</v>
      </c>
      <c r="AF279" s="4">
        <f ca="1">$M$279*$Z$279</f>
        <v>961.37471357826882</v>
      </c>
      <c r="AG279" s="4">
        <f>$O$279*$AA$279</f>
        <v>331.02179477645046</v>
      </c>
    </row>
    <row r="280" spans="1:33" ht="11.25" customHeight="1" x14ac:dyDescent="0.25">
      <c r="A280" s="3" t="s">
        <v>21</v>
      </c>
      <c r="B280" s="3" t="s">
        <v>22</v>
      </c>
      <c r="C280" s="3" t="s">
        <v>23</v>
      </c>
      <c r="D280" s="3" t="s">
        <v>24</v>
      </c>
      <c r="E280" s="3" t="s">
        <v>24</v>
      </c>
      <c r="F280" s="3" t="s">
        <v>25</v>
      </c>
      <c r="G280" s="3" t="s">
        <v>25</v>
      </c>
      <c r="H280" s="3" t="s">
        <v>25</v>
      </c>
      <c r="I280" s="6">
        <v>44470</v>
      </c>
      <c r="J280" s="4">
        <v>0</v>
      </c>
      <c r="K280" s="4">
        <v>0</v>
      </c>
      <c r="L280" s="4">
        <v>386.245</v>
      </c>
      <c r="M280" s="4">
        <v>386.245</v>
      </c>
      <c r="N280" s="4">
        <v>386.245</v>
      </c>
      <c r="O280" s="4">
        <v>386.245</v>
      </c>
      <c r="P280" s="4">
        <v>2342</v>
      </c>
      <c r="Q280" s="3" t="s">
        <v>26</v>
      </c>
      <c r="R280" s="3">
        <v>0</v>
      </c>
      <c r="S280" s="4">
        <v>0</v>
      </c>
      <c r="T280" s="4">
        <v>20</v>
      </c>
      <c r="U280" s="4">
        <v>62</v>
      </c>
      <c r="V280" s="4">
        <f>IF(ISERROR(VLOOKUP($S$280,'TAR FIN'!$A$1:$O$86,15,0)),0,VLOOKUP($S$280,'TAR FIN'!$A$1:$O$86,15,0))</f>
        <v>0</v>
      </c>
      <c r="W280" s="4">
        <f>IF(ISERROR(VLOOKUP($T$280,'TAR FIN'!$A$1:$O$86,15,0)),0,VLOOKUP($T$280,'TAR FIN'!$A$1:$O$86,15,0))</f>
        <v>489.03</v>
      </c>
      <c r="X280" s="4">
        <f>IF(ISERROR(VLOOKUP($U$280,'TAR FIN'!$A$1:$O$86,15,0)),0,VLOOKUP($U$280,'TAR FIN'!$A$1:$O$86,15,0))</f>
        <v>211.54</v>
      </c>
      <c r="Y280" s="4"/>
      <c r="Z280" s="4">
        <f ca="1">('TUSD BE'!$AM$20+'TUSD BF'!$AM$20+'TUSD CVA'!$AM$20)*1</f>
        <v>570.88759713673926</v>
      </c>
      <c r="AA280" s="4">
        <f>('TE BE'!$AB$11+'TE BF'!$AB$11+'TE CVA'!$AB$11)*1</f>
        <v>196.56876174373542</v>
      </c>
      <c r="AB280" s="4">
        <f>$K$280*$V$280</f>
        <v>0</v>
      </c>
      <c r="AC280" s="4">
        <f>$M$280*$W$280</f>
        <v>188885.39234999998</v>
      </c>
      <c r="AD280" s="4">
        <f>$O$280*$X$280</f>
        <v>81706.267299999992</v>
      </c>
      <c r="AE280" s="4">
        <f>$K$280*$Y$280</f>
        <v>0</v>
      </c>
      <c r="AF280" s="4">
        <f ca="1">$M$280*$Z$280</f>
        <v>220502.47995607986</v>
      </c>
      <c r="AG280" s="4">
        <f>$O$280*$AA$280</f>
        <v>75923.701379709091</v>
      </c>
    </row>
    <row r="281" spans="1:33" ht="11.25" customHeight="1" x14ac:dyDescent="0.25">
      <c r="A281" s="3" t="s">
        <v>27</v>
      </c>
      <c r="B281" s="3" t="s">
        <v>22</v>
      </c>
      <c r="C281" s="3" t="s">
        <v>23</v>
      </c>
      <c r="D281" s="3" t="s">
        <v>24</v>
      </c>
      <c r="E281" s="3" t="s">
        <v>24</v>
      </c>
      <c r="F281" s="3" t="s">
        <v>25</v>
      </c>
      <c r="G281" s="3" t="s">
        <v>25</v>
      </c>
      <c r="H281" s="3" t="s">
        <v>25</v>
      </c>
      <c r="I281" s="6">
        <v>44470</v>
      </c>
      <c r="J281" s="4">
        <v>0</v>
      </c>
      <c r="K281" s="4">
        <v>0</v>
      </c>
      <c r="L281" s="4">
        <v>-4.8209999999999997</v>
      </c>
      <c r="M281" s="4">
        <v>-4.8209999999999997</v>
      </c>
      <c r="N281" s="4">
        <v>-4.8209999999999997</v>
      </c>
      <c r="O281" s="4">
        <v>-4.8209999999999997</v>
      </c>
      <c r="P281" s="4">
        <v>0</v>
      </c>
      <c r="Q281" s="3" t="s">
        <v>26</v>
      </c>
      <c r="R281" s="3">
        <v>0</v>
      </c>
      <c r="S281" s="4">
        <v>0</v>
      </c>
      <c r="T281" s="4">
        <v>20</v>
      </c>
      <c r="U281" s="4">
        <v>62</v>
      </c>
      <c r="V281" s="4">
        <f>IF(ISERROR(VLOOKUP($S$281,'TAR FIN'!$A$1:$O$86,15,0)),0,VLOOKUP($S$281,'TAR FIN'!$A$1:$O$86,15,0))</f>
        <v>0</v>
      </c>
      <c r="W281" s="4">
        <f>IF(ISERROR(VLOOKUP($T$281,'TAR FIN'!$A$1:$O$86,15,0)),0,VLOOKUP($T$281,'TAR FIN'!$A$1:$O$86,15,0))</f>
        <v>489.03</v>
      </c>
      <c r="X281" s="4">
        <f>IF(ISERROR(VLOOKUP($U$281,'TAR FIN'!$A$1:$O$86,15,0)),0,VLOOKUP($U$281,'TAR FIN'!$A$1:$O$86,15,0))</f>
        <v>211.54</v>
      </c>
      <c r="Y281" s="4"/>
      <c r="Z281" s="4">
        <f ca="1">('TUSD BE'!$AM$20+'TUSD BF'!$AM$20+'TUSD CVA'!$AM$20)*1</f>
        <v>570.88759713673926</v>
      </c>
      <c r="AA281" s="4">
        <f>('TE BE'!$AB$11+'TE BF'!$AB$11+'TE CVA'!$AB$11)*1</f>
        <v>196.56876174373542</v>
      </c>
      <c r="AB281" s="4">
        <f>$K$281*$V$281</f>
        <v>0</v>
      </c>
      <c r="AC281" s="4">
        <f>$M$281*$W$281</f>
        <v>-2357.6136299999998</v>
      </c>
      <c r="AD281" s="4">
        <f>$O$281*$X$281</f>
        <v>-1019.8343399999999</v>
      </c>
      <c r="AE281" s="4">
        <f>$K$281*$Y$281</f>
        <v>0</v>
      </c>
      <c r="AF281" s="4">
        <f ca="1">$M$281*$Z$281</f>
        <v>-2752.2491057962197</v>
      </c>
      <c r="AG281" s="4">
        <f>$O$281*$AA$281</f>
        <v>-947.65800036654844</v>
      </c>
    </row>
    <row r="282" spans="1:33" ht="11.25" customHeight="1" x14ac:dyDescent="0.25">
      <c r="A282" s="3" t="s">
        <v>28</v>
      </c>
      <c r="B282" s="3" t="s">
        <v>22</v>
      </c>
      <c r="C282" s="3" t="s">
        <v>23</v>
      </c>
      <c r="D282" s="3" t="s">
        <v>24</v>
      </c>
      <c r="E282" s="3" t="s">
        <v>24</v>
      </c>
      <c r="F282" s="3" t="s">
        <v>25</v>
      </c>
      <c r="G282" s="3" t="s">
        <v>25</v>
      </c>
      <c r="H282" s="3" t="s">
        <v>25</v>
      </c>
      <c r="I282" s="6">
        <v>44470</v>
      </c>
      <c r="J282" s="4">
        <v>0</v>
      </c>
      <c r="K282" s="4">
        <v>0</v>
      </c>
      <c r="L282" s="4">
        <v>1.2250000000000001</v>
      </c>
      <c r="M282" s="4">
        <v>1.2250000000000001</v>
      </c>
      <c r="N282" s="4">
        <v>1.2250000000000001</v>
      </c>
      <c r="O282" s="4">
        <v>1.2250000000000001</v>
      </c>
      <c r="P282" s="4">
        <v>21</v>
      </c>
      <c r="Q282" s="3" t="s">
        <v>26</v>
      </c>
      <c r="R282" s="3">
        <v>0</v>
      </c>
      <c r="S282" s="4">
        <v>0</v>
      </c>
      <c r="T282" s="4">
        <v>20</v>
      </c>
      <c r="U282" s="4">
        <v>62</v>
      </c>
      <c r="V282" s="4">
        <f>IF(ISERROR(VLOOKUP($S$282,'TAR FIN'!$A$1:$O$86,15,0)),0,VLOOKUP($S$282,'TAR FIN'!$A$1:$O$86,15,0))</f>
        <v>0</v>
      </c>
      <c r="W282" s="4">
        <f>IF(ISERROR(VLOOKUP($T$282,'TAR FIN'!$A$1:$O$86,15,0)),0,VLOOKUP($T$282,'TAR FIN'!$A$1:$O$86,15,0))</f>
        <v>489.03</v>
      </c>
      <c r="X282" s="4">
        <f>IF(ISERROR(VLOOKUP($U$282,'TAR FIN'!$A$1:$O$86,15,0)),0,VLOOKUP($U$282,'TAR FIN'!$A$1:$O$86,15,0))</f>
        <v>211.54</v>
      </c>
      <c r="Y282" s="4"/>
      <c r="Z282" s="4">
        <f ca="1">('TUSD BE'!$AM$20+'TUSD BF'!$AM$20+'TUSD CVA'!$AM$20)*1</f>
        <v>570.88759713673926</v>
      </c>
      <c r="AA282" s="4">
        <f>('TE BE'!$AB$11+'TE BF'!$AB$11+'TE CVA'!$AB$11)*1</f>
        <v>196.56876174373542</v>
      </c>
      <c r="AB282" s="4">
        <f>$K$282*$V$282</f>
        <v>0</v>
      </c>
      <c r="AC282" s="4">
        <f>$M$282*$W$282</f>
        <v>599.06174999999996</v>
      </c>
      <c r="AD282" s="4">
        <f>$O$282*$X$282</f>
        <v>259.13650000000001</v>
      </c>
      <c r="AE282" s="4">
        <f>$K$282*$Y$282</f>
        <v>0</v>
      </c>
      <c r="AF282" s="4">
        <f ca="1">$M$282*$Z$282</f>
        <v>699.3373064925056</v>
      </c>
      <c r="AG282" s="4">
        <f>$O$282*$AA$282</f>
        <v>240.79673313607591</v>
      </c>
    </row>
    <row r="283" spans="1:33" ht="11.25" customHeight="1" x14ac:dyDescent="0.25">
      <c r="A283" s="3" t="s">
        <v>28</v>
      </c>
      <c r="B283" s="3" t="s">
        <v>22</v>
      </c>
      <c r="C283" s="3" t="s">
        <v>23</v>
      </c>
      <c r="D283" s="3" t="s">
        <v>24</v>
      </c>
      <c r="E283" s="3" t="s">
        <v>24</v>
      </c>
      <c r="F283" s="3" t="s">
        <v>25</v>
      </c>
      <c r="G283" s="3" t="s">
        <v>25</v>
      </c>
      <c r="H283" s="3" t="s">
        <v>25</v>
      </c>
      <c r="I283" s="6">
        <v>44470</v>
      </c>
      <c r="J283" s="4">
        <v>0</v>
      </c>
      <c r="K283" s="4">
        <v>0</v>
      </c>
      <c r="L283" s="4">
        <v>-0.26900000000000002</v>
      </c>
      <c r="M283" s="4">
        <v>-0.26900000000000002</v>
      </c>
      <c r="N283" s="4">
        <v>-0.26900000000000002</v>
      </c>
      <c r="O283" s="4">
        <v>-0.26900000000000002</v>
      </c>
      <c r="P283" s="4">
        <v>2</v>
      </c>
      <c r="Q283" s="3" t="s">
        <v>26</v>
      </c>
      <c r="R283" s="3">
        <v>0</v>
      </c>
      <c r="S283" s="4">
        <v>0</v>
      </c>
      <c r="T283" s="4">
        <v>20</v>
      </c>
      <c r="U283" s="4">
        <v>62</v>
      </c>
      <c r="V283" s="4">
        <f>IF(ISERROR(VLOOKUP($S$283,'TAR FIN'!$A$1:$O$86,15,0)),0,VLOOKUP($S$283,'TAR FIN'!$A$1:$O$86,15,0))</f>
        <v>0</v>
      </c>
      <c r="W283" s="4">
        <f>IF(ISERROR(VLOOKUP($T$283,'TAR FIN'!$A$1:$O$86,15,0)),0,VLOOKUP($T$283,'TAR FIN'!$A$1:$O$86,15,0))</f>
        <v>489.03</v>
      </c>
      <c r="X283" s="4">
        <f>IF(ISERROR(VLOOKUP($U$283,'TAR FIN'!$A$1:$O$86,15,0)),0,VLOOKUP($U$283,'TAR FIN'!$A$1:$O$86,15,0))</f>
        <v>211.54</v>
      </c>
      <c r="Y283" s="4"/>
      <c r="Z283" s="4">
        <f ca="1">('TUSD BE'!$AM$20+'TUSD BF'!$AM$20+'TUSD CVA'!$AM$20)*1</f>
        <v>570.88759713673926</v>
      </c>
      <c r="AA283" s="4">
        <f>('TE BE'!$AB$11+'TE BF'!$AB$11+'TE CVA'!$AB$11)*1</f>
        <v>196.56876174373542</v>
      </c>
      <c r="AB283" s="4">
        <f>$K$283*$V$283</f>
        <v>0</v>
      </c>
      <c r="AC283" s="4">
        <f>$M$283*$W$283</f>
        <v>-131.54907</v>
      </c>
      <c r="AD283" s="4">
        <f>$O$283*$X$283</f>
        <v>-56.904260000000001</v>
      </c>
      <c r="AE283" s="4">
        <f>$K$283*$Y$283</f>
        <v>0</v>
      </c>
      <c r="AF283" s="4">
        <f ca="1">$M$283*$Z$283</f>
        <v>-153.56876362978286</v>
      </c>
      <c r="AG283" s="4">
        <f>$O$283*$AA$283</f>
        <v>-52.876996909064829</v>
      </c>
    </row>
    <row r="284" spans="1:33" ht="11.25" customHeight="1" x14ac:dyDescent="0.25">
      <c r="A284" s="3" t="s">
        <v>21</v>
      </c>
      <c r="B284" s="3" t="s">
        <v>22</v>
      </c>
      <c r="C284" s="3" t="s">
        <v>23</v>
      </c>
      <c r="D284" s="3" t="s">
        <v>24</v>
      </c>
      <c r="E284" s="3" t="s">
        <v>24</v>
      </c>
      <c r="F284" s="3" t="s">
        <v>25</v>
      </c>
      <c r="G284" s="3" t="s">
        <v>25</v>
      </c>
      <c r="H284" s="3" t="s">
        <v>25</v>
      </c>
      <c r="I284" s="6">
        <v>44501</v>
      </c>
      <c r="J284" s="4">
        <v>0</v>
      </c>
      <c r="K284" s="4">
        <v>0</v>
      </c>
      <c r="L284" s="4">
        <v>354.29500000000002</v>
      </c>
      <c r="M284" s="4">
        <v>354.29500000000002</v>
      </c>
      <c r="N284" s="4">
        <v>354.29500000000002</v>
      </c>
      <c r="O284" s="4">
        <v>354.29500000000002</v>
      </c>
      <c r="P284" s="4">
        <v>2347</v>
      </c>
      <c r="Q284" s="3" t="s">
        <v>26</v>
      </c>
      <c r="R284" s="3">
        <v>0</v>
      </c>
      <c r="S284" s="4">
        <v>0</v>
      </c>
      <c r="T284" s="4">
        <v>20</v>
      </c>
      <c r="U284" s="4">
        <v>62</v>
      </c>
      <c r="V284" s="4">
        <f>IF(ISERROR(VLOOKUP($S$284,'TAR FIN'!$A$1:$O$86,15,0)),0,VLOOKUP($S$284,'TAR FIN'!$A$1:$O$86,15,0))</f>
        <v>0</v>
      </c>
      <c r="W284" s="4">
        <f>IF(ISERROR(VLOOKUP($T$284,'TAR FIN'!$A$1:$O$86,15,0)),0,VLOOKUP($T$284,'TAR FIN'!$A$1:$O$86,15,0))</f>
        <v>489.03</v>
      </c>
      <c r="X284" s="4">
        <f>IF(ISERROR(VLOOKUP($U$284,'TAR FIN'!$A$1:$O$86,15,0)),0,VLOOKUP($U$284,'TAR FIN'!$A$1:$O$86,15,0))</f>
        <v>211.54</v>
      </c>
      <c r="Y284" s="4"/>
      <c r="Z284" s="4">
        <f ca="1">('TUSD BE'!$AM$20+'TUSD BF'!$AM$20+'TUSD CVA'!$AM$20)*1</f>
        <v>570.88759713673926</v>
      </c>
      <c r="AA284" s="4">
        <f>('TE BE'!$AB$11+'TE BF'!$AB$11+'TE CVA'!$AB$11)*1</f>
        <v>196.56876174373542</v>
      </c>
      <c r="AB284" s="4">
        <f>$K$284*$V$284</f>
        <v>0</v>
      </c>
      <c r="AC284" s="4">
        <f>$M$284*$W$284</f>
        <v>173260.88384999998</v>
      </c>
      <c r="AD284" s="4">
        <f>$O$284*$X$284</f>
        <v>74947.564299999998</v>
      </c>
      <c r="AE284" s="4">
        <f>$K$284*$Y$284</f>
        <v>0</v>
      </c>
      <c r="AF284" s="4">
        <f ca="1">$M$284*$Z$284</f>
        <v>202262.62122756103</v>
      </c>
      <c r="AG284" s="4">
        <f>$O$284*$AA$284</f>
        <v>69643.329441996742</v>
      </c>
    </row>
    <row r="285" spans="1:33" ht="11.25" customHeight="1" x14ac:dyDescent="0.25">
      <c r="A285" s="3" t="s">
        <v>27</v>
      </c>
      <c r="B285" s="3" t="s">
        <v>22</v>
      </c>
      <c r="C285" s="3" t="s">
        <v>23</v>
      </c>
      <c r="D285" s="3" t="s">
        <v>24</v>
      </c>
      <c r="E285" s="3" t="s">
        <v>24</v>
      </c>
      <c r="F285" s="3" t="s">
        <v>25</v>
      </c>
      <c r="G285" s="3" t="s">
        <v>25</v>
      </c>
      <c r="H285" s="3" t="s">
        <v>25</v>
      </c>
      <c r="I285" s="6">
        <v>44501</v>
      </c>
      <c r="J285" s="4">
        <v>0</v>
      </c>
      <c r="K285" s="4">
        <v>0</v>
      </c>
      <c r="L285" s="4">
        <v>-6.1360000000000001</v>
      </c>
      <c r="M285" s="4">
        <v>-6.1360000000000001</v>
      </c>
      <c r="N285" s="4">
        <v>-6.1360000000000001</v>
      </c>
      <c r="O285" s="4">
        <v>-6.1360000000000001</v>
      </c>
      <c r="P285" s="4">
        <v>0</v>
      </c>
      <c r="Q285" s="3" t="s">
        <v>26</v>
      </c>
      <c r="R285" s="3">
        <v>0</v>
      </c>
      <c r="S285" s="4">
        <v>0</v>
      </c>
      <c r="T285" s="4">
        <v>20</v>
      </c>
      <c r="U285" s="4">
        <v>62</v>
      </c>
      <c r="V285" s="4">
        <f>IF(ISERROR(VLOOKUP($S$285,'TAR FIN'!$A$1:$O$86,15,0)),0,VLOOKUP($S$285,'TAR FIN'!$A$1:$O$86,15,0))</f>
        <v>0</v>
      </c>
      <c r="W285" s="4">
        <f>IF(ISERROR(VLOOKUP($T$285,'TAR FIN'!$A$1:$O$86,15,0)),0,VLOOKUP($T$285,'TAR FIN'!$A$1:$O$86,15,0))</f>
        <v>489.03</v>
      </c>
      <c r="X285" s="4">
        <f>IF(ISERROR(VLOOKUP($U$285,'TAR FIN'!$A$1:$O$86,15,0)),0,VLOOKUP($U$285,'TAR FIN'!$A$1:$O$86,15,0))</f>
        <v>211.54</v>
      </c>
      <c r="Y285" s="4"/>
      <c r="Z285" s="4">
        <f ca="1">('TUSD BE'!$AM$20+'TUSD BF'!$AM$20+'TUSD CVA'!$AM$20)*1</f>
        <v>570.88759713673926</v>
      </c>
      <c r="AA285" s="4">
        <f>('TE BE'!$AB$11+'TE BF'!$AB$11+'TE CVA'!$AB$11)*1</f>
        <v>196.56876174373542</v>
      </c>
      <c r="AB285" s="4">
        <f>$K$285*$V$285</f>
        <v>0</v>
      </c>
      <c r="AC285" s="4">
        <f>$M$285*$W$285</f>
        <v>-3000.6880799999999</v>
      </c>
      <c r="AD285" s="4">
        <f>$O$285*$X$285</f>
        <v>-1298.00944</v>
      </c>
      <c r="AE285" s="4">
        <f>$K$285*$Y$285</f>
        <v>0</v>
      </c>
      <c r="AF285" s="4">
        <f ca="1">$M$285*$Z$285</f>
        <v>-3502.966296031032</v>
      </c>
      <c r="AG285" s="4">
        <f>$O$285*$AA$285</f>
        <v>-1206.1459220595605</v>
      </c>
    </row>
    <row r="286" spans="1:33" ht="11.25" customHeight="1" x14ac:dyDescent="0.25">
      <c r="A286" s="3" t="s">
        <v>28</v>
      </c>
      <c r="B286" s="3" t="s">
        <v>22</v>
      </c>
      <c r="C286" s="3" t="s">
        <v>23</v>
      </c>
      <c r="D286" s="3" t="s">
        <v>24</v>
      </c>
      <c r="E286" s="3" t="s">
        <v>24</v>
      </c>
      <c r="F286" s="3" t="s">
        <v>25</v>
      </c>
      <c r="G286" s="3" t="s">
        <v>25</v>
      </c>
      <c r="H286" s="3" t="s">
        <v>25</v>
      </c>
      <c r="I286" s="6">
        <v>44501</v>
      </c>
      <c r="J286" s="4">
        <v>0</v>
      </c>
      <c r="K286" s="4">
        <v>0</v>
      </c>
      <c r="L286" s="4">
        <v>1.427</v>
      </c>
      <c r="M286" s="4">
        <v>1.427</v>
      </c>
      <c r="N286" s="4">
        <v>1.427</v>
      </c>
      <c r="O286" s="4">
        <v>1.427</v>
      </c>
      <c r="P286" s="4">
        <v>23</v>
      </c>
      <c r="Q286" s="3" t="s">
        <v>26</v>
      </c>
      <c r="R286" s="3">
        <v>0</v>
      </c>
      <c r="S286" s="4">
        <v>0</v>
      </c>
      <c r="T286" s="4">
        <v>20</v>
      </c>
      <c r="U286" s="4">
        <v>62</v>
      </c>
      <c r="V286" s="4">
        <f>IF(ISERROR(VLOOKUP($S$286,'TAR FIN'!$A$1:$O$86,15,0)),0,VLOOKUP($S$286,'TAR FIN'!$A$1:$O$86,15,0))</f>
        <v>0</v>
      </c>
      <c r="W286" s="4">
        <f>IF(ISERROR(VLOOKUP($T$286,'TAR FIN'!$A$1:$O$86,15,0)),0,VLOOKUP($T$286,'TAR FIN'!$A$1:$O$86,15,0))</f>
        <v>489.03</v>
      </c>
      <c r="X286" s="4">
        <f>IF(ISERROR(VLOOKUP($U$286,'TAR FIN'!$A$1:$O$86,15,0)),0,VLOOKUP($U$286,'TAR FIN'!$A$1:$O$86,15,0))</f>
        <v>211.54</v>
      </c>
      <c r="Y286" s="4"/>
      <c r="Z286" s="4">
        <f ca="1">('TUSD BE'!$AM$20+'TUSD BF'!$AM$20+'TUSD CVA'!$AM$20)*1</f>
        <v>570.88759713673926</v>
      </c>
      <c r="AA286" s="4">
        <f>('TE BE'!$AB$11+'TE BF'!$AB$11+'TE CVA'!$AB$11)*1</f>
        <v>196.56876174373542</v>
      </c>
      <c r="AB286" s="4">
        <f>$K$286*$V$286</f>
        <v>0</v>
      </c>
      <c r="AC286" s="4">
        <f>$M$286*$W$286</f>
        <v>697.84581000000003</v>
      </c>
      <c r="AD286" s="4">
        <f>$O$286*$X$286</f>
        <v>301.86757999999998</v>
      </c>
      <c r="AE286" s="4">
        <f>$K$286*$Y$286</f>
        <v>0</v>
      </c>
      <c r="AF286" s="4">
        <f ca="1">$M$286*$Z$286</f>
        <v>814.65660111412694</v>
      </c>
      <c r="AG286" s="4">
        <f>$O$286*$AA$286</f>
        <v>280.50362300831046</v>
      </c>
    </row>
    <row r="287" spans="1:33" ht="11.25" customHeight="1" x14ac:dyDescent="0.25">
      <c r="A287" s="3" t="s">
        <v>21</v>
      </c>
      <c r="B287" s="3" t="s">
        <v>22</v>
      </c>
      <c r="C287" s="3" t="s">
        <v>23</v>
      </c>
      <c r="D287" s="3" t="s">
        <v>24</v>
      </c>
      <c r="E287" s="3" t="s">
        <v>24</v>
      </c>
      <c r="F287" s="3" t="s">
        <v>25</v>
      </c>
      <c r="G287" s="3" t="s">
        <v>25</v>
      </c>
      <c r="H287" s="3" t="s">
        <v>25</v>
      </c>
      <c r="I287" s="6">
        <v>44531</v>
      </c>
      <c r="J287" s="4">
        <v>0</v>
      </c>
      <c r="K287" s="4">
        <v>0</v>
      </c>
      <c r="L287" s="4">
        <v>418.39699999999999</v>
      </c>
      <c r="M287" s="4">
        <v>418.39699999999999</v>
      </c>
      <c r="N287" s="4">
        <v>418.39699999999999</v>
      </c>
      <c r="O287" s="4">
        <v>418.39699999999999</v>
      </c>
      <c r="P287" s="4">
        <v>2402</v>
      </c>
      <c r="Q287" s="3" t="s">
        <v>26</v>
      </c>
      <c r="R287" s="3">
        <v>0</v>
      </c>
      <c r="S287" s="4">
        <v>0</v>
      </c>
      <c r="T287" s="4">
        <v>20</v>
      </c>
      <c r="U287" s="4">
        <v>62</v>
      </c>
      <c r="V287" s="4">
        <f>IF(ISERROR(VLOOKUP($S$287,'TAR FIN'!$A$1:$O$86,15,0)),0,VLOOKUP($S$287,'TAR FIN'!$A$1:$O$86,15,0))</f>
        <v>0</v>
      </c>
      <c r="W287" s="4">
        <f>IF(ISERROR(VLOOKUP($T$287,'TAR FIN'!$A$1:$O$86,15,0)),0,VLOOKUP($T$287,'TAR FIN'!$A$1:$O$86,15,0))</f>
        <v>489.03</v>
      </c>
      <c r="X287" s="4">
        <f>IF(ISERROR(VLOOKUP($U$287,'TAR FIN'!$A$1:$O$86,15,0)),0,VLOOKUP($U$287,'TAR FIN'!$A$1:$O$86,15,0))</f>
        <v>211.54</v>
      </c>
      <c r="Y287" s="4"/>
      <c r="Z287" s="4">
        <f ca="1">('TUSD BE'!$AM$20+'TUSD BF'!$AM$20+'TUSD CVA'!$AM$20)*1</f>
        <v>570.88759713673926</v>
      </c>
      <c r="AA287" s="4">
        <f>('TE BE'!$AB$11+'TE BF'!$AB$11+'TE CVA'!$AB$11)*1</f>
        <v>196.56876174373542</v>
      </c>
      <c r="AB287" s="4">
        <f>$K$287*$V$287</f>
        <v>0</v>
      </c>
      <c r="AC287" s="4">
        <f>$M$287*$W$287</f>
        <v>204608.68490999998</v>
      </c>
      <c r="AD287" s="4">
        <f>$O$287*$X$287</f>
        <v>88507.701379999999</v>
      </c>
      <c r="AE287" s="4">
        <f>$K$287*$Y$287</f>
        <v>0</v>
      </c>
      <c r="AF287" s="4">
        <f ca="1">$M$287*$Z$287</f>
        <v>238857.6579792203</v>
      </c>
      <c r="AG287" s="4">
        <f>$O$287*$AA$287</f>
        <v>82243.780207293661</v>
      </c>
    </row>
    <row r="288" spans="1:33" ht="11.25" customHeight="1" x14ac:dyDescent="0.25">
      <c r="A288" s="3" t="s">
        <v>27</v>
      </c>
      <c r="B288" s="3" t="s">
        <v>22</v>
      </c>
      <c r="C288" s="3" t="s">
        <v>23</v>
      </c>
      <c r="D288" s="3" t="s">
        <v>24</v>
      </c>
      <c r="E288" s="3" t="s">
        <v>24</v>
      </c>
      <c r="F288" s="3" t="s">
        <v>25</v>
      </c>
      <c r="G288" s="3" t="s">
        <v>25</v>
      </c>
      <c r="H288" s="3" t="s">
        <v>25</v>
      </c>
      <c r="I288" s="6">
        <v>44531</v>
      </c>
      <c r="J288" s="4">
        <v>0</v>
      </c>
      <c r="K288" s="4">
        <v>0</v>
      </c>
      <c r="L288" s="4">
        <v>-1.6339999999999999</v>
      </c>
      <c r="M288" s="4">
        <v>-1.6339999999999999</v>
      </c>
      <c r="N288" s="4">
        <v>-1.6339999999999999</v>
      </c>
      <c r="O288" s="4">
        <v>-1.6339999999999999</v>
      </c>
      <c r="P288" s="4">
        <v>0</v>
      </c>
      <c r="Q288" s="3" t="s">
        <v>26</v>
      </c>
      <c r="R288" s="3">
        <v>0</v>
      </c>
      <c r="S288" s="4">
        <v>0</v>
      </c>
      <c r="T288" s="4">
        <v>20</v>
      </c>
      <c r="U288" s="4">
        <v>62</v>
      </c>
      <c r="V288" s="4">
        <f>IF(ISERROR(VLOOKUP($S$288,'TAR FIN'!$A$1:$O$86,15,0)),0,VLOOKUP($S$288,'TAR FIN'!$A$1:$O$86,15,0))</f>
        <v>0</v>
      </c>
      <c r="W288" s="4">
        <f>IF(ISERROR(VLOOKUP($T$288,'TAR FIN'!$A$1:$O$86,15,0)),0,VLOOKUP($T$288,'TAR FIN'!$A$1:$O$86,15,0))</f>
        <v>489.03</v>
      </c>
      <c r="X288" s="4">
        <f>IF(ISERROR(VLOOKUP($U$288,'TAR FIN'!$A$1:$O$86,15,0)),0,VLOOKUP($U$288,'TAR FIN'!$A$1:$O$86,15,0))</f>
        <v>211.54</v>
      </c>
      <c r="Y288" s="4"/>
      <c r="Z288" s="4">
        <f ca="1">('TUSD BE'!$AM$20+'TUSD BF'!$AM$20+'TUSD CVA'!$AM$20)*1</f>
        <v>570.88759713673926</v>
      </c>
      <c r="AA288" s="4">
        <f>('TE BE'!$AB$11+'TE BF'!$AB$11+'TE CVA'!$AB$11)*1</f>
        <v>196.56876174373542</v>
      </c>
      <c r="AB288" s="4">
        <f>$K$288*$V$288</f>
        <v>0</v>
      </c>
      <c r="AC288" s="4">
        <f>$M$288*$W$288</f>
        <v>-799.07501999999988</v>
      </c>
      <c r="AD288" s="4">
        <f>$O$288*$X$288</f>
        <v>-345.65635999999995</v>
      </c>
      <c r="AE288" s="4">
        <f>$K$288*$Y$288</f>
        <v>0</v>
      </c>
      <c r="AF288" s="4">
        <f ca="1">$M$288*$Z$288</f>
        <v>-932.83033372143188</v>
      </c>
      <c r="AG288" s="4">
        <f>$O$288*$AA$288</f>
        <v>-321.19335668926368</v>
      </c>
    </row>
    <row r="289" spans="1:33" ht="11.25" customHeight="1" x14ac:dyDescent="0.25">
      <c r="A289" s="3" t="s">
        <v>28</v>
      </c>
      <c r="B289" s="3" t="s">
        <v>22</v>
      </c>
      <c r="C289" s="3" t="s">
        <v>23</v>
      </c>
      <c r="D289" s="3" t="s">
        <v>24</v>
      </c>
      <c r="E289" s="3" t="s">
        <v>24</v>
      </c>
      <c r="F289" s="3" t="s">
        <v>25</v>
      </c>
      <c r="G289" s="3" t="s">
        <v>25</v>
      </c>
      <c r="H289" s="3" t="s">
        <v>25</v>
      </c>
      <c r="I289" s="6">
        <v>44531</v>
      </c>
      <c r="J289" s="4">
        <v>0</v>
      </c>
      <c r="K289" s="4">
        <v>0</v>
      </c>
      <c r="L289" s="4">
        <v>1.5840000000000001</v>
      </c>
      <c r="M289" s="4">
        <v>1.5840000000000001</v>
      </c>
      <c r="N289" s="4">
        <v>1.5840000000000001</v>
      </c>
      <c r="O289" s="4">
        <v>1.5840000000000001</v>
      </c>
      <c r="P289" s="4">
        <v>28</v>
      </c>
      <c r="Q289" s="3" t="s">
        <v>26</v>
      </c>
      <c r="R289" s="3">
        <v>0</v>
      </c>
      <c r="S289" s="4">
        <v>0</v>
      </c>
      <c r="T289" s="4">
        <v>20</v>
      </c>
      <c r="U289" s="4">
        <v>62</v>
      </c>
      <c r="V289" s="4">
        <f>IF(ISERROR(VLOOKUP($S$289,'TAR FIN'!$A$1:$O$86,15,0)),0,VLOOKUP($S$289,'TAR FIN'!$A$1:$O$86,15,0))</f>
        <v>0</v>
      </c>
      <c r="W289" s="4">
        <f>IF(ISERROR(VLOOKUP($T$289,'TAR FIN'!$A$1:$O$86,15,0)),0,VLOOKUP($T$289,'TAR FIN'!$A$1:$O$86,15,0))</f>
        <v>489.03</v>
      </c>
      <c r="X289" s="4">
        <f>IF(ISERROR(VLOOKUP($U$289,'TAR FIN'!$A$1:$O$86,15,0)),0,VLOOKUP($U$289,'TAR FIN'!$A$1:$O$86,15,0))</f>
        <v>211.54</v>
      </c>
      <c r="Y289" s="4"/>
      <c r="Z289" s="4">
        <f ca="1">('TUSD BE'!$AM$20+'TUSD BF'!$AM$20+'TUSD CVA'!$AM$20)*1</f>
        <v>570.88759713673926</v>
      </c>
      <c r="AA289" s="4">
        <f>('TE BE'!$AB$11+'TE BF'!$AB$11+'TE CVA'!$AB$11)*1</f>
        <v>196.56876174373542</v>
      </c>
      <c r="AB289" s="4">
        <f>$K$289*$V$289</f>
        <v>0</v>
      </c>
      <c r="AC289" s="4">
        <f>$M$289*$W$289</f>
        <v>774.62351999999998</v>
      </c>
      <c r="AD289" s="4">
        <f>$O$289*$X$289</f>
        <v>335.07936000000001</v>
      </c>
      <c r="AE289" s="4">
        <f>$K$289*$Y$289</f>
        <v>0</v>
      </c>
      <c r="AF289" s="4">
        <f ca="1">$M$289*$Z$289</f>
        <v>904.28595386459506</v>
      </c>
      <c r="AG289" s="4">
        <f>$O$289*$AA$289</f>
        <v>311.3649186020769</v>
      </c>
    </row>
    <row r="290" spans="1:33" ht="11.25" customHeight="1" x14ac:dyDescent="0.25">
      <c r="A290" s="3" t="s">
        <v>21</v>
      </c>
      <c r="B290" s="3" t="s">
        <v>22</v>
      </c>
      <c r="C290" s="3" t="s">
        <v>23</v>
      </c>
      <c r="D290" s="3" t="s">
        <v>24</v>
      </c>
      <c r="E290" s="3" t="s">
        <v>24</v>
      </c>
      <c r="F290" s="3" t="s">
        <v>25</v>
      </c>
      <c r="G290" s="3" t="s">
        <v>25</v>
      </c>
      <c r="H290" s="3" t="s">
        <v>25</v>
      </c>
      <c r="I290" s="6">
        <v>44562</v>
      </c>
      <c r="J290" s="4">
        <v>0</v>
      </c>
      <c r="K290" s="4">
        <v>0</v>
      </c>
      <c r="L290" s="4">
        <v>476.59500000000003</v>
      </c>
      <c r="M290" s="4">
        <v>476.59500000000003</v>
      </c>
      <c r="N290" s="4">
        <v>476.59500000000003</v>
      </c>
      <c r="O290" s="4">
        <v>476.59500000000003</v>
      </c>
      <c r="P290" s="4">
        <v>2381</v>
      </c>
      <c r="Q290" s="3" t="s">
        <v>26</v>
      </c>
      <c r="R290" s="3">
        <v>0</v>
      </c>
      <c r="S290" s="4">
        <v>0</v>
      </c>
      <c r="T290" s="4">
        <v>20</v>
      </c>
      <c r="U290" s="4">
        <v>62</v>
      </c>
      <c r="V290" s="4">
        <f>IF(ISERROR(VLOOKUP($S$290,'TAR FIN'!$A$1:$O$86,15,0)),0,VLOOKUP($S$290,'TAR FIN'!$A$1:$O$86,15,0))</f>
        <v>0</v>
      </c>
      <c r="W290" s="4">
        <f>IF(ISERROR(VLOOKUP($T$290,'TAR FIN'!$A$1:$O$86,15,0)),0,VLOOKUP($T$290,'TAR FIN'!$A$1:$O$86,15,0))</f>
        <v>489.03</v>
      </c>
      <c r="X290" s="4">
        <f>IF(ISERROR(VLOOKUP($U$290,'TAR FIN'!$A$1:$O$86,15,0)),0,VLOOKUP($U$290,'TAR FIN'!$A$1:$O$86,15,0))</f>
        <v>211.54</v>
      </c>
      <c r="Y290" s="4"/>
      <c r="Z290" s="4">
        <f ca="1">('TUSD BE'!$AM$20+'TUSD BF'!$AM$20+'TUSD CVA'!$AM$20)*1</f>
        <v>570.88759713673926</v>
      </c>
      <c r="AA290" s="4">
        <f>('TE BE'!$AB$11+'TE BF'!$AB$11+'TE CVA'!$AB$11)*1</f>
        <v>196.56876174373542</v>
      </c>
      <c r="AB290" s="4">
        <f>$K$290*$V$290</f>
        <v>0</v>
      </c>
      <c r="AC290" s="4">
        <f>$M$290*$W$290</f>
        <v>233069.25284999999</v>
      </c>
      <c r="AD290" s="4">
        <f>$O$290*$X$290</f>
        <v>100818.9063</v>
      </c>
      <c r="AE290" s="4">
        <f>$K$290*$Y$290</f>
        <v>0</v>
      </c>
      <c r="AF290" s="4">
        <f ca="1">$M$290*$Z$290</f>
        <v>272082.17435738427</v>
      </c>
      <c r="AG290" s="4">
        <f>$O$290*$AA$290</f>
        <v>93683.689003255582</v>
      </c>
    </row>
    <row r="291" spans="1:33" ht="11.25" customHeight="1" x14ac:dyDescent="0.25">
      <c r="A291" s="3" t="s">
        <v>27</v>
      </c>
      <c r="B291" s="3" t="s">
        <v>22</v>
      </c>
      <c r="C291" s="3" t="s">
        <v>23</v>
      </c>
      <c r="D291" s="3" t="s">
        <v>24</v>
      </c>
      <c r="E291" s="3" t="s">
        <v>24</v>
      </c>
      <c r="F291" s="3" t="s">
        <v>25</v>
      </c>
      <c r="G291" s="3" t="s">
        <v>25</v>
      </c>
      <c r="H291" s="3" t="s">
        <v>25</v>
      </c>
      <c r="I291" s="6">
        <v>44562</v>
      </c>
      <c r="J291" s="4">
        <v>0</v>
      </c>
      <c r="K291" s="4">
        <v>0</v>
      </c>
      <c r="L291" s="4">
        <v>-0.69899999999999995</v>
      </c>
      <c r="M291" s="4">
        <v>-0.69899999999999995</v>
      </c>
      <c r="N291" s="4">
        <v>-0.69899999999999995</v>
      </c>
      <c r="O291" s="4">
        <v>-0.69899999999999995</v>
      </c>
      <c r="P291" s="4">
        <v>0</v>
      </c>
      <c r="Q291" s="3" t="s">
        <v>26</v>
      </c>
      <c r="R291" s="3">
        <v>0</v>
      </c>
      <c r="S291" s="4">
        <v>0</v>
      </c>
      <c r="T291" s="4">
        <v>20</v>
      </c>
      <c r="U291" s="4">
        <v>62</v>
      </c>
      <c r="V291" s="4">
        <f>IF(ISERROR(VLOOKUP($S$291,'TAR FIN'!$A$1:$O$86,15,0)),0,VLOOKUP($S$291,'TAR FIN'!$A$1:$O$86,15,0))</f>
        <v>0</v>
      </c>
      <c r="W291" s="4">
        <f>IF(ISERROR(VLOOKUP($T$291,'TAR FIN'!$A$1:$O$86,15,0)),0,VLOOKUP($T$291,'TAR FIN'!$A$1:$O$86,15,0))</f>
        <v>489.03</v>
      </c>
      <c r="X291" s="4">
        <f>IF(ISERROR(VLOOKUP($U$291,'TAR FIN'!$A$1:$O$86,15,0)),0,VLOOKUP($U$291,'TAR FIN'!$A$1:$O$86,15,0))</f>
        <v>211.54</v>
      </c>
      <c r="Y291" s="4"/>
      <c r="Z291" s="4">
        <f ca="1">('TUSD BE'!$AM$20+'TUSD BF'!$AM$20+'TUSD CVA'!$AM$20)*1</f>
        <v>570.88759713673926</v>
      </c>
      <c r="AA291" s="4">
        <f>('TE BE'!$AB$11+'TE BF'!$AB$11+'TE CVA'!$AB$11)*1</f>
        <v>196.56876174373542</v>
      </c>
      <c r="AB291" s="4">
        <f>$K$291*$V$291</f>
        <v>0</v>
      </c>
      <c r="AC291" s="4">
        <f>$M$291*$W$291</f>
        <v>-341.83196999999996</v>
      </c>
      <c r="AD291" s="4">
        <f>$O$291*$X$291</f>
        <v>-147.86645999999999</v>
      </c>
      <c r="AE291" s="4">
        <f>$K$291*$Y$291</f>
        <v>0</v>
      </c>
      <c r="AF291" s="4">
        <f ca="1">$M$291*$Z$291</f>
        <v>-399.05043039858072</v>
      </c>
      <c r="AG291" s="4">
        <f>$O$291*$AA$291</f>
        <v>-137.40156445887106</v>
      </c>
    </row>
    <row r="292" spans="1:33" ht="11.25" customHeight="1" x14ac:dyDescent="0.25">
      <c r="A292" s="3" t="s">
        <v>28</v>
      </c>
      <c r="B292" s="3" t="s">
        <v>22</v>
      </c>
      <c r="C292" s="3" t="s">
        <v>23</v>
      </c>
      <c r="D292" s="3" t="s">
        <v>24</v>
      </c>
      <c r="E292" s="3" t="s">
        <v>24</v>
      </c>
      <c r="F292" s="3" t="s">
        <v>25</v>
      </c>
      <c r="G292" s="3" t="s">
        <v>25</v>
      </c>
      <c r="H292" s="3" t="s">
        <v>25</v>
      </c>
      <c r="I292" s="6">
        <v>44562</v>
      </c>
      <c r="J292" s="4">
        <v>0</v>
      </c>
      <c r="K292" s="4">
        <v>0</v>
      </c>
      <c r="L292" s="4">
        <v>3.1269999999999998</v>
      </c>
      <c r="M292" s="4">
        <v>3.1269999999999998</v>
      </c>
      <c r="N292" s="4">
        <v>3.1269999999999998</v>
      </c>
      <c r="O292" s="4">
        <v>3.1269999999999998</v>
      </c>
      <c r="P292" s="4">
        <v>31</v>
      </c>
      <c r="Q292" s="3" t="s">
        <v>26</v>
      </c>
      <c r="R292" s="3">
        <v>0</v>
      </c>
      <c r="S292" s="4">
        <v>0</v>
      </c>
      <c r="T292" s="4">
        <v>20</v>
      </c>
      <c r="U292" s="4">
        <v>62</v>
      </c>
      <c r="V292" s="4">
        <f>IF(ISERROR(VLOOKUP($S$292,'TAR FIN'!$A$1:$O$86,15,0)),0,VLOOKUP($S$292,'TAR FIN'!$A$1:$O$86,15,0))</f>
        <v>0</v>
      </c>
      <c r="W292" s="4">
        <f>IF(ISERROR(VLOOKUP($T$292,'TAR FIN'!$A$1:$O$86,15,0)),0,VLOOKUP($T$292,'TAR FIN'!$A$1:$O$86,15,0))</f>
        <v>489.03</v>
      </c>
      <c r="X292" s="4">
        <f>IF(ISERROR(VLOOKUP($U$292,'TAR FIN'!$A$1:$O$86,15,0)),0,VLOOKUP($U$292,'TAR FIN'!$A$1:$O$86,15,0))</f>
        <v>211.54</v>
      </c>
      <c r="Y292" s="4"/>
      <c r="Z292" s="4">
        <f ca="1">('TUSD BE'!$AM$20+'TUSD BF'!$AM$20+'TUSD CVA'!$AM$20)*1</f>
        <v>570.88759713673926</v>
      </c>
      <c r="AA292" s="4">
        <f>('TE BE'!$AB$11+'TE BF'!$AB$11+'TE CVA'!$AB$11)*1</f>
        <v>196.56876174373542</v>
      </c>
      <c r="AB292" s="4">
        <f>$K$292*$V$292</f>
        <v>0</v>
      </c>
      <c r="AC292" s="4">
        <f>$M$292*$W$292</f>
        <v>1529.1968099999999</v>
      </c>
      <c r="AD292" s="4">
        <f>$O$292*$X$292</f>
        <v>661.48557999999991</v>
      </c>
      <c r="AE292" s="4">
        <f>$K$292*$Y$292</f>
        <v>0</v>
      </c>
      <c r="AF292" s="4">
        <f ca="1">$M$292*$Z$292</f>
        <v>1785.1655162465836</v>
      </c>
      <c r="AG292" s="4">
        <f>$O$292*$AA$292</f>
        <v>614.6705179726606</v>
      </c>
    </row>
    <row r="293" spans="1:33" ht="11.25" customHeight="1" x14ac:dyDescent="0.25">
      <c r="A293" s="3" t="s">
        <v>21</v>
      </c>
      <c r="B293" s="3" t="s">
        <v>22</v>
      </c>
      <c r="C293" s="3" t="s">
        <v>23</v>
      </c>
      <c r="D293" s="3" t="s">
        <v>24</v>
      </c>
      <c r="E293" s="3" t="s">
        <v>24</v>
      </c>
      <c r="F293" s="3" t="s">
        <v>25</v>
      </c>
      <c r="G293" s="3" t="s">
        <v>25</v>
      </c>
      <c r="H293" s="3" t="s">
        <v>25</v>
      </c>
      <c r="I293" s="6">
        <v>44593</v>
      </c>
      <c r="J293" s="4">
        <v>0</v>
      </c>
      <c r="K293" s="4">
        <v>0</v>
      </c>
      <c r="L293" s="4">
        <v>448.05700000000002</v>
      </c>
      <c r="M293" s="4">
        <v>448.05700000000002</v>
      </c>
      <c r="N293" s="4">
        <v>448.05700000000002</v>
      </c>
      <c r="O293" s="4">
        <v>448.05700000000002</v>
      </c>
      <c r="P293" s="4">
        <v>2310</v>
      </c>
      <c r="Q293" s="3" t="s">
        <v>26</v>
      </c>
      <c r="R293" s="3">
        <v>0</v>
      </c>
      <c r="S293" s="4">
        <v>0</v>
      </c>
      <c r="T293" s="4">
        <v>20</v>
      </c>
      <c r="U293" s="4">
        <v>62</v>
      </c>
      <c r="V293" s="4">
        <f>IF(ISERROR(VLOOKUP($S$293,'TAR FIN'!$A$1:$O$86,15,0)),0,VLOOKUP($S$293,'TAR FIN'!$A$1:$O$86,15,0))</f>
        <v>0</v>
      </c>
      <c r="W293" s="4">
        <f>IF(ISERROR(VLOOKUP($T$293,'TAR FIN'!$A$1:$O$86,15,0)),0,VLOOKUP($T$293,'TAR FIN'!$A$1:$O$86,15,0))</f>
        <v>489.03</v>
      </c>
      <c r="X293" s="4">
        <f>IF(ISERROR(VLOOKUP($U$293,'TAR FIN'!$A$1:$O$86,15,0)),0,VLOOKUP($U$293,'TAR FIN'!$A$1:$O$86,15,0))</f>
        <v>211.54</v>
      </c>
      <c r="Y293" s="4"/>
      <c r="Z293" s="4">
        <f ca="1">('TUSD BE'!$AM$20+'TUSD BF'!$AM$20+'TUSD CVA'!$AM$20)*1</f>
        <v>570.88759713673926</v>
      </c>
      <c r="AA293" s="4">
        <f>('TE BE'!$AB$11+'TE BF'!$AB$11+'TE CVA'!$AB$11)*1</f>
        <v>196.56876174373542</v>
      </c>
      <c r="AB293" s="4">
        <f>$K$293*$V$293</f>
        <v>0</v>
      </c>
      <c r="AC293" s="4">
        <f>$M$293*$W$293</f>
        <v>219113.31471000001</v>
      </c>
      <c r="AD293" s="4">
        <f>$O$293*$X$293</f>
        <v>94781.977780000001</v>
      </c>
      <c r="AE293" s="4">
        <f>$K$293*$Y$293</f>
        <v>0</v>
      </c>
      <c r="AF293" s="4">
        <f ca="1">$M$293*$Z$293</f>
        <v>255790.18411029599</v>
      </c>
      <c r="AG293" s="4">
        <f>$O$293*$AA$293</f>
        <v>88074.009680612871</v>
      </c>
    </row>
    <row r="294" spans="1:33" ht="11.25" customHeight="1" x14ac:dyDescent="0.25">
      <c r="A294" s="3" t="s">
        <v>27</v>
      </c>
      <c r="B294" s="3" t="s">
        <v>22</v>
      </c>
      <c r="C294" s="3" t="s">
        <v>23</v>
      </c>
      <c r="D294" s="3" t="s">
        <v>24</v>
      </c>
      <c r="E294" s="3" t="s">
        <v>24</v>
      </c>
      <c r="F294" s="3" t="s">
        <v>25</v>
      </c>
      <c r="G294" s="3" t="s">
        <v>25</v>
      </c>
      <c r="H294" s="3" t="s">
        <v>25</v>
      </c>
      <c r="I294" s="6">
        <v>44593</v>
      </c>
      <c r="J294" s="4">
        <v>0</v>
      </c>
      <c r="K294" s="4">
        <v>0</v>
      </c>
      <c r="L294" s="4">
        <v>-9.7710000000000008</v>
      </c>
      <c r="M294" s="4">
        <v>-9.7710000000000008</v>
      </c>
      <c r="N294" s="4">
        <v>-9.7710000000000008</v>
      </c>
      <c r="O294" s="4">
        <v>-9.7710000000000008</v>
      </c>
      <c r="P294" s="4">
        <v>0</v>
      </c>
      <c r="Q294" s="3" t="s">
        <v>26</v>
      </c>
      <c r="R294" s="3">
        <v>0</v>
      </c>
      <c r="S294" s="4">
        <v>0</v>
      </c>
      <c r="T294" s="4">
        <v>20</v>
      </c>
      <c r="U294" s="4">
        <v>62</v>
      </c>
      <c r="V294" s="4">
        <f>IF(ISERROR(VLOOKUP($S$294,'TAR FIN'!$A$1:$O$86,15,0)),0,VLOOKUP($S$294,'TAR FIN'!$A$1:$O$86,15,0))</f>
        <v>0</v>
      </c>
      <c r="W294" s="4">
        <f>IF(ISERROR(VLOOKUP($T$294,'TAR FIN'!$A$1:$O$86,15,0)),0,VLOOKUP($T$294,'TAR FIN'!$A$1:$O$86,15,0))</f>
        <v>489.03</v>
      </c>
      <c r="X294" s="4">
        <f>IF(ISERROR(VLOOKUP($U$294,'TAR FIN'!$A$1:$O$86,15,0)),0,VLOOKUP($U$294,'TAR FIN'!$A$1:$O$86,15,0))</f>
        <v>211.54</v>
      </c>
      <c r="Y294" s="4"/>
      <c r="Z294" s="4">
        <f ca="1">('TUSD BE'!$AM$20+'TUSD BF'!$AM$20+'TUSD CVA'!$AM$20)*1</f>
        <v>570.88759713673926</v>
      </c>
      <c r="AA294" s="4">
        <f>('TE BE'!$AB$11+'TE BF'!$AB$11+'TE CVA'!$AB$11)*1</f>
        <v>196.56876174373542</v>
      </c>
      <c r="AB294" s="4">
        <f>$K$294*$V$294</f>
        <v>0</v>
      </c>
      <c r="AC294" s="4">
        <f>$M$294*$W$294</f>
        <v>-4778.3121300000003</v>
      </c>
      <c r="AD294" s="4">
        <f>$O$294*$X$294</f>
        <v>-2066.9573399999999</v>
      </c>
      <c r="AE294" s="4">
        <f>$K$294*$Y$294</f>
        <v>0</v>
      </c>
      <c r="AF294" s="4">
        <f ca="1">$M$294*$Z$294</f>
        <v>-5578.1427116230798</v>
      </c>
      <c r="AG294" s="4">
        <f>$O$294*$AA$294</f>
        <v>-1920.673370998039</v>
      </c>
    </row>
    <row r="295" spans="1:33" ht="11.25" customHeight="1" x14ac:dyDescent="0.25">
      <c r="A295" s="3" t="s">
        <v>28</v>
      </c>
      <c r="B295" s="3" t="s">
        <v>22</v>
      </c>
      <c r="C295" s="3" t="s">
        <v>23</v>
      </c>
      <c r="D295" s="3" t="s">
        <v>24</v>
      </c>
      <c r="E295" s="3" t="s">
        <v>24</v>
      </c>
      <c r="F295" s="3" t="s">
        <v>25</v>
      </c>
      <c r="G295" s="3" t="s">
        <v>25</v>
      </c>
      <c r="H295" s="3" t="s">
        <v>25</v>
      </c>
      <c r="I295" s="6">
        <v>44593</v>
      </c>
      <c r="J295" s="4">
        <v>0</v>
      </c>
      <c r="K295" s="4">
        <v>0</v>
      </c>
      <c r="L295" s="4">
        <v>2.4260000000000002</v>
      </c>
      <c r="M295" s="4">
        <v>2.4260000000000002</v>
      </c>
      <c r="N295" s="4">
        <v>2.4260000000000002</v>
      </c>
      <c r="O295" s="4">
        <v>2.4260000000000002</v>
      </c>
      <c r="P295" s="4">
        <v>35</v>
      </c>
      <c r="Q295" s="3" t="s">
        <v>26</v>
      </c>
      <c r="R295" s="3">
        <v>0</v>
      </c>
      <c r="S295" s="4">
        <v>0</v>
      </c>
      <c r="T295" s="4">
        <v>20</v>
      </c>
      <c r="U295" s="4">
        <v>62</v>
      </c>
      <c r="V295" s="4">
        <f>IF(ISERROR(VLOOKUP($S$295,'TAR FIN'!$A$1:$O$86,15,0)),0,VLOOKUP($S$295,'TAR FIN'!$A$1:$O$86,15,0))</f>
        <v>0</v>
      </c>
      <c r="W295" s="4">
        <f>IF(ISERROR(VLOOKUP($T$295,'TAR FIN'!$A$1:$O$86,15,0)),0,VLOOKUP($T$295,'TAR FIN'!$A$1:$O$86,15,0))</f>
        <v>489.03</v>
      </c>
      <c r="X295" s="4">
        <f>IF(ISERROR(VLOOKUP($U$295,'TAR FIN'!$A$1:$O$86,15,0)),0,VLOOKUP($U$295,'TAR FIN'!$A$1:$O$86,15,0))</f>
        <v>211.54</v>
      </c>
      <c r="Y295" s="4"/>
      <c r="Z295" s="4">
        <f ca="1">('TUSD BE'!$AM$20+'TUSD BF'!$AM$20+'TUSD CVA'!$AM$20)*1</f>
        <v>570.88759713673926</v>
      </c>
      <c r="AA295" s="4">
        <f>('TE BE'!$AB$11+'TE BF'!$AB$11+'TE CVA'!$AB$11)*1</f>
        <v>196.56876174373542</v>
      </c>
      <c r="AB295" s="4">
        <f>$K$295*$V$295</f>
        <v>0</v>
      </c>
      <c r="AC295" s="4">
        <f>$M$295*$W$295</f>
        <v>1186.38678</v>
      </c>
      <c r="AD295" s="4">
        <f>$O$295*$X$295</f>
        <v>513.19604000000004</v>
      </c>
      <c r="AE295" s="4">
        <f>$K$295*$Y$295</f>
        <v>0</v>
      </c>
      <c r="AF295" s="4">
        <f ca="1">$M$295*$Z$295</f>
        <v>1384.9733106537296</v>
      </c>
      <c r="AG295" s="4">
        <f>$O$295*$AA$295</f>
        <v>476.87581599030216</v>
      </c>
    </row>
    <row r="296" spans="1:33" ht="11.25" customHeight="1" x14ac:dyDescent="0.25">
      <c r="A296" s="3" t="s">
        <v>21</v>
      </c>
      <c r="B296" s="3" t="s">
        <v>22</v>
      </c>
      <c r="C296" s="3" t="s">
        <v>23</v>
      </c>
      <c r="D296" s="3" t="s">
        <v>24</v>
      </c>
      <c r="E296" s="3" t="s">
        <v>24</v>
      </c>
      <c r="F296" s="3" t="s">
        <v>25</v>
      </c>
      <c r="G296" s="3" t="s">
        <v>25</v>
      </c>
      <c r="H296" s="3" t="s">
        <v>25</v>
      </c>
      <c r="I296" s="6">
        <v>44621</v>
      </c>
      <c r="J296" s="4">
        <v>0</v>
      </c>
      <c r="K296" s="4">
        <v>0</v>
      </c>
      <c r="L296" s="4">
        <v>414.14699999999999</v>
      </c>
      <c r="M296" s="4">
        <v>414.14699999999999</v>
      </c>
      <c r="N296" s="4">
        <v>414.14699999999999</v>
      </c>
      <c r="O296" s="4">
        <v>414.14699999999999</v>
      </c>
      <c r="P296" s="4">
        <v>2246</v>
      </c>
      <c r="Q296" s="3" t="s">
        <v>26</v>
      </c>
      <c r="R296" s="3">
        <v>0</v>
      </c>
      <c r="S296" s="4">
        <v>0</v>
      </c>
      <c r="T296" s="4">
        <v>20</v>
      </c>
      <c r="U296" s="4">
        <v>62</v>
      </c>
      <c r="V296" s="4">
        <f>IF(ISERROR(VLOOKUP($S$296,'TAR FIN'!$A$1:$O$86,15,0)),0,VLOOKUP($S$296,'TAR FIN'!$A$1:$O$86,15,0))</f>
        <v>0</v>
      </c>
      <c r="W296" s="4">
        <f>IF(ISERROR(VLOOKUP($T$296,'TAR FIN'!$A$1:$O$86,15,0)),0,VLOOKUP($T$296,'TAR FIN'!$A$1:$O$86,15,0))</f>
        <v>489.03</v>
      </c>
      <c r="X296" s="4">
        <f>IF(ISERROR(VLOOKUP($U$296,'TAR FIN'!$A$1:$O$86,15,0)),0,VLOOKUP($U$296,'TAR FIN'!$A$1:$O$86,15,0))</f>
        <v>211.54</v>
      </c>
      <c r="Y296" s="4"/>
      <c r="Z296" s="4">
        <f ca="1">('TUSD BE'!$AM$20+'TUSD BF'!$AM$20+'TUSD CVA'!$AM$20)*1</f>
        <v>570.88759713673926</v>
      </c>
      <c r="AA296" s="4">
        <f>('TE BE'!$AB$11+'TE BF'!$AB$11+'TE CVA'!$AB$11)*1</f>
        <v>196.56876174373542</v>
      </c>
      <c r="AB296" s="4">
        <f>$K$296*$V$296</f>
        <v>0</v>
      </c>
      <c r="AC296" s="4">
        <f>$M$296*$W$296</f>
        <v>202530.30740999998</v>
      </c>
      <c r="AD296" s="4">
        <f>$O$296*$X$296</f>
        <v>87608.65638</v>
      </c>
      <c r="AE296" s="4">
        <f>$K$296*$Y$296</f>
        <v>0</v>
      </c>
      <c r="AF296" s="4">
        <f ca="1">$M$296*$Z$296</f>
        <v>236431.38569138915</v>
      </c>
      <c r="AG296" s="4">
        <f>$O$296*$AA$296</f>
        <v>81408.362969882786</v>
      </c>
    </row>
    <row r="297" spans="1:33" ht="11.25" customHeight="1" x14ac:dyDescent="0.25">
      <c r="A297" s="3" t="s">
        <v>27</v>
      </c>
      <c r="B297" s="3" t="s">
        <v>22</v>
      </c>
      <c r="C297" s="3" t="s">
        <v>23</v>
      </c>
      <c r="D297" s="3" t="s">
        <v>24</v>
      </c>
      <c r="E297" s="3" t="s">
        <v>24</v>
      </c>
      <c r="F297" s="3" t="s">
        <v>25</v>
      </c>
      <c r="G297" s="3" t="s">
        <v>25</v>
      </c>
      <c r="H297" s="3" t="s">
        <v>25</v>
      </c>
      <c r="I297" s="6">
        <v>44621</v>
      </c>
      <c r="J297" s="4">
        <v>0</v>
      </c>
      <c r="K297" s="4">
        <v>0</v>
      </c>
      <c r="L297" s="4">
        <v>-4.1360000000000001</v>
      </c>
      <c r="M297" s="4">
        <v>-4.1360000000000001</v>
      </c>
      <c r="N297" s="4">
        <v>-4.1360000000000001</v>
      </c>
      <c r="O297" s="4">
        <v>-4.1360000000000001</v>
      </c>
      <c r="P297" s="4">
        <v>0</v>
      </c>
      <c r="Q297" s="3" t="s">
        <v>26</v>
      </c>
      <c r="R297" s="3">
        <v>0</v>
      </c>
      <c r="S297" s="4">
        <v>0</v>
      </c>
      <c r="T297" s="4">
        <v>20</v>
      </c>
      <c r="U297" s="4">
        <v>62</v>
      </c>
      <c r="V297" s="4">
        <f>IF(ISERROR(VLOOKUP($S$297,'TAR FIN'!$A$1:$O$86,15,0)),0,VLOOKUP($S$297,'TAR FIN'!$A$1:$O$86,15,0))</f>
        <v>0</v>
      </c>
      <c r="W297" s="4">
        <f>IF(ISERROR(VLOOKUP($T$297,'TAR FIN'!$A$1:$O$86,15,0)),0,VLOOKUP($T$297,'TAR FIN'!$A$1:$O$86,15,0))</f>
        <v>489.03</v>
      </c>
      <c r="X297" s="4">
        <f>IF(ISERROR(VLOOKUP($U$297,'TAR FIN'!$A$1:$O$86,15,0)),0,VLOOKUP($U$297,'TAR FIN'!$A$1:$O$86,15,0))</f>
        <v>211.54</v>
      </c>
      <c r="Y297" s="4"/>
      <c r="Z297" s="4">
        <f ca="1">('TUSD BE'!$AM$20+'TUSD BF'!$AM$20+'TUSD CVA'!$AM$20)*1</f>
        <v>570.88759713673926</v>
      </c>
      <c r="AA297" s="4">
        <f>('TE BE'!$AB$11+'TE BF'!$AB$11+'TE CVA'!$AB$11)*1</f>
        <v>196.56876174373542</v>
      </c>
      <c r="AB297" s="4">
        <f>$K$297*$V$297</f>
        <v>0</v>
      </c>
      <c r="AC297" s="4">
        <f>$M$297*$W$297</f>
        <v>-2022.62808</v>
      </c>
      <c r="AD297" s="4">
        <f>$O$297*$X$297</f>
        <v>-874.92944</v>
      </c>
      <c r="AE297" s="4">
        <f>$K$297*$Y$297</f>
        <v>0</v>
      </c>
      <c r="AF297" s="4">
        <f ca="1">$M$297*$Z$297</f>
        <v>-2361.1911017575535</v>
      </c>
      <c r="AG297" s="4">
        <f>$O$297*$AA$297</f>
        <v>-813.00839857208973</v>
      </c>
    </row>
    <row r="298" spans="1:33" ht="11.25" customHeight="1" x14ac:dyDescent="0.25">
      <c r="A298" s="3" t="s">
        <v>28</v>
      </c>
      <c r="B298" s="3" t="s">
        <v>22</v>
      </c>
      <c r="C298" s="3" t="s">
        <v>23</v>
      </c>
      <c r="D298" s="3" t="s">
        <v>24</v>
      </c>
      <c r="E298" s="3" t="s">
        <v>24</v>
      </c>
      <c r="F298" s="3" t="s">
        <v>25</v>
      </c>
      <c r="G298" s="3" t="s">
        <v>25</v>
      </c>
      <c r="H298" s="3" t="s">
        <v>25</v>
      </c>
      <c r="I298" s="6">
        <v>44621</v>
      </c>
      <c r="J298" s="4">
        <v>0</v>
      </c>
      <c r="K298" s="4">
        <v>0</v>
      </c>
      <c r="L298" s="4">
        <v>5.5460000000000003</v>
      </c>
      <c r="M298" s="4">
        <v>5.5460000000000003</v>
      </c>
      <c r="N298" s="4">
        <v>5.5460000000000003</v>
      </c>
      <c r="O298" s="4">
        <v>5.5460000000000003</v>
      </c>
      <c r="P298" s="4">
        <v>44</v>
      </c>
      <c r="Q298" s="3" t="s">
        <v>26</v>
      </c>
      <c r="R298" s="3">
        <v>0</v>
      </c>
      <c r="S298" s="4">
        <v>0</v>
      </c>
      <c r="T298" s="4">
        <v>20</v>
      </c>
      <c r="U298" s="4">
        <v>62</v>
      </c>
      <c r="V298" s="4">
        <f>IF(ISERROR(VLOOKUP($S$298,'TAR FIN'!$A$1:$O$86,15,0)),0,VLOOKUP($S$298,'TAR FIN'!$A$1:$O$86,15,0))</f>
        <v>0</v>
      </c>
      <c r="W298" s="4">
        <f>IF(ISERROR(VLOOKUP($T$298,'TAR FIN'!$A$1:$O$86,15,0)),0,VLOOKUP($T$298,'TAR FIN'!$A$1:$O$86,15,0))</f>
        <v>489.03</v>
      </c>
      <c r="X298" s="4">
        <f>IF(ISERROR(VLOOKUP($U$298,'TAR FIN'!$A$1:$O$86,15,0)),0,VLOOKUP($U$298,'TAR FIN'!$A$1:$O$86,15,0))</f>
        <v>211.54</v>
      </c>
      <c r="Y298" s="4"/>
      <c r="Z298" s="4">
        <f ca="1">('TUSD BE'!$AM$20+'TUSD BF'!$AM$20+'TUSD CVA'!$AM$20)*1</f>
        <v>570.88759713673926</v>
      </c>
      <c r="AA298" s="4">
        <f>('TE BE'!$AB$11+'TE BF'!$AB$11+'TE CVA'!$AB$11)*1</f>
        <v>196.56876174373542</v>
      </c>
      <c r="AB298" s="4">
        <f>$K$298*$V$298</f>
        <v>0</v>
      </c>
      <c r="AC298" s="4">
        <f>$M$298*$W$298</f>
        <v>2712.1603799999998</v>
      </c>
      <c r="AD298" s="4">
        <f>$O$298*$X$298</f>
        <v>1173.20084</v>
      </c>
      <c r="AE298" s="4">
        <f>$K$298*$Y$298</f>
        <v>0</v>
      </c>
      <c r="AF298" s="4">
        <f ca="1">$M$298*$Z$298</f>
        <v>3166.1426137203562</v>
      </c>
      <c r="AG298" s="4">
        <f>$O$298*$AA$298</f>
        <v>1090.1703526307567</v>
      </c>
    </row>
    <row r="299" spans="1:33" ht="11.25" customHeight="1" x14ac:dyDescent="0.25">
      <c r="A299" s="3" t="s">
        <v>21</v>
      </c>
      <c r="B299" s="3" t="s">
        <v>22</v>
      </c>
      <c r="C299" s="3" t="s">
        <v>23</v>
      </c>
      <c r="D299" s="3" t="s">
        <v>24</v>
      </c>
      <c r="E299" s="3" t="s">
        <v>24</v>
      </c>
      <c r="F299" s="3" t="s">
        <v>25</v>
      </c>
      <c r="G299" s="3" t="s">
        <v>25</v>
      </c>
      <c r="H299" s="3" t="s">
        <v>25</v>
      </c>
      <c r="I299" s="6">
        <v>44652</v>
      </c>
      <c r="J299" s="4">
        <v>0</v>
      </c>
      <c r="K299" s="4">
        <v>0</v>
      </c>
      <c r="L299" s="4">
        <v>399.78699999999998</v>
      </c>
      <c r="M299" s="4">
        <v>399.78699999999998</v>
      </c>
      <c r="N299" s="4">
        <v>399.78699999999998</v>
      </c>
      <c r="O299" s="4">
        <v>399.78699999999998</v>
      </c>
      <c r="P299" s="4">
        <v>2262</v>
      </c>
      <c r="Q299" s="3" t="s">
        <v>26</v>
      </c>
      <c r="R299" s="3">
        <v>0</v>
      </c>
      <c r="S299" s="4">
        <v>0</v>
      </c>
      <c r="T299" s="4">
        <v>20</v>
      </c>
      <c r="U299" s="4">
        <v>62</v>
      </c>
      <c r="V299" s="4">
        <f>IF(ISERROR(VLOOKUP($S$299,'TAR FIN'!$A$1:$O$86,15,0)),0,VLOOKUP($S$299,'TAR FIN'!$A$1:$O$86,15,0))</f>
        <v>0</v>
      </c>
      <c r="W299" s="4">
        <f>IF(ISERROR(VLOOKUP($T$299,'TAR FIN'!$A$1:$O$86,15,0)),0,VLOOKUP($T$299,'TAR FIN'!$A$1:$O$86,15,0))</f>
        <v>489.03</v>
      </c>
      <c r="X299" s="4">
        <f>IF(ISERROR(VLOOKUP($U$299,'TAR FIN'!$A$1:$O$86,15,0)),0,VLOOKUP($U$299,'TAR FIN'!$A$1:$O$86,15,0))</f>
        <v>211.54</v>
      </c>
      <c r="Y299" s="4"/>
      <c r="Z299" s="4">
        <f ca="1">('TUSD BE'!$AM$20+'TUSD BF'!$AM$20+'TUSD CVA'!$AM$20)*1</f>
        <v>570.88759713673926</v>
      </c>
      <c r="AA299" s="4">
        <f>('TE BE'!$AB$11+'TE BF'!$AB$11+'TE CVA'!$AB$11)*1</f>
        <v>196.56876174373542</v>
      </c>
      <c r="AB299" s="4">
        <f>$K$299*$V$299</f>
        <v>0</v>
      </c>
      <c r="AC299" s="4">
        <f>$M$299*$W$299</f>
        <v>195507.83660999997</v>
      </c>
      <c r="AD299" s="4">
        <f>$O$299*$X$299</f>
        <v>84570.941979999989</v>
      </c>
      <c r="AE299" s="4">
        <f>$K$299*$Y$299</f>
        <v>0</v>
      </c>
      <c r="AF299" s="4">
        <f ca="1">$M$299*$Z$299</f>
        <v>228233.43979650555</v>
      </c>
      <c r="AG299" s="4">
        <f>$O$299*$AA$299</f>
        <v>78585.635551242754</v>
      </c>
    </row>
    <row r="300" spans="1:33" ht="11.25" customHeight="1" x14ac:dyDescent="0.25">
      <c r="A300" s="3" t="s">
        <v>27</v>
      </c>
      <c r="B300" s="3" t="s">
        <v>22</v>
      </c>
      <c r="C300" s="3" t="s">
        <v>23</v>
      </c>
      <c r="D300" s="3" t="s">
        <v>24</v>
      </c>
      <c r="E300" s="3" t="s">
        <v>24</v>
      </c>
      <c r="F300" s="3" t="s">
        <v>25</v>
      </c>
      <c r="G300" s="3" t="s">
        <v>25</v>
      </c>
      <c r="H300" s="3" t="s">
        <v>25</v>
      </c>
      <c r="I300" s="6">
        <v>44652</v>
      </c>
      <c r="J300" s="4">
        <v>0</v>
      </c>
      <c r="K300" s="4">
        <v>0</v>
      </c>
      <c r="L300" s="4">
        <v>-1.4179999999999999</v>
      </c>
      <c r="M300" s="4">
        <v>-1.4179999999999999</v>
      </c>
      <c r="N300" s="4">
        <v>-1.4179999999999999</v>
      </c>
      <c r="O300" s="4">
        <v>-1.4179999999999999</v>
      </c>
      <c r="P300" s="4">
        <v>0</v>
      </c>
      <c r="Q300" s="3" t="s">
        <v>26</v>
      </c>
      <c r="R300" s="3">
        <v>0</v>
      </c>
      <c r="S300" s="4">
        <v>0</v>
      </c>
      <c r="T300" s="4">
        <v>20</v>
      </c>
      <c r="U300" s="4">
        <v>62</v>
      </c>
      <c r="V300" s="4">
        <f>IF(ISERROR(VLOOKUP($S$300,'TAR FIN'!$A$1:$O$86,15,0)),0,VLOOKUP($S$300,'TAR FIN'!$A$1:$O$86,15,0))</f>
        <v>0</v>
      </c>
      <c r="W300" s="4">
        <f>IF(ISERROR(VLOOKUP($T$300,'TAR FIN'!$A$1:$O$86,15,0)),0,VLOOKUP($T$300,'TAR FIN'!$A$1:$O$86,15,0))</f>
        <v>489.03</v>
      </c>
      <c r="X300" s="4">
        <f>IF(ISERROR(VLOOKUP($U$300,'TAR FIN'!$A$1:$O$86,15,0)),0,VLOOKUP($U$300,'TAR FIN'!$A$1:$O$86,15,0))</f>
        <v>211.54</v>
      </c>
      <c r="Y300" s="4"/>
      <c r="Z300" s="4">
        <f ca="1">('TUSD BE'!$AM$20+'TUSD BF'!$AM$20+'TUSD CVA'!$AM$20)*1</f>
        <v>570.88759713673926</v>
      </c>
      <c r="AA300" s="4">
        <f>('TE BE'!$AB$11+'TE BF'!$AB$11+'TE CVA'!$AB$11)*1</f>
        <v>196.56876174373542</v>
      </c>
      <c r="AB300" s="4">
        <f>$K$300*$V$300</f>
        <v>0</v>
      </c>
      <c r="AC300" s="4">
        <f>$M$300*$W$300</f>
        <v>-693.44453999999996</v>
      </c>
      <c r="AD300" s="4">
        <f>$O$300*$X$300</f>
        <v>-299.96371999999997</v>
      </c>
      <c r="AE300" s="4">
        <f>$K$300*$Y$300</f>
        <v>0</v>
      </c>
      <c r="AF300" s="4">
        <f ca="1">$M$300*$Z$300</f>
        <v>-809.51861273989618</v>
      </c>
      <c r="AG300" s="4">
        <f>$O$300*$AA$300</f>
        <v>-278.73450415261681</v>
      </c>
    </row>
    <row r="301" spans="1:33" ht="11.25" customHeight="1" x14ac:dyDescent="0.25">
      <c r="A301" s="3" t="s">
        <v>28</v>
      </c>
      <c r="B301" s="3" t="s">
        <v>22</v>
      </c>
      <c r="C301" s="3" t="s">
        <v>23</v>
      </c>
      <c r="D301" s="3" t="s">
        <v>24</v>
      </c>
      <c r="E301" s="3" t="s">
        <v>24</v>
      </c>
      <c r="F301" s="3" t="s">
        <v>25</v>
      </c>
      <c r="G301" s="3" t="s">
        <v>25</v>
      </c>
      <c r="H301" s="3" t="s">
        <v>25</v>
      </c>
      <c r="I301" s="6">
        <v>44652</v>
      </c>
      <c r="J301" s="4">
        <v>0</v>
      </c>
      <c r="K301" s="4">
        <v>0</v>
      </c>
      <c r="L301" s="4">
        <v>5.649</v>
      </c>
      <c r="M301" s="4">
        <v>5.649</v>
      </c>
      <c r="N301" s="4">
        <v>5.649</v>
      </c>
      <c r="O301" s="4">
        <v>5.649</v>
      </c>
      <c r="P301" s="4">
        <v>49</v>
      </c>
      <c r="Q301" s="3" t="s">
        <v>26</v>
      </c>
      <c r="R301" s="3">
        <v>0</v>
      </c>
      <c r="S301" s="4">
        <v>0</v>
      </c>
      <c r="T301" s="4">
        <v>20</v>
      </c>
      <c r="U301" s="4">
        <v>62</v>
      </c>
      <c r="V301" s="4">
        <f>IF(ISERROR(VLOOKUP($S$301,'TAR FIN'!$A$1:$O$86,15,0)),0,VLOOKUP($S$301,'TAR FIN'!$A$1:$O$86,15,0))</f>
        <v>0</v>
      </c>
      <c r="W301" s="4">
        <f>IF(ISERROR(VLOOKUP($T$301,'TAR FIN'!$A$1:$O$86,15,0)),0,VLOOKUP($T$301,'TAR FIN'!$A$1:$O$86,15,0))</f>
        <v>489.03</v>
      </c>
      <c r="X301" s="4">
        <f>IF(ISERROR(VLOOKUP($U$301,'TAR FIN'!$A$1:$O$86,15,0)),0,VLOOKUP($U$301,'TAR FIN'!$A$1:$O$86,15,0))</f>
        <v>211.54</v>
      </c>
      <c r="Y301" s="4"/>
      <c r="Z301" s="4">
        <f ca="1">('TUSD BE'!$AM$20+'TUSD BF'!$AM$20+'TUSD CVA'!$AM$20)*1</f>
        <v>570.88759713673926</v>
      </c>
      <c r="AA301" s="4">
        <f>('TE BE'!$AB$11+'TE BF'!$AB$11+'TE CVA'!$AB$11)*1</f>
        <v>196.56876174373542</v>
      </c>
      <c r="AB301" s="4">
        <f>$K$301*$V$301</f>
        <v>0</v>
      </c>
      <c r="AC301" s="4">
        <f>$M$301*$W$301</f>
        <v>2762.5304699999997</v>
      </c>
      <c r="AD301" s="4">
        <f>$O$301*$X$301</f>
        <v>1194.98946</v>
      </c>
      <c r="AE301" s="4">
        <f>$K$301*$Y$301</f>
        <v>0</v>
      </c>
      <c r="AF301" s="4">
        <f ca="1">$M$301*$Z$301</f>
        <v>3224.94403622544</v>
      </c>
      <c r="AG301" s="4">
        <f>$O$301*$AA$301</f>
        <v>1110.4169350903614</v>
      </c>
    </row>
    <row r="302" spans="1:33" ht="11.25" customHeight="1" x14ac:dyDescent="0.25">
      <c r="A302" s="3" t="s">
        <v>21</v>
      </c>
      <c r="B302" s="3" t="s">
        <v>22</v>
      </c>
      <c r="C302" s="3" t="s">
        <v>23</v>
      </c>
      <c r="D302" s="3" t="s">
        <v>24</v>
      </c>
      <c r="E302" s="3" t="s">
        <v>24</v>
      </c>
      <c r="F302" s="3" t="s">
        <v>25</v>
      </c>
      <c r="G302" s="3" t="s">
        <v>25</v>
      </c>
      <c r="H302" s="3" t="s">
        <v>25</v>
      </c>
      <c r="I302" s="6">
        <v>44682</v>
      </c>
      <c r="J302" s="4">
        <v>0</v>
      </c>
      <c r="K302" s="4">
        <v>0</v>
      </c>
      <c r="L302" s="4">
        <v>393.137</v>
      </c>
      <c r="M302" s="4">
        <v>393.137</v>
      </c>
      <c r="N302" s="4">
        <v>393.137</v>
      </c>
      <c r="O302" s="4">
        <v>393.137</v>
      </c>
      <c r="P302" s="4">
        <v>2399</v>
      </c>
      <c r="Q302" s="3" t="s">
        <v>26</v>
      </c>
      <c r="R302" s="3">
        <v>0</v>
      </c>
      <c r="S302" s="4">
        <v>0</v>
      </c>
      <c r="T302" s="4">
        <v>20</v>
      </c>
      <c r="U302" s="4">
        <v>62</v>
      </c>
      <c r="V302" s="4">
        <f>IF(ISERROR(VLOOKUP($S$302,'TAR FIN'!$A$1:$O$86,15,0)),0,VLOOKUP($S$302,'TAR FIN'!$A$1:$O$86,15,0))</f>
        <v>0</v>
      </c>
      <c r="W302" s="4">
        <f>IF(ISERROR(VLOOKUP($T$302,'TAR FIN'!$A$1:$O$86,15,0)),0,VLOOKUP($T$302,'TAR FIN'!$A$1:$O$86,15,0))</f>
        <v>489.03</v>
      </c>
      <c r="X302" s="4">
        <f>IF(ISERROR(VLOOKUP($U$302,'TAR FIN'!$A$1:$O$86,15,0)),0,VLOOKUP($U$302,'TAR FIN'!$A$1:$O$86,15,0))</f>
        <v>211.54</v>
      </c>
      <c r="Y302" s="4"/>
      <c r="Z302" s="4">
        <f ca="1">('TUSD BE'!$AM$20+'TUSD BF'!$AM$20+'TUSD CVA'!$AM$20)*1</f>
        <v>570.88759713673926</v>
      </c>
      <c r="AA302" s="4">
        <f>('TE BE'!$AB$11+'TE BF'!$AB$11+'TE CVA'!$AB$11)*1</f>
        <v>196.56876174373542</v>
      </c>
      <c r="AB302" s="4">
        <f>$K$302*$V$302</f>
        <v>0</v>
      </c>
      <c r="AC302" s="4">
        <f>$M$302*$W$302</f>
        <v>192255.78710999998</v>
      </c>
      <c r="AD302" s="4">
        <f>$O$302*$X$302</f>
        <v>83164.200979999994</v>
      </c>
      <c r="AE302" s="4">
        <f>$K$302*$Y$302</f>
        <v>0</v>
      </c>
      <c r="AF302" s="4">
        <f ca="1">$M$302*$Z$302</f>
        <v>224437.03727554626</v>
      </c>
      <c r="AG302" s="4">
        <f>$O$302*$AA$302</f>
        <v>77278.453285646916</v>
      </c>
    </row>
    <row r="303" spans="1:33" ht="11.25" customHeight="1" x14ac:dyDescent="0.25">
      <c r="A303" s="3" t="s">
        <v>27</v>
      </c>
      <c r="B303" s="3" t="s">
        <v>22</v>
      </c>
      <c r="C303" s="3" t="s">
        <v>23</v>
      </c>
      <c r="D303" s="3" t="s">
        <v>24</v>
      </c>
      <c r="E303" s="3" t="s">
        <v>24</v>
      </c>
      <c r="F303" s="3" t="s">
        <v>25</v>
      </c>
      <c r="G303" s="3" t="s">
        <v>25</v>
      </c>
      <c r="H303" s="3" t="s">
        <v>25</v>
      </c>
      <c r="I303" s="6">
        <v>44682</v>
      </c>
      <c r="J303" s="4">
        <v>0</v>
      </c>
      <c r="K303" s="4">
        <v>0</v>
      </c>
      <c r="L303" s="4">
        <v>-1.246</v>
      </c>
      <c r="M303" s="4">
        <v>-1.246</v>
      </c>
      <c r="N303" s="4">
        <v>-1.246</v>
      </c>
      <c r="O303" s="4">
        <v>-1.246</v>
      </c>
      <c r="P303" s="4">
        <v>0</v>
      </c>
      <c r="Q303" s="3" t="s">
        <v>26</v>
      </c>
      <c r="R303" s="3">
        <v>0</v>
      </c>
      <c r="S303" s="4">
        <v>0</v>
      </c>
      <c r="T303" s="4">
        <v>20</v>
      </c>
      <c r="U303" s="4">
        <v>62</v>
      </c>
      <c r="V303" s="4">
        <f>IF(ISERROR(VLOOKUP($S$303,'TAR FIN'!$A$1:$O$86,15,0)),0,VLOOKUP($S$303,'TAR FIN'!$A$1:$O$86,15,0))</f>
        <v>0</v>
      </c>
      <c r="W303" s="4">
        <f>IF(ISERROR(VLOOKUP($T$303,'TAR FIN'!$A$1:$O$86,15,0)),0,VLOOKUP($T$303,'TAR FIN'!$A$1:$O$86,15,0))</f>
        <v>489.03</v>
      </c>
      <c r="X303" s="4">
        <f>IF(ISERROR(VLOOKUP($U$303,'TAR FIN'!$A$1:$O$86,15,0)),0,VLOOKUP($U$303,'TAR FIN'!$A$1:$O$86,15,0))</f>
        <v>211.54</v>
      </c>
      <c r="Y303" s="4"/>
      <c r="Z303" s="4">
        <f ca="1">('TUSD BE'!$AM$20+'TUSD BF'!$AM$20+'TUSD CVA'!$AM$20)*1</f>
        <v>570.88759713673926</v>
      </c>
      <c r="AA303" s="4">
        <f>('TE BE'!$AB$11+'TE BF'!$AB$11+'TE CVA'!$AB$11)*1</f>
        <v>196.56876174373542</v>
      </c>
      <c r="AB303" s="4">
        <f>$K$303*$V$303</f>
        <v>0</v>
      </c>
      <c r="AC303" s="4">
        <f>$M$303*$W$303</f>
        <v>-609.33137999999997</v>
      </c>
      <c r="AD303" s="4">
        <f>$O$303*$X$303</f>
        <v>-263.57884000000001</v>
      </c>
      <c r="AE303" s="4">
        <f>$K$303*$Y$303</f>
        <v>0</v>
      </c>
      <c r="AF303" s="4">
        <f ca="1">$M$303*$Z$303</f>
        <v>-711.32594603237715</v>
      </c>
      <c r="AG303" s="4">
        <f>$O$303*$AA$303</f>
        <v>-244.92467713269434</v>
      </c>
    </row>
    <row r="304" spans="1:33" ht="11.25" customHeight="1" x14ac:dyDescent="0.25">
      <c r="A304" s="3" t="s">
        <v>28</v>
      </c>
      <c r="B304" s="3" t="s">
        <v>22</v>
      </c>
      <c r="C304" s="3" t="s">
        <v>23</v>
      </c>
      <c r="D304" s="3" t="s">
        <v>24</v>
      </c>
      <c r="E304" s="3" t="s">
        <v>24</v>
      </c>
      <c r="F304" s="3" t="s">
        <v>25</v>
      </c>
      <c r="G304" s="3" t="s">
        <v>25</v>
      </c>
      <c r="H304" s="3" t="s">
        <v>25</v>
      </c>
      <c r="I304" s="6">
        <v>44682</v>
      </c>
      <c r="J304" s="4">
        <v>0</v>
      </c>
      <c r="K304" s="4">
        <v>0</v>
      </c>
      <c r="L304" s="4">
        <v>3.6890000000000001</v>
      </c>
      <c r="M304" s="4">
        <v>3.6890000000000001</v>
      </c>
      <c r="N304" s="4">
        <v>3.6890000000000001</v>
      </c>
      <c r="O304" s="4">
        <v>3.6890000000000001</v>
      </c>
      <c r="P304" s="4">
        <v>50</v>
      </c>
      <c r="Q304" s="3" t="s">
        <v>26</v>
      </c>
      <c r="R304" s="3">
        <v>0</v>
      </c>
      <c r="S304" s="4">
        <v>0</v>
      </c>
      <c r="T304" s="4">
        <v>20</v>
      </c>
      <c r="U304" s="4">
        <v>62</v>
      </c>
      <c r="V304" s="4">
        <f>IF(ISERROR(VLOOKUP($S$304,'TAR FIN'!$A$1:$O$86,15,0)),0,VLOOKUP($S$304,'TAR FIN'!$A$1:$O$86,15,0))</f>
        <v>0</v>
      </c>
      <c r="W304" s="4">
        <f>IF(ISERROR(VLOOKUP($T$304,'TAR FIN'!$A$1:$O$86,15,0)),0,VLOOKUP($T$304,'TAR FIN'!$A$1:$O$86,15,0))</f>
        <v>489.03</v>
      </c>
      <c r="X304" s="4">
        <f>IF(ISERROR(VLOOKUP($U$304,'TAR FIN'!$A$1:$O$86,15,0)),0,VLOOKUP($U$304,'TAR FIN'!$A$1:$O$86,15,0))</f>
        <v>211.54</v>
      </c>
      <c r="Y304" s="4"/>
      <c r="Z304" s="4">
        <f ca="1">('TUSD BE'!$AM$20+'TUSD BF'!$AM$20+'TUSD CVA'!$AM$20)*1</f>
        <v>570.88759713673926</v>
      </c>
      <c r="AA304" s="4">
        <f>('TE BE'!$AB$11+'TE BF'!$AB$11+'TE CVA'!$AB$11)*1</f>
        <v>196.56876174373542</v>
      </c>
      <c r="AB304" s="4">
        <f>$K$304*$V$304</f>
        <v>0</v>
      </c>
      <c r="AC304" s="4">
        <f>$M$304*$W$304</f>
        <v>1804.0316699999998</v>
      </c>
      <c r="AD304" s="4">
        <f>$O$304*$X$304</f>
        <v>780.37105999999994</v>
      </c>
      <c r="AE304" s="4">
        <f>$K$304*$Y$304</f>
        <v>0</v>
      </c>
      <c r="AF304" s="4">
        <f ca="1">$M$304*$Z$304</f>
        <v>2106.0043458374312</v>
      </c>
      <c r="AG304" s="4">
        <f>$O$304*$AA$304</f>
        <v>725.14216207263996</v>
      </c>
    </row>
    <row r="305" spans="1:33" ht="11.25" customHeight="1" x14ac:dyDescent="0.25">
      <c r="A305" s="3" t="s">
        <v>21</v>
      </c>
      <c r="B305" s="3" t="s">
        <v>22</v>
      </c>
      <c r="C305" s="3" t="s">
        <v>23</v>
      </c>
      <c r="D305" s="3" t="s">
        <v>24</v>
      </c>
      <c r="E305" s="3" t="s">
        <v>24</v>
      </c>
      <c r="F305" s="3" t="s">
        <v>25</v>
      </c>
      <c r="G305" s="3" t="s">
        <v>25</v>
      </c>
      <c r="H305" s="3" t="s">
        <v>25</v>
      </c>
      <c r="I305" s="6">
        <v>44713</v>
      </c>
      <c r="J305" s="4">
        <v>0</v>
      </c>
      <c r="K305" s="4">
        <v>0</v>
      </c>
      <c r="L305" s="4">
        <v>389.04899999999998</v>
      </c>
      <c r="M305" s="4">
        <v>389.04899999999998</v>
      </c>
      <c r="N305" s="4">
        <v>389.04899999999998</v>
      </c>
      <c r="O305" s="4">
        <v>389.04899999999998</v>
      </c>
      <c r="P305" s="4">
        <v>2411</v>
      </c>
      <c r="Q305" s="3" t="s">
        <v>26</v>
      </c>
      <c r="R305" s="3">
        <v>0</v>
      </c>
      <c r="S305" s="4">
        <v>0</v>
      </c>
      <c r="T305" s="4">
        <v>20</v>
      </c>
      <c r="U305" s="4">
        <v>62</v>
      </c>
      <c r="V305" s="4">
        <f>IF(ISERROR(VLOOKUP($S$305,'TAR FIN'!$A$1:$O$86,15,0)),0,VLOOKUP($S$305,'TAR FIN'!$A$1:$O$86,15,0))</f>
        <v>0</v>
      </c>
      <c r="W305" s="4">
        <f>IF(ISERROR(VLOOKUP($T$305,'TAR FIN'!$A$1:$O$86,15,0)),0,VLOOKUP($T$305,'TAR FIN'!$A$1:$O$86,15,0))</f>
        <v>489.03</v>
      </c>
      <c r="X305" s="4">
        <f>IF(ISERROR(VLOOKUP($U$305,'TAR FIN'!$A$1:$O$86,15,0)),0,VLOOKUP($U$305,'TAR FIN'!$A$1:$O$86,15,0))</f>
        <v>211.54</v>
      </c>
      <c r="Y305" s="4"/>
      <c r="Z305" s="4">
        <f ca="1">('TUSD BE'!$AM$20+'TUSD BF'!$AM$20+'TUSD CVA'!$AM$20)*1</f>
        <v>570.88759713673926</v>
      </c>
      <c r="AA305" s="4">
        <f>('TE BE'!$AB$11+'TE BF'!$AB$11+'TE CVA'!$AB$11)*1</f>
        <v>196.56876174373542</v>
      </c>
      <c r="AB305" s="4">
        <f>$K$305*$V$305</f>
        <v>0</v>
      </c>
      <c r="AC305" s="4">
        <f>$M$305*$W$305</f>
        <v>190256.63246999998</v>
      </c>
      <c r="AD305" s="4">
        <f>$O$305*$X$305</f>
        <v>82299.425459999999</v>
      </c>
      <c r="AE305" s="4">
        <f>$K$305*$Y$305</f>
        <v>0</v>
      </c>
      <c r="AF305" s="4">
        <f ca="1">$M$305*$Z$305</f>
        <v>222103.24877845126</v>
      </c>
      <c r="AG305" s="4">
        <f>$O$305*$AA$305</f>
        <v>76474.880187638511</v>
      </c>
    </row>
    <row r="306" spans="1:33" ht="11.25" customHeight="1" x14ac:dyDescent="0.25">
      <c r="A306" s="3" t="s">
        <v>27</v>
      </c>
      <c r="B306" s="3" t="s">
        <v>22</v>
      </c>
      <c r="C306" s="3" t="s">
        <v>23</v>
      </c>
      <c r="D306" s="3" t="s">
        <v>24</v>
      </c>
      <c r="E306" s="3" t="s">
        <v>24</v>
      </c>
      <c r="F306" s="3" t="s">
        <v>25</v>
      </c>
      <c r="G306" s="3" t="s">
        <v>25</v>
      </c>
      <c r="H306" s="3" t="s">
        <v>25</v>
      </c>
      <c r="I306" s="6">
        <v>44713</v>
      </c>
      <c r="J306" s="4">
        <v>0</v>
      </c>
      <c r="K306" s="4">
        <v>0</v>
      </c>
      <c r="L306" s="4">
        <v>-1.4059999999999999</v>
      </c>
      <c r="M306" s="4">
        <v>-1.4059999999999999</v>
      </c>
      <c r="N306" s="4">
        <v>-1.4059999999999999</v>
      </c>
      <c r="O306" s="4">
        <v>-1.4059999999999999</v>
      </c>
      <c r="P306" s="4">
        <v>0</v>
      </c>
      <c r="Q306" s="3" t="s">
        <v>26</v>
      </c>
      <c r="R306" s="3">
        <v>0</v>
      </c>
      <c r="S306" s="4">
        <v>0</v>
      </c>
      <c r="T306" s="4">
        <v>20</v>
      </c>
      <c r="U306" s="4">
        <v>62</v>
      </c>
      <c r="V306" s="4">
        <f>IF(ISERROR(VLOOKUP($S$306,'TAR FIN'!$A$1:$O$86,15,0)),0,VLOOKUP($S$306,'TAR FIN'!$A$1:$O$86,15,0))</f>
        <v>0</v>
      </c>
      <c r="W306" s="4">
        <f>IF(ISERROR(VLOOKUP($T$306,'TAR FIN'!$A$1:$O$86,15,0)),0,VLOOKUP($T$306,'TAR FIN'!$A$1:$O$86,15,0))</f>
        <v>489.03</v>
      </c>
      <c r="X306" s="4">
        <f>IF(ISERROR(VLOOKUP($U$306,'TAR FIN'!$A$1:$O$86,15,0)),0,VLOOKUP($U$306,'TAR FIN'!$A$1:$O$86,15,0))</f>
        <v>211.54</v>
      </c>
      <c r="Y306" s="4"/>
      <c r="Z306" s="4">
        <f ca="1">('TUSD BE'!$AM$20+'TUSD BF'!$AM$20+'TUSD CVA'!$AM$20)*1</f>
        <v>570.88759713673926</v>
      </c>
      <c r="AA306" s="4">
        <f>('TE BE'!$AB$11+'TE BF'!$AB$11+'TE CVA'!$AB$11)*1</f>
        <v>196.56876174373542</v>
      </c>
      <c r="AB306" s="4">
        <f>$K$306*$V$306</f>
        <v>0</v>
      </c>
      <c r="AC306" s="4">
        <f>$M$306*$W$306</f>
        <v>-687.57617999999991</v>
      </c>
      <c r="AD306" s="4">
        <f>$O$306*$X$306</f>
        <v>-297.42523999999997</v>
      </c>
      <c r="AE306" s="4">
        <f>$K$306*$Y$306</f>
        <v>0</v>
      </c>
      <c r="AF306" s="4">
        <f ca="1">$M$306*$Z$306</f>
        <v>-802.6679615742554</v>
      </c>
      <c r="AG306" s="4">
        <f>$O$306*$AA$306</f>
        <v>-276.375679011692</v>
      </c>
    </row>
    <row r="307" spans="1:33" ht="11.25" customHeight="1" x14ac:dyDescent="0.25">
      <c r="A307" s="3" t="s">
        <v>28</v>
      </c>
      <c r="B307" s="3" t="s">
        <v>22</v>
      </c>
      <c r="C307" s="3" t="s">
        <v>23</v>
      </c>
      <c r="D307" s="3" t="s">
        <v>24</v>
      </c>
      <c r="E307" s="3" t="s">
        <v>24</v>
      </c>
      <c r="F307" s="3" t="s">
        <v>25</v>
      </c>
      <c r="G307" s="3" t="s">
        <v>25</v>
      </c>
      <c r="H307" s="3" t="s">
        <v>25</v>
      </c>
      <c r="I307" s="6">
        <v>44713</v>
      </c>
      <c r="J307" s="4">
        <v>0</v>
      </c>
      <c r="K307" s="4">
        <v>0</v>
      </c>
      <c r="L307" s="4">
        <v>7.2370000000000001</v>
      </c>
      <c r="M307" s="4">
        <v>7.2370000000000001</v>
      </c>
      <c r="N307" s="4">
        <v>7.2370000000000001</v>
      </c>
      <c r="O307" s="4">
        <v>7.2370000000000001</v>
      </c>
      <c r="P307" s="4">
        <v>55</v>
      </c>
      <c r="Q307" s="3" t="s">
        <v>26</v>
      </c>
      <c r="R307" s="3">
        <v>0</v>
      </c>
      <c r="S307" s="4">
        <v>0</v>
      </c>
      <c r="T307" s="4">
        <v>20</v>
      </c>
      <c r="U307" s="4">
        <v>62</v>
      </c>
      <c r="V307" s="4">
        <f>IF(ISERROR(VLOOKUP($S$307,'TAR FIN'!$A$1:$O$86,15,0)),0,VLOOKUP($S$307,'TAR FIN'!$A$1:$O$86,15,0))</f>
        <v>0</v>
      </c>
      <c r="W307" s="4">
        <f>IF(ISERROR(VLOOKUP($T$307,'TAR FIN'!$A$1:$O$86,15,0)),0,VLOOKUP($T$307,'TAR FIN'!$A$1:$O$86,15,0))</f>
        <v>489.03</v>
      </c>
      <c r="X307" s="4">
        <f>IF(ISERROR(VLOOKUP($U$307,'TAR FIN'!$A$1:$O$86,15,0)),0,VLOOKUP($U$307,'TAR FIN'!$A$1:$O$86,15,0))</f>
        <v>211.54</v>
      </c>
      <c r="Y307" s="4"/>
      <c r="Z307" s="4">
        <f ca="1">('TUSD BE'!$AM$20+'TUSD BF'!$AM$20+'TUSD CVA'!$AM$20)*1</f>
        <v>570.88759713673926</v>
      </c>
      <c r="AA307" s="4">
        <f>('TE BE'!$AB$11+'TE BF'!$AB$11+'TE CVA'!$AB$11)*1</f>
        <v>196.56876174373542</v>
      </c>
      <c r="AB307" s="4">
        <f>$K$307*$V$307</f>
        <v>0</v>
      </c>
      <c r="AC307" s="4">
        <f>$M$307*$W$307</f>
        <v>3539.1101100000001</v>
      </c>
      <c r="AD307" s="4">
        <f>$O$307*$X$307</f>
        <v>1530.91498</v>
      </c>
      <c r="AE307" s="4">
        <f>$K$307*$Y$307</f>
        <v>0</v>
      </c>
      <c r="AF307" s="4">
        <f ca="1">$M$307*$Z$307</f>
        <v>4131.5135404785824</v>
      </c>
      <c r="AG307" s="4">
        <f>$O$307*$AA$307</f>
        <v>1422.5681287394132</v>
      </c>
    </row>
    <row r="308" spans="1:33" ht="11.25" customHeight="1" x14ac:dyDescent="0.25">
      <c r="A308" s="3" t="s">
        <v>21</v>
      </c>
      <c r="B308" s="3" t="s">
        <v>22</v>
      </c>
      <c r="C308" s="3" t="s">
        <v>23</v>
      </c>
      <c r="D308" s="3" t="s">
        <v>24</v>
      </c>
      <c r="E308" s="3" t="s">
        <v>29</v>
      </c>
      <c r="F308" s="3" t="s">
        <v>25</v>
      </c>
      <c r="G308" s="3" t="s">
        <v>25</v>
      </c>
      <c r="H308" s="3" t="s">
        <v>25</v>
      </c>
      <c r="I308" s="6">
        <v>44378</v>
      </c>
      <c r="J308" s="4">
        <v>0</v>
      </c>
      <c r="K308" s="4">
        <v>0</v>
      </c>
      <c r="L308" s="4">
        <v>0.69</v>
      </c>
      <c r="M308" s="4">
        <v>0.69</v>
      </c>
      <c r="N308" s="4">
        <v>0.69</v>
      </c>
      <c r="O308" s="4">
        <v>0.69</v>
      </c>
      <c r="P308" s="4">
        <v>4</v>
      </c>
      <c r="Q308" s="3" t="s">
        <v>26</v>
      </c>
      <c r="R308" s="3">
        <v>0</v>
      </c>
      <c r="S308" s="4">
        <v>0</v>
      </c>
      <c r="T308" s="4">
        <v>11</v>
      </c>
      <c r="U308" s="4">
        <v>71</v>
      </c>
      <c r="V308" s="4">
        <f>IF(ISERROR(VLOOKUP($S$308,'TAR FIN'!$A$1:$O$86,15,0)),0,VLOOKUP($S$308,'TAR FIN'!$A$1:$O$86,15,0))</f>
        <v>0</v>
      </c>
      <c r="W308" s="4">
        <f>IF(ISERROR(VLOOKUP($T$308,'TAR FIN'!$A$1:$O$86,15,0)),0,VLOOKUP($T$308,'TAR FIN'!$A$1:$O$86,15,0))</f>
        <v>148.09</v>
      </c>
      <c r="X308" s="4">
        <f>IF(ISERROR(VLOOKUP($U$308,'TAR FIN'!$A$1:$O$86,15,0)),0,VLOOKUP($U$308,'TAR FIN'!$A$1:$O$86,15,0))</f>
        <v>74.040000000000006</v>
      </c>
      <c r="Y308" s="4"/>
      <c r="Z308" s="4">
        <f ca="1">('TUSD BE'!$AM$21+'TUSD BF'!$AM$21+'TUSD CVA'!$AM$21-('TUSD BE'!$P$21+'TUSD BF'!$P$21+'TUSD CVA'!$P$21)-('TUSD BE'!$Q$21+'TUSD BF'!$Q$21+'TUSD CVA'!$Q$21)-('TUSD BE'!$R$21+'TUSD BF'!$R$21+'TUSD CVA'!$R$21))*(1-CUSTOS!$M$34)</f>
        <v>163.38168093159149</v>
      </c>
      <c r="AA308" s="4">
        <f>('TE BE'!$AB$12+'TE BF'!$AB$12+'TE CVA'!$AB$12)*(1-CUSTOS!$M$34)</f>
        <v>68.799066610307392</v>
      </c>
      <c r="AB308" s="4">
        <f>$K$308*$V$308</f>
        <v>0</v>
      </c>
      <c r="AC308" s="4">
        <f>$M$308*$W$308</f>
        <v>102.18209999999999</v>
      </c>
      <c r="AD308" s="4">
        <f>$O$308*$X$308</f>
        <v>51.087600000000002</v>
      </c>
      <c r="AE308" s="4">
        <f>$K$308*$Y$308</f>
        <v>0</v>
      </c>
      <c r="AF308" s="4">
        <f ca="1">$M$308*$Z$308</f>
        <v>112.73335984279812</v>
      </c>
      <c r="AG308" s="4">
        <f>$O$308*$AA$308</f>
        <v>47.471355961112096</v>
      </c>
    </row>
    <row r="309" spans="1:33" ht="11.25" customHeight="1" x14ac:dyDescent="0.25">
      <c r="A309" s="3" t="s">
        <v>21</v>
      </c>
      <c r="B309" s="3" t="s">
        <v>22</v>
      </c>
      <c r="C309" s="3" t="s">
        <v>23</v>
      </c>
      <c r="D309" s="3" t="s">
        <v>24</v>
      </c>
      <c r="E309" s="3" t="s">
        <v>29</v>
      </c>
      <c r="F309" s="3" t="s">
        <v>25</v>
      </c>
      <c r="G309" s="3" t="s">
        <v>25</v>
      </c>
      <c r="H309" s="3" t="s">
        <v>25</v>
      </c>
      <c r="I309" s="6">
        <v>44409</v>
      </c>
      <c r="J309" s="4">
        <v>0</v>
      </c>
      <c r="K309" s="4">
        <v>0</v>
      </c>
      <c r="L309" s="4">
        <v>0.69</v>
      </c>
      <c r="M309" s="4">
        <v>0.69</v>
      </c>
      <c r="N309" s="4">
        <v>0.69</v>
      </c>
      <c r="O309" s="4">
        <v>0.69</v>
      </c>
      <c r="P309" s="4">
        <v>2</v>
      </c>
      <c r="Q309" s="3" t="s">
        <v>26</v>
      </c>
      <c r="R309" s="3">
        <v>0</v>
      </c>
      <c r="S309" s="4">
        <v>0</v>
      </c>
      <c r="T309" s="4">
        <v>11</v>
      </c>
      <c r="U309" s="4">
        <v>71</v>
      </c>
      <c r="V309" s="4">
        <f>IF(ISERROR(VLOOKUP($S$309,'TAR FIN'!$A$1:$O$86,15,0)),0,VLOOKUP($S$309,'TAR FIN'!$A$1:$O$86,15,0))</f>
        <v>0</v>
      </c>
      <c r="W309" s="4">
        <f>IF(ISERROR(VLOOKUP($T$309,'TAR FIN'!$A$1:$O$86,15,0)),0,VLOOKUP($T$309,'TAR FIN'!$A$1:$O$86,15,0))</f>
        <v>148.09</v>
      </c>
      <c r="X309" s="4">
        <f>IF(ISERROR(VLOOKUP($U$309,'TAR FIN'!$A$1:$O$86,15,0)),0,VLOOKUP($U$309,'TAR FIN'!$A$1:$O$86,15,0))</f>
        <v>74.040000000000006</v>
      </c>
      <c r="Y309" s="4"/>
      <c r="Z309" s="4">
        <f ca="1">('TUSD BE'!$AM$21+'TUSD BF'!$AM$21+'TUSD CVA'!$AM$21-('TUSD BE'!$P$21+'TUSD BF'!$P$21+'TUSD CVA'!$P$21)-('TUSD BE'!$Q$21+'TUSD BF'!$Q$21+'TUSD CVA'!$Q$21)-('TUSD BE'!$R$21+'TUSD BF'!$R$21+'TUSD CVA'!$R$21))*(1-CUSTOS!$M$34)</f>
        <v>163.38168093159149</v>
      </c>
      <c r="AA309" s="4">
        <f>('TE BE'!$AB$12+'TE BF'!$AB$12+'TE CVA'!$AB$12)*(1-CUSTOS!$M$34)</f>
        <v>68.799066610307392</v>
      </c>
      <c r="AB309" s="4">
        <f>$K$309*$V$309</f>
        <v>0</v>
      </c>
      <c r="AC309" s="4">
        <f>$M$309*$W$309</f>
        <v>102.18209999999999</v>
      </c>
      <c r="AD309" s="4">
        <f>$O$309*$X$309</f>
        <v>51.087600000000002</v>
      </c>
      <c r="AE309" s="4">
        <f>$K$309*$Y$309</f>
        <v>0</v>
      </c>
      <c r="AF309" s="4">
        <f ca="1">$M$309*$Z$309</f>
        <v>112.73335984279812</v>
      </c>
      <c r="AG309" s="4">
        <f>$O$309*$AA$309</f>
        <v>47.471355961112096</v>
      </c>
    </row>
    <row r="310" spans="1:33" ht="11.25" customHeight="1" x14ac:dyDescent="0.25">
      <c r="A310" s="3" t="s">
        <v>21</v>
      </c>
      <c r="B310" s="3" t="s">
        <v>22</v>
      </c>
      <c r="C310" s="3" t="s">
        <v>23</v>
      </c>
      <c r="D310" s="3" t="s">
        <v>24</v>
      </c>
      <c r="E310" s="3" t="s">
        <v>29</v>
      </c>
      <c r="F310" s="3" t="s">
        <v>25</v>
      </c>
      <c r="G310" s="3" t="s">
        <v>25</v>
      </c>
      <c r="H310" s="3" t="s">
        <v>25</v>
      </c>
      <c r="I310" s="6">
        <v>44440</v>
      </c>
      <c r="J310" s="4">
        <v>0</v>
      </c>
      <c r="K310" s="4">
        <v>0</v>
      </c>
      <c r="L310" s="4">
        <v>0.69</v>
      </c>
      <c r="M310" s="4">
        <v>0.69</v>
      </c>
      <c r="N310" s="4">
        <v>0.69</v>
      </c>
      <c r="O310" s="4">
        <v>0.69</v>
      </c>
      <c r="P310" s="4">
        <v>2</v>
      </c>
      <c r="Q310" s="3" t="s">
        <v>26</v>
      </c>
      <c r="R310" s="3">
        <v>0</v>
      </c>
      <c r="S310" s="4">
        <v>0</v>
      </c>
      <c r="T310" s="4">
        <v>11</v>
      </c>
      <c r="U310" s="4">
        <v>71</v>
      </c>
      <c r="V310" s="4">
        <f>IF(ISERROR(VLOOKUP($S$310,'TAR FIN'!$A$1:$O$86,15,0)),0,VLOOKUP($S$310,'TAR FIN'!$A$1:$O$86,15,0))</f>
        <v>0</v>
      </c>
      <c r="W310" s="4">
        <f>IF(ISERROR(VLOOKUP($T$310,'TAR FIN'!$A$1:$O$86,15,0)),0,VLOOKUP($T$310,'TAR FIN'!$A$1:$O$86,15,0))</f>
        <v>148.09</v>
      </c>
      <c r="X310" s="4">
        <f>IF(ISERROR(VLOOKUP($U$310,'TAR FIN'!$A$1:$O$86,15,0)),0,VLOOKUP($U$310,'TAR FIN'!$A$1:$O$86,15,0))</f>
        <v>74.040000000000006</v>
      </c>
      <c r="Y310" s="4"/>
      <c r="Z310" s="4">
        <f ca="1">('TUSD BE'!$AM$21+'TUSD BF'!$AM$21+'TUSD CVA'!$AM$21-('TUSD BE'!$P$21+'TUSD BF'!$P$21+'TUSD CVA'!$P$21)-('TUSD BE'!$Q$21+'TUSD BF'!$Q$21+'TUSD CVA'!$Q$21)-('TUSD BE'!$R$21+'TUSD BF'!$R$21+'TUSD CVA'!$R$21))*(1-CUSTOS!$M$34)</f>
        <v>163.38168093159149</v>
      </c>
      <c r="AA310" s="4">
        <f>('TE BE'!$AB$12+'TE BF'!$AB$12+'TE CVA'!$AB$12)*(1-CUSTOS!$M$34)</f>
        <v>68.799066610307392</v>
      </c>
      <c r="AB310" s="4">
        <f>$K$310*$V$310</f>
        <v>0</v>
      </c>
      <c r="AC310" s="4">
        <f>$M$310*$W$310</f>
        <v>102.18209999999999</v>
      </c>
      <c r="AD310" s="4">
        <f>$O$310*$X$310</f>
        <v>51.087600000000002</v>
      </c>
      <c r="AE310" s="4">
        <f>$K$310*$Y$310</f>
        <v>0</v>
      </c>
      <c r="AF310" s="4">
        <f ca="1">$M$310*$Z$310</f>
        <v>112.73335984279812</v>
      </c>
      <c r="AG310" s="4">
        <f>$O$310*$AA$310</f>
        <v>47.471355961112096</v>
      </c>
    </row>
    <row r="311" spans="1:33" ht="11.25" customHeight="1" x14ac:dyDescent="0.25">
      <c r="A311" s="3" t="s">
        <v>21</v>
      </c>
      <c r="B311" s="3" t="s">
        <v>22</v>
      </c>
      <c r="C311" s="3" t="s">
        <v>23</v>
      </c>
      <c r="D311" s="3" t="s">
        <v>24</v>
      </c>
      <c r="E311" s="3" t="s">
        <v>29</v>
      </c>
      <c r="F311" s="3" t="s">
        <v>25</v>
      </c>
      <c r="G311" s="3" t="s">
        <v>25</v>
      </c>
      <c r="H311" s="3" t="s">
        <v>25</v>
      </c>
      <c r="I311" s="6">
        <v>44470</v>
      </c>
      <c r="J311" s="4">
        <v>0</v>
      </c>
      <c r="K311" s="4">
        <v>0</v>
      </c>
      <c r="L311" s="4">
        <v>0.69</v>
      </c>
      <c r="M311" s="4">
        <v>0.69</v>
      </c>
      <c r="N311" s="4">
        <v>0.69</v>
      </c>
      <c r="O311" s="4">
        <v>0.69</v>
      </c>
      <c r="P311" s="4">
        <v>2</v>
      </c>
      <c r="Q311" s="3" t="s">
        <v>26</v>
      </c>
      <c r="R311" s="3">
        <v>0</v>
      </c>
      <c r="S311" s="4">
        <v>0</v>
      </c>
      <c r="T311" s="4">
        <v>11</v>
      </c>
      <c r="U311" s="4">
        <v>71</v>
      </c>
      <c r="V311" s="4">
        <f>IF(ISERROR(VLOOKUP($S$311,'TAR FIN'!$A$1:$O$86,15,0)),0,VLOOKUP($S$311,'TAR FIN'!$A$1:$O$86,15,0))</f>
        <v>0</v>
      </c>
      <c r="W311" s="4">
        <f>IF(ISERROR(VLOOKUP($T$311,'TAR FIN'!$A$1:$O$86,15,0)),0,VLOOKUP($T$311,'TAR FIN'!$A$1:$O$86,15,0))</f>
        <v>148.09</v>
      </c>
      <c r="X311" s="4">
        <f>IF(ISERROR(VLOOKUP($U$311,'TAR FIN'!$A$1:$O$86,15,0)),0,VLOOKUP($U$311,'TAR FIN'!$A$1:$O$86,15,0))</f>
        <v>74.040000000000006</v>
      </c>
      <c r="Y311" s="4"/>
      <c r="Z311" s="4">
        <f ca="1">('TUSD BE'!$AM$21+'TUSD BF'!$AM$21+'TUSD CVA'!$AM$21-('TUSD BE'!$P$21+'TUSD BF'!$P$21+'TUSD CVA'!$P$21)-('TUSD BE'!$Q$21+'TUSD BF'!$Q$21+'TUSD CVA'!$Q$21)-('TUSD BE'!$R$21+'TUSD BF'!$R$21+'TUSD CVA'!$R$21))*(1-CUSTOS!$M$34)</f>
        <v>163.38168093159149</v>
      </c>
      <c r="AA311" s="4">
        <f>('TE BE'!$AB$12+'TE BF'!$AB$12+'TE CVA'!$AB$12)*(1-CUSTOS!$M$34)</f>
        <v>68.799066610307392</v>
      </c>
      <c r="AB311" s="4">
        <f>$K$311*$V$311</f>
        <v>0</v>
      </c>
      <c r="AC311" s="4">
        <f>$M$311*$W$311</f>
        <v>102.18209999999999</v>
      </c>
      <c r="AD311" s="4">
        <f>$O$311*$X$311</f>
        <v>51.087600000000002</v>
      </c>
      <c r="AE311" s="4">
        <f>$K$311*$Y$311</f>
        <v>0</v>
      </c>
      <c r="AF311" s="4">
        <f ca="1">$M$311*$Z$311</f>
        <v>112.73335984279812</v>
      </c>
      <c r="AG311" s="4">
        <f>$O$311*$AA$311</f>
        <v>47.471355961112096</v>
      </c>
    </row>
    <row r="312" spans="1:33" ht="11.25" customHeight="1" x14ac:dyDescent="0.25">
      <c r="A312" s="3" t="s">
        <v>21</v>
      </c>
      <c r="B312" s="3" t="s">
        <v>22</v>
      </c>
      <c r="C312" s="3" t="s">
        <v>23</v>
      </c>
      <c r="D312" s="3" t="s">
        <v>24</v>
      </c>
      <c r="E312" s="3" t="s">
        <v>29</v>
      </c>
      <c r="F312" s="3" t="s">
        <v>25</v>
      </c>
      <c r="G312" s="3" t="s">
        <v>25</v>
      </c>
      <c r="H312" s="3" t="s">
        <v>25</v>
      </c>
      <c r="I312" s="6">
        <v>44501</v>
      </c>
      <c r="J312" s="4">
        <v>0</v>
      </c>
      <c r="K312" s="4">
        <v>0</v>
      </c>
      <c r="L312" s="4">
        <v>0.69</v>
      </c>
      <c r="M312" s="4">
        <v>0.69</v>
      </c>
      <c r="N312" s="4">
        <v>0.69</v>
      </c>
      <c r="O312" s="4">
        <v>0.69</v>
      </c>
      <c r="P312" s="4">
        <v>3</v>
      </c>
      <c r="Q312" s="3" t="s">
        <v>26</v>
      </c>
      <c r="R312" s="3">
        <v>0</v>
      </c>
      <c r="S312" s="4">
        <v>0</v>
      </c>
      <c r="T312" s="4">
        <v>11</v>
      </c>
      <c r="U312" s="4">
        <v>71</v>
      </c>
      <c r="V312" s="4">
        <f>IF(ISERROR(VLOOKUP($S$312,'TAR FIN'!$A$1:$O$86,15,0)),0,VLOOKUP($S$312,'TAR FIN'!$A$1:$O$86,15,0))</f>
        <v>0</v>
      </c>
      <c r="W312" s="4">
        <f>IF(ISERROR(VLOOKUP($T$312,'TAR FIN'!$A$1:$O$86,15,0)),0,VLOOKUP($T$312,'TAR FIN'!$A$1:$O$86,15,0))</f>
        <v>148.09</v>
      </c>
      <c r="X312" s="4">
        <f>IF(ISERROR(VLOOKUP($U$312,'TAR FIN'!$A$1:$O$86,15,0)),0,VLOOKUP($U$312,'TAR FIN'!$A$1:$O$86,15,0))</f>
        <v>74.040000000000006</v>
      </c>
      <c r="Y312" s="4"/>
      <c r="Z312" s="4">
        <f ca="1">('TUSD BE'!$AM$21+'TUSD BF'!$AM$21+'TUSD CVA'!$AM$21-('TUSD BE'!$P$21+'TUSD BF'!$P$21+'TUSD CVA'!$P$21)-('TUSD BE'!$Q$21+'TUSD BF'!$Q$21+'TUSD CVA'!$Q$21)-('TUSD BE'!$R$21+'TUSD BF'!$R$21+'TUSD CVA'!$R$21))*(1-CUSTOS!$M$34)</f>
        <v>163.38168093159149</v>
      </c>
      <c r="AA312" s="4">
        <f>('TE BE'!$AB$12+'TE BF'!$AB$12+'TE CVA'!$AB$12)*(1-CUSTOS!$M$34)</f>
        <v>68.799066610307392</v>
      </c>
      <c r="AB312" s="4">
        <f>$K$312*$V$312</f>
        <v>0</v>
      </c>
      <c r="AC312" s="4">
        <f>$M$312*$W$312</f>
        <v>102.18209999999999</v>
      </c>
      <c r="AD312" s="4">
        <f>$O$312*$X$312</f>
        <v>51.087600000000002</v>
      </c>
      <c r="AE312" s="4">
        <f>$K$312*$Y$312</f>
        <v>0</v>
      </c>
      <c r="AF312" s="4">
        <f ca="1">$M$312*$Z$312</f>
        <v>112.73335984279812</v>
      </c>
      <c r="AG312" s="4">
        <f>$O$312*$AA$312</f>
        <v>47.471355961112096</v>
      </c>
    </row>
    <row r="313" spans="1:33" ht="11.25" customHeight="1" x14ac:dyDescent="0.25">
      <c r="A313" s="3" t="s">
        <v>21</v>
      </c>
      <c r="B313" s="3" t="s">
        <v>22</v>
      </c>
      <c r="C313" s="3" t="s">
        <v>23</v>
      </c>
      <c r="D313" s="3" t="s">
        <v>24</v>
      </c>
      <c r="E313" s="3" t="s">
        <v>29</v>
      </c>
      <c r="F313" s="3" t="s">
        <v>25</v>
      </c>
      <c r="G313" s="3" t="s">
        <v>25</v>
      </c>
      <c r="H313" s="3" t="s">
        <v>25</v>
      </c>
      <c r="I313" s="6">
        <v>44531</v>
      </c>
      <c r="J313" s="4">
        <v>0</v>
      </c>
      <c r="K313" s="4">
        <v>0</v>
      </c>
      <c r="L313" s="4">
        <v>0.69</v>
      </c>
      <c r="M313" s="4">
        <v>0.69</v>
      </c>
      <c r="N313" s="4">
        <v>0.69</v>
      </c>
      <c r="O313" s="4">
        <v>0.69</v>
      </c>
      <c r="P313" s="4">
        <v>3</v>
      </c>
      <c r="Q313" s="3" t="s">
        <v>26</v>
      </c>
      <c r="R313" s="3">
        <v>0</v>
      </c>
      <c r="S313" s="4">
        <v>0</v>
      </c>
      <c r="T313" s="4">
        <v>11</v>
      </c>
      <c r="U313" s="4">
        <v>71</v>
      </c>
      <c r="V313" s="4">
        <f>IF(ISERROR(VLOOKUP($S$313,'TAR FIN'!$A$1:$O$86,15,0)),0,VLOOKUP($S$313,'TAR FIN'!$A$1:$O$86,15,0))</f>
        <v>0</v>
      </c>
      <c r="W313" s="4">
        <f>IF(ISERROR(VLOOKUP($T$313,'TAR FIN'!$A$1:$O$86,15,0)),0,VLOOKUP($T$313,'TAR FIN'!$A$1:$O$86,15,0))</f>
        <v>148.09</v>
      </c>
      <c r="X313" s="4">
        <f>IF(ISERROR(VLOOKUP($U$313,'TAR FIN'!$A$1:$O$86,15,0)),0,VLOOKUP($U$313,'TAR FIN'!$A$1:$O$86,15,0))</f>
        <v>74.040000000000006</v>
      </c>
      <c r="Y313" s="4"/>
      <c r="Z313" s="4">
        <f ca="1">('TUSD BE'!$AM$21+'TUSD BF'!$AM$21+'TUSD CVA'!$AM$21-('TUSD BE'!$P$21+'TUSD BF'!$P$21+'TUSD CVA'!$P$21)-('TUSD BE'!$Q$21+'TUSD BF'!$Q$21+'TUSD CVA'!$Q$21)-('TUSD BE'!$R$21+'TUSD BF'!$R$21+'TUSD CVA'!$R$21))*(1-CUSTOS!$M$34)</f>
        <v>163.38168093159149</v>
      </c>
      <c r="AA313" s="4">
        <f>('TE BE'!$AB$12+'TE BF'!$AB$12+'TE CVA'!$AB$12)*(1-CUSTOS!$M$34)</f>
        <v>68.799066610307392</v>
      </c>
      <c r="AB313" s="4">
        <f>$K$313*$V$313</f>
        <v>0</v>
      </c>
      <c r="AC313" s="4">
        <f>$M$313*$W$313</f>
        <v>102.18209999999999</v>
      </c>
      <c r="AD313" s="4">
        <f>$O$313*$X$313</f>
        <v>51.087600000000002</v>
      </c>
      <c r="AE313" s="4">
        <f>$K$313*$Y$313</f>
        <v>0</v>
      </c>
      <c r="AF313" s="4">
        <f ca="1">$M$313*$Z$313</f>
        <v>112.73335984279812</v>
      </c>
      <c r="AG313" s="4">
        <f>$O$313*$AA$313</f>
        <v>47.471355961112096</v>
      </c>
    </row>
    <row r="314" spans="1:33" ht="11.25" customHeight="1" x14ac:dyDescent="0.25">
      <c r="A314" s="3" t="s">
        <v>21</v>
      </c>
      <c r="B314" s="3" t="s">
        <v>22</v>
      </c>
      <c r="C314" s="3" t="s">
        <v>23</v>
      </c>
      <c r="D314" s="3" t="s">
        <v>24</v>
      </c>
      <c r="E314" s="3" t="s">
        <v>29</v>
      </c>
      <c r="F314" s="3" t="s">
        <v>25</v>
      </c>
      <c r="G314" s="3" t="s">
        <v>25</v>
      </c>
      <c r="H314" s="3" t="s">
        <v>25</v>
      </c>
      <c r="I314" s="6">
        <v>44562</v>
      </c>
      <c r="J314" s="4">
        <v>0</v>
      </c>
      <c r="K314" s="4">
        <v>0</v>
      </c>
      <c r="L314" s="4">
        <v>1.29</v>
      </c>
      <c r="M314" s="4">
        <v>1.29</v>
      </c>
      <c r="N314" s="4">
        <v>1.29</v>
      </c>
      <c r="O314" s="4">
        <v>1.29</v>
      </c>
      <c r="P314" s="4">
        <v>5</v>
      </c>
      <c r="Q314" s="3" t="s">
        <v>26</v>
      </c>
      <c r="R314" s="3">
        <v>0</v>
      </c>
      <c r="S314" s="4">
        <v>0</v>
      </c>
      <c r="T314" s="4">
        <v>11</v>
      </c>
      <c r="U314" s="4">
        <v>71</v>
      </c>
      <c r="V314" s="4">
        <f>IF(ISERROR(VLOOKUP($S$314,'TAR FIN'!$A$1:$O$86,15,0)),0,VLOOKUP($S$314,'TAR FIN'!$A$1:$O$86,15,0))</f>
        <v>0</v>
      </c>
      <c r="W314" s="4">
        <f>IF(ISERROR(VLOOKUP($T$314,'TAR FIN'!$A$1:$O$86,15,0)),0,VLOOKUP($T$314,'TAR FIN'!$A$1:$O$86,15,0))</f>
        <v>148.09</v>
      </c>
      <c r="X314" s="4">
        <f>IF(ISERROR(VLOOKUP($U$314,'TAR FIN'!$A$1:$O$86,15,0)),0,VLOOKUP($U$314,'TAR FIN'!$A$1:$O$86,15,0))</f>
        <v>74.040000000000006</v>
      </c>
      <c r="Y314" s="4"/>
      <c r="Z314" s="4">
        <f ca="1">('TUSD BE'!$AM$21+'TUSD BF'!$AM$21+'TUSD CVA'!$AM$21-('TUSD BE'!$P$21+'TUSD BF'!$P$21+'TUSD CVA'!$P$21)-('TUSD BE'!$Q$21+'TUSD BF'!$Q$21+'TUSD CVA'!$Q$21)-('TUSD BE'!$R$21+'TUSD BF'!$R$21+'TUSD CVA'!$R$21))*(1-CUSTOS!$M$34)</f>
        <v>163.38168093159149</v>
      </c>
      <c r="AA314" s="4">
        <f>('TE BE'!$AB$12+'TE BF'!$AB$12+'TE CVA'!$AB$12)*(1-CUSTOS!$M$34)</f>
        <v>68.799066610307392</v>
      </c>
      <c r="AB314" s="4">
        <f>$K$314*$V$314</f>
        <v>0</v>
      </c>
      <c r="AC314" s="4">
        <f>$M$314*$W$314</f>
        <v>191.0361</v>
      </c>
      <c r="AD314" s="4">
        <f>$O$314*$X$314</f>
        <v>95.511600000000016</v>
      </c>
      <c r="AE314" s="4">
        <f>$K$314*$Y$314</f>
        <v>0</v>
      </c>
      <c r="AF314" s="4">
        <f ca="1">$M$314*$Z$314</f>
        <v>210.76236840175304</v>
      </c>
      <c r="AG314" s="4">
        <f>$O$314*$AA$314</f>
        <v>88.750795927296537</v>
      </c>
    </row>
    <row r="315" spans="1:33" ht="11.25" customHeight="1" x14ac:dyDescent="0.25">
      <c r="A315" s="3" t="s">
        <v>21</v>
      </c>
      <c r="B315" s="3" t="s">
        <v>22</v>
      </c>
      <c r="C315" s="3" t="s">
        <v>23</v>
      </c>
      <c r="D315" s="3" t="s">
        <v>24</v>
      </c>
      <c r="E315" s="3" t="s">
        <v>29</v>
      </c>
      <c r="F315" s="3" t="s">
        <v>25</v>
      </c>
      <c r="G315" s="3" t="s">
        <v>25</v>
      </c>
      <c r="H315" s="3" t="s">
        <v>25</v>
      </c>
      <c r="I315" s="6">
        <v>44593</v>
      </c>
      <c r="J315" s="4">
        <v>0</v>
      </c>
      <c r="K315" s="4">
        <v>0</v>
      </c>
      <c r="L315" s="4">
        <v>4.62</v>
      </c>
      <c r="M315" s="4">
        <v>4.62</v>
      </c>
      <c r="N315" s="4">
        <v>4.62</v>
      </c>
      <c r="O315" s="4">
        <v>4.62</v>
      </c>
      <c r="P315" s="4">
        <v>7</v>
      </c>
      <c r="Q315" s="3" t="s">
        <v>26</v>
      </c>
      <c r="R315" s="3">
        <v>0</v>
      </c>
      <c r="S315" s="4">
        <v>0</v>
      </c>
      <c r="T315" s="4">
        <v>11</v>
      </c>
      <c r="U315" s="4">
        <v>71</v>
      </c>
      <c r="V315" s="4">
        <f>IF(ISERROR(VLOOKUP($S$315,'TAR FIN'!$A$1:$O$86,15,0)),0,VLOOKUP($S$315,'TAR FIN'!$A$1:$O$86,15,0))</f>
        <v>0</v>
      </c>
      <c r="W315" s="4">
        <f>IF(ISERROR(VLOOKUP($T$315,'TAR FIN'!$A$1:$O$86,15,0)),0,VLOOKUP($T$315,'TAR FIN'!$A$1:$O$86,15,0))</f>
        <v>148.09</v>
      </c>
      <c r="X315" s="4">
        <f>IF(ISERROR(VLOOKUP($U$315,'TAR FIN'!$A$1:$O$86,15,0)),0,VLOOKUP($U$315,'TAR FIN'!$A$1:$O$86,15,0))</f>
        <v>74.040000000000006</v>
      </c>
      <c r="Y315" s="4"/>
      <c r="Z315" s="4">
        <f ca="1">('TUSD BE'!$AM$21+'TUSD BF'!$AM$21+'TUSD CVA'!$AM$21-('TUSD BE'!$P$21+'TUSD BF'!$P$21+'TUSD CVA'!$P$21)-('TUSD BE'!$Q$21+'TUSD BF'!$Q$21+'TUSD CVA'!$Q$21)-('TUSD BE'!$R$21+'TUSD BF'!$R$21+'TUSD CVA'!$R$21))*(1-CUSTOS!$M$34)</f>
        <v>163.38168093159149</v>
      </c>
      <c r="AA315" s="4">
        <f>('TE BE'!$AB$12+'TE BF'!$AB$12+'TE CVA'!$AB$12)*(1-CUSTOS!$M$34)</f>
        <v>68.799066610307392</v>
      </c>
      <c r="AB315" s="4">
        <f>$K$315*$V$315</f>
        <v>0</v>
      </c>
      <c r="AC315" s="4">
        <f>$M$315*$W$315</f>
        <v>684.17579999999998</v>
      </c>
      <c r="AD315" s="4">
        <f>$O$315*$X$315</f>
        <v>342.06480000000005</v>
      </c>
      <c r="AE315" s="4">
        <f>$K$315*$Y$315</f>
        <v>0</v>
      </c>
      <c r="AF315" s="4">
        <f ca="1">$M$315*$Z$315</f>
        <v>754.82336590395266</v>
      </c>
      <c r="AG315" s="4">
        <f>$O$315*$AA$315</f>
        <v>317.85168773962016</v>
      </c>
    </row>
    <row r="316" spans="1:33" ht="11.25" customHeight="1" x14ac:dyDescent="0.25">
      <c r="A316" s="3" t="s">
        <v>21</v>
      </c>
      <c r="B316" s="3" t="s">
        <v>22</v>
      </c>
      <c r="C316" s="3" t="s">
        <v>23</v>
      </c>
      <c r="D316" s="3" t="s">
        <v>24</v>
      </c>
      <c r="E316" s="3" t="s">
        <v>29</v>
      </c>
      <c r="F316" s="3" t="s">
        <v>25</v>
      </c>
      <c r="G316" s="3" t="s">
        <v>25</v>
      </c>
      <c r="H316" s="3" t="s">
        <v>25</v>
      </c>
      <c r="I316" s="6">
        <v>44621</v>
      </c>
      <c r="J316" s="4">
        <v>0</v>
      </c>
      <c r="K316" s="4">
        <v>0</v>
      </c>
      <c r="L316" s="4">
        <v>6.45</v>
      </c>
      <c r="M316" s="4">
        <v>6.45</v>
      </c>
      <c r="N316" s="4">
        <v>6.45</v>
      </c>
      <c r="O316" s="4">
        <v>6.45</v>
      </c>
      <c r="P316" s="4">
        <v>16</v>
      </c>
      <c r="Q316" s="3" t="s">
        <v>26</v>
      </c>
      <c r="R316" s="3">
        <v>0</v>
      </c>
      <c r="S316" s="4">
        <v>0</v>
      </c>
      <c r="T316" s="4">
        <v>11</v>
      </c>
      <c r="U316" s="4">
        <v>71</v>
      </c>
      <c r="V316" s="4">
        <f>IF(ISERROR(VLOOKUP($S$316,'TAR FIN'!$A$1:$O$86,15,0)),0,VLOOKUP($S$316,'TAR FIN'!$A$1:$O$86,15,0))</f>
        <v>0</v>
      </c>
      <c r="W316" s="4">
        <f>IF(ISERROR(VLOOKUP($T$316,'TAR FIN'!$A$1:$O$86,15,0)),0,VLOOKUP($T$316,'TAR FIN'!$A$1:$O$86,15,0))</f>
        <v>148.09</v>
      </c>
      <c r="X316" s="4">
        <f>IF(ISERROR(VLOOKUP($U$316,'TAR FIN'!$A$1:$O$86,15,0)),0,VLOOKUP($U$316,'TAR FIN'!$A$1:$O$86,15,0))</f>
        <v>74.040000000000006</v>
      </c>
      <c r="Y316" s="4"/>
      <c r="Z316" s="4">
        <f ca="1">('TUSD BE'!$AM$21+'TUSD BF'!$AM$21+'TUSD CVA'!$AM$21-('TUSD BE'!$P$21+'TUSD BF'!$P$21+'TUSD CVA'!$P$21)-('TUSD BE'!$Q$21+'TUSD BF'!$Q$21+'TUSD CVA'!$Q$21)-('TUSD BE'!$R$21+'TUSD BF'!$R$21+'TUSD CVA'!$R$21))*(1-CUSTOS!$M$34)</f>
        <v>163.38168093159149</v>
      </c>
      <c r="AA316" s="4">
        <f>('TE BE'!$AB$12+'TE BF'!$AB$12+'TE CVA'!$AB$12)*(1-CUSTOS!$M$34)</f>
        <v>68.799066610307392</v>
      </c>
      <c r="AB316" s="4">
        <f>$K$316*$V$316</f>
        <v>0</v>
      </c>
      <c r="AC316" s="4">
        <f>$M$316*$W$316</f>
        <v>955.18050000000005</v>
      </c>
      <c r="AD316" s="4">
        <f>$O$316*$X$316</f>
        <v>477.55800000000005</v>
      </c>
      <c r="AE316" s="4">
        <f>$K$316*$Y$316</f>
        <v>0</v>
      </c>
      <c r="AF316" s="4">
        <f ca="1">$M$316*$Z$316</f>
        <v>1053.8118420087651</v>
      </c>
      <c r="AG316" s="4">
        <f>$O$316*$AA$316</f>
        <v>443.75397963648271</v>
      </c>
    </row>
    <row r="317" spans="1:33" ht="11.25" customHeight="1" x14ac:dyDescent="0.25">
      <c r="A317" s="3" t="s">
        <v>21</v>
      </c>
      <c r="B317" s="3" t="s">
        <v>22</v>
      </c>
      <c r="C317" s="3" t="s">
        <v>23</v>
      </c>
      <c r="D317" s="3" t="s">
        <v>24</v>
      </c>
      <c r="E317" s="3" t="s">
        <v>29</v>
      </c>
      <c r="F317" s="3" t="s">
        <v>25</v>
      </c>
      <c r="G317" s="3" t="s">
        <v>25</v>
      </c>
      <c r="H317" s="3" t="s">
        <v>25</v>
      </c>
      <c r="I317" s="6">
        <v>44652</v>
      </c>
      <c r="J317" s="4">
        <v>0</v>
      </c>
      <c r="K317" s="4">
        <v>0</v>
      </c>
      <c r="L317" s="4">
        <v>6.57</v>
      </c>
      <c r="M317" s="4">
        <v>6.57</v>
      </c>
      <c r="N317" s="4">
        <v>6.57</v>
      </c>
      <c r="O317" s="4">
        <v>6.57</v>
      </c>
      <c r="P317" s="4">
        <v>20</v>
      </c>
      <c r="Q317" s="3" t="s">
        <v>26</v>
      </c>
      <c r="R317" s="3">
        <v>0</v>
      </c>
      <c r="S317" s="4">
        <v>0</v>
      </c>
      <c r="T317" s="4">
        <v>11</v>
      </c>
      <c r="U317" s="4">
        <v>71</v>
      </c>
      <c r="V317" s="4">
        <f>IF(ISERROR(VLOOKUP($S$317,'TAR FIN'!$A$1:$O$86,15,0)),0,VLOOKUP($S$317,'TAR FIN'!$A$1:$O$86,15,0))</f>
        <v>0</v>
      </c>
      <c r="W317" s="4">
        <f>IF(ISERROR(VLOOKUP($T$317,'TAR FIN'!$A$1:$O$86,15,0)),0,VLOOKUP($T$317,'TAR FIN'!$A$1:$O$86,15,0))</f>
        <v>148.09</v>
      </c>
      <c r="X317" s="4">
        <f>IF(ISERROR(VLOOKUP($U$317,'TAR FIN'!$A$1:$O$86,15,0)),0,VLOOKUP($U$317,'TAR FIN'!$A$1:$O$86,15,0))</f>
        <v>74.040000000000006</v>
      </c>
      <c r="Y317" s="4"/>
      <c r="Z317" s="4">
        <f ca="1">('TUSD BE'!$AM$21+'TUSD BF'!$AM$21+'TUSD CVA'!$AM$21-('TUSD BE'!$P$21+'TUSD BF'!$P$21+'TUSD CVA'!$P$21)-('TUSD BE'!$Q$21+'TUSD BF'!$Q$21+'TUSD CVA'!$Q$21)-('TUSD BE'!$R$21+'TUSD BF'!$R$21+'TUSD CVA'!$R$21))*(1-CUSTOS!$M$34)</f>
        <v>163.38168093159149</v>
      </c>
      <c r="AA317" s="4">
        <f>('TE BE'!$AB$12+'TE BF'!$AB$12+'TE CVA'!$AB$12)*(1-CUSTOS!$M$34)</f>
        <v>68.799066610307392</v>
      </c>
      <c r="AB317" s="4">
        <f>$K$317*$V$317</f>
        <v>0</v>
      </c>
      <c r="AC317" s="4">
        <f>$M$317*$W$317</f>
        <v>972.95130000000006</v>
      </c>
      <c r="AD317" s="4">
        <f>$O$317*$X$317</f>
        <v>486.44280000000003</v>
      </c>
      <c r="AE317" s="4">
        <f>$K$317*$Y$317</f>
        <v>0</v>
      </c>
      <c r="AF317" s="4">
        <f ca="1">$M$317*$Z$317</f>
        <v>1073.417643720556</v>
      </c>
      <c r="AG317" s="4">
        <f>$O$317*$AA$317</f>
        <v>452.00986762971957</v>
      </c>
    </row>
    <row r="318" spans="1:33" ht="11.25" customHeight="1" x14ac:dyDescent="0.25">
      <c r="A318" s="3" t="s">
        <v>21</v>
      </c>
      <c r="B318" s="3" t="s">
        <v>22</v>
      </c>
      <c r="C318" s="3" t="s">
        <v>23</v>
      </c>
      <c r="D318" s="3" t="s">
        <v>24</v>
      </c>
      <c r="E318" s="3" t="s">
        <v>29</v>
      </c>
      <c r="F318" s="3" t="s">
        <v>25</v>
      </c>
      <c r="G318" s="3" t="s">
        <v>25</v>
      </c>
      <c r="H318" s="3" t="s">
        <v>25</v>
      </c>
      <c r="I318" s="6">
        <v>44682</v>
      </c>
      <c r="J318" s="4">
        <v>0</v>
      </c>
      <c r="K318" s="4">
        <v>0</v>
      </c>
      <c r="L318" s="4">
        <v>2.64</v>
      </c>
      <c r="M318" s="4">
        <v>2.64</v>
      </c>
      <c r="N318" s="4">
        <v>2.64</v>
      </c>
      <c r="O318" s="4">
        <v>2.64</v>
      </c>
      <c r="P318" s="4">
        <v>11</v>
      </c>
      <c r="Q318" s="3" t="s">
        <v>26</v>
      </c>
      <c r="R318" s="3">
        <v>0</v>
      </c>
      <c r="S318" s="4">
        <v>0</v>
      </c>
      <c r="T318" s="4">
        <v>11</v>
      </c>
      <c r="U318" s="4">
        <v>71</v>
      </c>
      <c r="V318" s="4">
        <f>IF(ISERROR(VLOOKUP($S$318,'TAR FIN'!$A$1:$O$86,15,0)),0,VLOOKUP($S$318,'TAR FIN'!$A$1:$O$86,15,0))</f>
        <v>0</v>
      </c>
      <c r="W318" s="4">
        <f>IF(ISERROR(VLOOKUP($T$318,'TAR FIN'!$A$1:$O$86,15,0)),0,VLOOKUP($T$318,'TAR FIN'!$A$1:$O$86,15,0))</f>
        <v>148.09</v>
      </c>
      <c r="X318" s="4">
        <f>IF(ISERROR(VLOOKUP($U$318,'TAR FIN'!$A$1:$O$86,15,0)),0,VLOOKUP($U$318,'TAR FIN'!$A$1:$O$86,15,0))</f>
        <v>74.040000000000006</v>
      </c>
      <c r="Y318" s="4"/>
      <c r="Z318" s="4">
        <f ca="1">('TUSD BE'!$AM$21+'TUSD BF'!$AM$21+'TUSD CVA'!$AM$21-('TUSD BE'!$P$21+'TUSD BF'!$P$21+'TUSD CVA'!$P$21)-('TUSD BE'!$Q$21+'TUSD BF'!$Q$21+'TUSD CVA'!$Q$21)-('TUSD BE'!$R$21+'TUSD BF'!$R$21+'TUSD CVA'!$R$21))*(1-CUSTOS!$M$34)</f>
        <v>163.38168093159149</v>
      </c>
      <c r="AA318" s="4">
        <f>('TE BE'!$AB$12+'TE BF'!$AB$12+'TE CVA'!$AB$12)*(1-CUSTOS!$M$34)</f>
        <v>68.799066610307392</v>
      </c>
      <c r="AB318" s="4">
        <f>$K$318*$V$318</f>
        <v>0</v>
      </c>
      <c r="AC318" s="4">
        <f>$M$318*$W$318</f>
        <v>390.95760000000001</v>
      </c>
      <c r="AD318" s="4">
        <f>$O$318*$X$318</f>
        <v>195.46560000000002</v>
      </c>
      <c r="AE318" s="4">
        <f>$K$318*$Y$318</f>
        <v>0</v>
      </c>
      <c r="AF318" s="4">
        <f ca="1">$M$318*$Z$318</f>
        <v>431.32763765940155</v>
      </c>
      <c r="AG318" s="4">
        <f>$O$318*$AA$318</f>
        <v>181.62953585121153</v>
      </c>
    </row>
    <row r="319" spans="1:33" ht="11.25" customHeight="1" x14ac:dyDescent="0.25">
      <c r="A319" s="3" t="s">
        <v>21</v>
      </c>
      <c r="B319" s="3" t="s">
        <v>22</v>
      </c>
      <c r="C319" s="3" t="s">
        <v>23</v>
      </c>
      <c r="D319" s="3" t="s">
        <v>24</v>
      </c>
      <c r="E319" s="3" t="s">
        <v>29</v>
      </c>
      <c r="F319" s="3" t="s">
        <v>25</v>
      </c>
      <c r="G319" s="3" t="s">
        <v>25</v>
      </c>
      <c r="H319" s="3" t="s">
        <v>25</v>
      </c>
      <c r="I319" s="6">
        <v>44713</v>
      </c>
      <c r="J319" s="4">
        <v>0</v>
      </c>
      <c r="K319" s="4">
        <v>0</v>
      </c>
      <c r="L319" s="4">
        <v>2.58</v>
      </c>
      <c r="M319" s="4">
        <v>2.58</v>
      </c>
      <c r="N319" s="4">
        <v>2.58</v>
      </c>
      <c r="O319" s="4">
        <v>2.58</v>
      </c>
      <c r="P319" s="4">
        <v>9</v>
      </c>
      <c r="Q319" s="3" t="s">
        <v>26</v>
      </c>
      <c r="R319" s="3">
        <v>0</v>
      </c>
      <c r="S319" s="4">
        <v>0</v>
      </c>
      <c r="T319" s="4">
        <v>11</v>
      </c>
      <c r="U319" s="4">
        <v>71</v>
      </c>
      <c r="V319" s="4">
        <f>IF(ISERROR(VLOOKUP($S$319,'TAR FIN'!$A$1:$O$86,15,0)),0,VLOOKUP($S$319,'TAR FIN'!$A$1:$O$86,15,0))</f>
        <v>0</v>
      </c>
      <c r="W319" s="4">
        <f>IF(ISERROR(VLOOKUP($T$319,'TAR FIN'!$A$1:$O$86,15,0)),0,VLOOKUP($T$319,'TAR FIN'!$A$1:$O$86,15,0))</f>
        <v>148.09</v>
      </c>
      <c r="X319" s="4">
        <f>IF(ISERROR(VLOOKUP($U$319,'TAR FIN'!$A$1:$O$86,15,0)),0,VLOOKUP($U$319,'TAR FIN'!$A$1:$O$86,15,0))</f>
        <v>74.040000000000006</v>
      </c>
      <c r="Y319" s="4"/>
      <c r="Z319" s="4">
        <f ca="1">('TUSD BE'!$AM$21+'TUSD BF'!$AM$21+'TUSD CVA'!$AM$21-('TUSD BE'!$P$21+'TUSD BF'!$P$21+'TUSD CVA'!$P$21)-('TUSD BE'!$Q$21+'TUSD BF'!$Q$21+'TUSD CVA'!$Q$21)-('TUSD BE'!$R$21+'TUSD BF'!$R$21+'TUSD CVA'!$R$21))*(1-CUSTOS!$M$34)</f>
        <v>163.38168093159149</v>
      </c>
      <c r="AA319" s="4">
        <f>('TE BE'!$AB$12+'TE BF'!$AB$12+'TE CVA'!$AB$12)*(1-CUSTOS!$M$34)</f>
        <v>68.799066610307392</v>
      </c>
      <c r="AB319" s="4">
        <f>$K$319*$V$319</f>
        <v>0</v>
      </c>
      <c r="AC319" s="4">
        <f>$M$319*$W$319</f>
        <v>382.07220000000001</v>
      </c>
      <c r="AD319" s="4">
        <f>$O$319*$X$319</f>
        <v>191.02320000000003</v>
      </c>
      <c r="AE319" s="4">
        <f>$K$319*$Y$319</f>
        <v>0</v>
      </c>
      <c r="AF319" s="4">
        <f ca="1">$M$319*$Z$319</f>
        <v>421.52473680350607</v>
      </c>
      <c r="AG319" s="4">
        <f>$O$319*$AA$319</f>
        <v>177.50159185459307</v>
      </c>
    </row>
    <row r="320" spans="1:33" ht="11.25" customHeight="1" x14ac:dyDescent="0.25">
      <c r="A320" s="3" t="s">
        <v>21</v>
      </c>
      <c r="B320" s="3" t="s">
        <v>22</v>
      </c>
      <c r="C320" s="3" t="s">
        <v>23</v>
      </c>
      <c r="D320" s="3" t="s">
        <v>24</v>
      </c>
      <c r="E320" s="3" t="s">
        <v>30</v>
      </c>
      <c r="F320" s="3" t="s">
        <v>25</v>
      </c>
      <c r="G320" s="3" t="s">
        <v>25</v>
      </c>
      <c r="H320" s="3" t="s">
        <v>25</v>
      </c>
      <c r="I320" s="6">
        <v>44378</v>
      </c>
      <c r="J320" s="4">
        <v>0</v>
      </c>
      <c r="K320" s="4">
        <v>0</v>
      </c>
      <c r="L320" s="4">
        <v>1.113</v>
      </c>
      <c r="M320" s="4">
        <v>1.113</v>
      </c>
      <c r="N320" s="4">
        <v>1.113</v>
      </c>
      <c r="O320" s="4">
        <v>1.113</v>
      </c>
      <c r="P320" s="4">
        <v>8</v>
      </c>
      <c r="Q320" s="3" t="s">
        <v>26</v>
      </c>
      <c r="R320" s="3">
        <v>0</v>
      </c>
      <c r="S320" s="4">
        <v>0</v>
      </c>
      <c r="T320" s="4">
        <v>40</v>
      </c>
      <c r="U320" s="4">
        <v>55</v>
      </c>
      <c r="V320" s="4">
        <f>IF(ISERROR(VLOOKUP($S$320,'TAR FIN'!$A$1:$O$86,15,0)),0,VLOOKUP($S$320,'TAR FIN'!$A$1:$O$86,15,0))</f>
        <v>0</v>
      </c>
      <c r="W320" s="4">
        <f>IF(ISERROR(VLOOKUP($T$320,'TAR FIN'!$A$1:$O$86,15,0)),0,VLOOKUP($T$320,'TAR FIN'!$A$1:$O$86,15,0))</f>
        <v>253.87</v>
      </c>
      <c r="X320" s="4">
        <f>IF(ISERROR(VLOOKUP($U$320,'TAR FIN'!$A$1:$O$86,15,0)),0,VLOOKUP($U$320,'TAR FIN'!$A$1:$O$86,15,0))</f>
        <v>126.93</v>
      </c>
      <c r="Y320" s="4"/>
      <c r="Z320" s="4">
        <f ca="1">('TUSD BE'!$AM$22+'TUSD BF'!$AM$22+'TUSD CVA'!$AM$22-('TUSD BE'!$P$22+'TUSD BF'!$P$22+'TUSD CVA'!$P$22)-('TUSD BE'!$Q$22+'TUSD BF'!$Q$22+'TUSD CVA'!$Q$22)-('TUSD BE'!$R$22+'TUSD BF'!$R$22+'TUSD CVA'!$R$22))*(1-CUSTOS!$M$35)</f>
        <v>280.08288159701397</v>
      </c>
      <c r="AA320" s="4">
        <f>('TE BE'!$AB$13+'TE BF'!$AB$13+'TE CVA'!$AB$13)*(1-CUSTOS!$M$35)</f>
        <v>117.94125704624125</v>
      </c>
      <c r="AB320" s="4">
        <f>$K$320*$V$320</f>
        <v>0</v>
      </c>
      <c r="AC320" s="4">
        <f>$M$320*$W$320</f>
        <v>282.55731000000003</v>
      </c>
      <c r="AD320" s="4">
        <f>$O$320*$X$320</f>
        <v>141.27309</v>
      </c>
      <c r="AE320" s="4">
        <f>$K$320*$Y$320</f>
        <v>0</v>
      </c>
      <c r="AF320" s="4">
        <f ca="1">$M$320*$Z$320</f>
        <v>311.73224721747653</v>
      </c>
      <c r="AG320" s="4">
        <f>$O$320*$AA$320</f>
        <v>131.26861909246651</v>
      </c>
    </row>
    <row r="321" spans="1:33" ht="11.25" customHeight="1" x14ac:dyDescent="0.25">
      <c r="A321" s="3" t="s">
        <v>21</v>
      </c>
      <c r="B321" s="3" t="s">
        <v>22</v>
      </c>
      <c r="C321" s="3" t="s">
        <v>23</v>
      </c>
      <c r="D321" s="3" t="s">
        <v>24</v>
      </c>
      <c r="E321" s="3" t="s">
        <v>30</v>
      </c>
      <c r="F321" s="3" t="s">
        <v>25</v>
      </c>
      <c r="G321" s="3" t="s">
        <v>25</v>
      </c>
      <c r="H321" s="3" t="s">
        <v>25</v>
      </c>
      <c r="I321" s="6">
        <v>44409</v>
      </c>
      <c r="J321" s="4">
        <v>0</v>
      </c>
      <c r="K321" s="4">
        <v>0</v>
      </c>
      <c r="L321" s="4">
        <v>1.236</v>
      </c>
      <c r="M321" s="4">
        <v>1.236</v>
      </c>
      <c r="N321" s="4">
        <v>1.236</v>
      </c>
      <c r="O321" s="4">
        <v>1.236</v>
      </c>
      <c r="P321" s="4">
        <v>6</v>
      </c>
      <c r="Q321" s="3" t="s">
        <v>26</v>
      </c>
      <c r="R321" s="3">
        <v>0</v>
      </c>
      <c r="S321" s="4">
        <v>0</v>
      </c>
      <c r="T321" s="4">
        <v>40</v>
      </c>
      <c r="U321" s="4">
        <v>55</v>
      </c>
      <c r="V321" s="4">
        <f>IF(ISERROR(VLOOKUP($S$321,'TAR FIN'!$A$1:$O$86,15,0)),0,VLOOKUP($S$321,'TAR FIN'!$A$1:$O$86,15,0))</f>
        <v>0</v>
      </c>
      <c r="W321" s="4">
        <f>IF(ISERROR(VLOOKUP($T$321,'TAR FIN'!$A$1:$O$86,15,0)),0,VLOOKUP($T$321,'TAR FIN'!$A$1:$O$86,15,0))</f>
        <v>253.87</v>
      </c>
      <c r="X321" s="4">
        <f>IF(ISERROR(VLOOKUP($U$321,'TAR FIN'!$A$1:$O$86,15,0)),0,VLOOKUP($U$321,'TAR FIN'!$A$1:$O$86,15,0))</f>
        <v>126.93</v>
      </c>
      <c r="Y321" s="4"/>
      <c r="Z321" s="4">
        <f ca="1">('TUSD BE'!$AM$22+'TUSD BF'!$AM$22+'TUSD CVA'!$AM$22-('TUSD BE'!$P$22+'TUSD BF'!$P$22+'TUSD CVA'!$P$22)-('TUSD BE'!$Q$22+'TUSD BF'!$Q$22+'TUSD CVA'!$Q$22)-('TUSD BE'!$R$22+'TUSD BF'!$R$22+'TUSD CVA'!$R$22))*(1-CUSTOS!$M$35)</f>
        <v>280.08288159701397</v>
      </c>
      <c r="AA321" s="4">
        <f>('TE BE'!$AB$13+'TE BF'!$AB$13+'TE CVA'!$AB$13)*(1-CUSTOS!$M$35)</f>
        <v>117.94125704624125</v>
      </c>
      <c r="AB321" s="4">
        <f>$K$321*$V$321</f>
        <v>0</v>
      </c>
      <c r="AC321" s="4">
        <f>$M$321*$W$321</f>
        <v>313.78332</v>
      </c>
      <c r="AD321" s="4">
        <f>$O$321*$X$321</f>
        <v>156.88548</v>
      </c>
      <c r="AE321" s="4">
        <f>$K$321*$Y$321</f>
        <v>0</v>
      </c>
      <c r="AF321" s="4">
        <f ca="1">$M$321*$Z$321</f>
        <v>346.18244165390928</v>
      </c>
      <c r="AG321" s="4">
        <f>$O$321*$AA$321</f>
        <v>145.77539370915417</v>
      </c>
    </row>
    <row r="322" spans="1:33" ht="11.25" customHeight="1" x14ac:dyDescent="0.25">
      <c r="A322" s="3" t="s">
        <v>21</v>
      </c>
      <c r="B322" s="3" t="s">
        <v>22</v>
      </c>
      <c r="C322" s="3" t="s">
        <v>23</v>
      </c>
      <c r="D322" s="3" t="s">
        <v>24</v>
      </c>
      <c r="E322" s="3" t="s">
        <v>30</v>
      </c>
      <c r="F322" s="3" t="s">
        <v>25</v>
      </c>
      <c r="G322" s="3" t="s">
        <v>25</v>
      </c>
      <c r="H322" s="3" t="s">
        <v>25</v>
      </c>
      <c r="I322" s="6">
        <v>44440</v>
      </c>
      <c r="J322" s="4">
        <v>0</v>
      </c>
      <c r="K322" s="4">
        <v>0</v>
      </c>
      <c r="L322" s="4">
        <v>1.165</v>
      </c>
      <c r="M322" s="4">
        <v>1.165</v>
      </c>
      <c r="N322" s="4">
        <v>1.165</v>
      </c>
      <c r="O322" s="4">
        <v>1.165</v>
      </c>
      <c r="P322" s="4">
        <v>8</v>
      </c>
      <c r="Q322" s="3" t="s">
        <v>26</v>
      </c>
      <c r="R322" s="3">
        <v>0</v>
      </c>
      <c r="S322" s="4">
        <v>0</v>
      </c>
      <c r="T322" s="4">
        <v>40</v>
      </c>
      <c r="U322" s="4">
        <v>55</v>
      </c>
      <c r="V322" s="4">
        <f>IF(ISERROR(VLOOKUP($S$322,'TAR FIN'!$A$1:$O$86,15,0)),0,VLOOKUP($S$322,'TAR FIN'!$A$1:$O$86,15,0))</f>
        <v>0</v>
      </c>
      <c r="W322" s="4">
        <f>IF(ISERROR(VLOOKUP($T$322,'TAR FIN'!$A$1:$O$86,15,0)),0,VLOOKUP($T$322,'TAR FIN'!$A$1:$O$86,15,0))</f>
        <v>253.87</v>
      </c>
      <c r="X322" s="4">
        <f>IF(ISERROR(VLOOKUP($U$322,'TAR FIN'!$A$1:$O$86,15,0)),0,VLOOKUP($U$322,'TAR FIN'!$A$1:$O$86,15,0))</f>
        <v>126.93</v>
      </c>
      <c r="Y322" s="4"/>
      <c r="Z322" s="4">
        <f ca="1">('TUSD BE'!$AM$22+'TUSD BF'!$AM$22+'TUSD CVA'!$AM$22-('TUSD BE'!$P$22+'TUSD BF'!$P$22+'TUSD CVA'!$P$22)-('TUSD BE'!$Q$22+'TUSD BF'!$Q$22+'TUSD CVA'!$Q$22)-('TUSD BE'!$R$22+'TUSD BF'!$R$22+'TUSD CVA'!$R$22))*(1-CUSTOS!$M$35)</f>
        <v>280.08288159701397</v>
      </c>
      <c r="AA322" s="4">
        <f>('TE BE'!$AB$13+'TE BF'!$AB$13+'TE CVA'!$AB$13)*(1-CUSTOS!$M$35)</f>
        <v>117.94125704624125</v>
      </c>
      <c r="AB322" s="4">
        <f>$K$322*$V$322</f>
        <v>0</v>
      </c>
      <c r="AC322" s="4">
        <f>$M$322*$W$322</f>
        <v>295.75855000000001</v>
      </c>
      <c r="AD322" s="4">
        <f>$O$322*$X$322</f>
        <v>147.87345000000002</v>
      </c>
      <c r="AE322" s="4">
        <f>$K$322*$Y$322</f>
        <v>0</v>
      </c>
      <c r="AF322" s="4">
        <f ca="1">$M$322*$Z$322</f>
        <v>326.29655706052125</v>
      </c>
      <c r="AG322" s="4">
        <f>$O$322*$AA$322</f>
        <v>137.40156445887106</v>
      </c>
    </row>
    <row r="323" spans="1:33" ht="11.25" customHeight="1" x14ac:dyDescent="0.25">
      <c r="A323" s="3" t="s">
        <v>21</v>
      </c>
      <c r="B323" s="3" t="s">
        <v>22</v>
      </c>
      <c r="C323" s="3" t="s">
        <v>23</v>
      </c>
      <c r="D323" s="3" t="s">
        <v>24</v>
      </c>
      <c r="E323" s="3" t="s">
        <v>30</v>
      </c>
      <c r="F323" s="3" t="s">
        <v>25</v>
      </c>
      <c r="G323" s="3" t="s">
        <v>25</v>
      </c>
      <c r="H323" s="3" t="s">
        <v>25</v>
      </c>
      <c r="I323" s="6">
        <v>44470</v>
      </c>
      <c r="J323" s="4">
        <v>0</v>
      </c>
      <c r="K323" s="4">
        <v>0</v>
      </c>
      <c r="L323" s="4">
        <v>1.2390000000000001</v>
      </c>
      <c r="M323" s="4">
        <v>1.2390000000000001</v>
      </c>
      <c r="N323" s="4">
        <v>1.2390000000000001</v>
      </c>
      <c r="O323" s="4">
        <v>1.2390000000000001</v>
      </c>
      <c r="P323" s="4">
        <v>6</v>
      </c>
      <c r="Q323" s="3" t="s">
        <v>26</v>
      </c>
      <c r="R323" s="3">
        <v>0</v>
      </c>
      <c r="S323" s="4">
        <v>0</v>
      </c>
      <c r="T323" s="4">
        <v>40</v>
      </c>
      <c r="U323" s="4">
        <v>55</v>
      </c>
      <c r="V323" s="4">
        <f>IF(ISERROR(VLOOKUP($S$323,'TAR FIN'!$A$1:$O$86,15,0)),0,VLOOKUP($S$323,'TAR FIN'!$A$1:$O$86,15,0))</f>
        <v>0</v>
      </c>
      <c r="W323" s="4">
        <f>IF(ISERROR(VLOOKUP($T$323,'TAR FIN'!$A$1:$O$86,15,0)),0,VLOOKUP($T$323,'TAR FIN'!$A$1:$O$86,15,0))</f>
        <v>253.87</v>
      </c>
      <c r="X323" s="4">
        <f>IF(ISERROR(VLOOKUP($U$323,'TAR FIN'!$A$1:$O$86,15,0)),0,VLOOKUP($U$323,'TAR FIN'!$A$1:$O$86,15,0))</f>
        <v>126.93</v>
      </c>
      <c r="Y323" s="4"/>
      <c r="Z323" s="4">
        <f ca="1">('TUSD BE'!$AM$22+'TUSD BF'!$AM$22+'TUSD CVA'!$AM$22-('TUSD BE'!$P$22+'TUSD BF'!$P$22+'TUSD CVA'!$P$22)-('TUSD BE'!$Q$22+'TUSD BF'!$Q$22+'TUSD CVA'!$Q$22)-('TUSD BE'!$R$22+'TUSD BF'!$R$22+'TUSD CVA'!$R$22))*(1-CUSTOS!$M$35)</f>
        <v>280.08288159701397</v>
      </c>
      <c r="AA323" s="4">
        <f>('TE BE'!$AB$13+'TE BF'!$AB$13+'TE CVA'!$AB$13)*(1-CUSTOS!$M$35)</f>
        <v>117.94125704624125</v>
      </c>
      <c r="AB323" s="4">
        <f>$K$323*$V$323</f>
        <v>0</v>
      </c>
      <c r="AC323" s="4">
        <f>$M$323*$W$323</f>
        <v>314.54493000000002</v>
      </c>
      <c r="AD323" s="4">
        <f>$O$323*$X$323</f>
        <v>157.26627000000002</v>
      </c>
      <c r="AE323" s="4">
        <f>$K$323*$Y$323</f>
        <v>0</v>
      </c>
      <c r="AF323" s="4">
        <f ca="1">$M$323*$Z$323</f>
        <v>347.02269029870035</v>
      </c>
      <c r="AG323" s="4">
        <f>$O$323*$AA$323</f>
        <v>146.12921748029291</v>
      </c>
    </row>
    <row r="324" spans="1:33" ht="11.25" customHeight="1" x14ac:dyDescent="0.25">
      <c r="A324" s="3" t="s">
        <v>21</v>
      </c>
      <c r="B324" s="3" t="s">
        <v>22</v>
      </c>
      <c r="C324" s="3" t="s">
        <v>23</v>
      </c>
      <c r="D324" s="3" t="s">
        <v>24</v>
      </c>
      <c r="E324" s="3" t="s">
        <v>30</v>
      </c>
      <c r="F324" s="3" t="s">
        <v>25</v>
      </c>
      <c r="G324" s="3" t="s">
        <v>25</v>
      </c>
      <c r="H324" s="3" t="s">
        <v>25</v>
      </c>
      <c r="I324" s="6">
        <v>44501</v>
      </c>
      <c r="J324" s="4">
        <v>0</v>
      </c>
      <c r="K324" s="4">
        <v>0</v>
      </c>
      <c r="L324" s="4">
        <v>1.137</v>
      </c>
      <c r="M324" s="4">
        <v>1.137</v>
      </c>
      <c r="N324" s="4">
        <v>1.137</v>
      </c>
      <c r="O324" s="4">
        <v>1.137</v>
      </c>
      <c r="P324" s="4">
        <v>6</v>
      </c>
      <c r="Q324" s="3" t="s">
        <v>26</v>
      </c>
      <c r="R324" s="3">
        <v>0</v>
      </c>
      <c r="S324" s="4">
        <v>0</v>
      </c>
      <c r="T324" s="4">
        <v>40</v>
      </c>
      <c r="U324" s="4">
        <v>55</v>
      </c>
      <c r="V324" s="4">
        <f>IF(ISERROR(VLOOKUP($S$324,'TAR FIN'!$A$1:$O$86,15,0)),0,VLOOKUP($S$324,'TAR FIN'!$A$1:$O$86,15,0))</f>
        <v>0</v>
      </c>
      <c r="W324" s="4">
        <f>IF(ISERROR(VLOOKUP($T$324,'TAR FIN'!$A$1:$O$86,15,0)),0,VLOOKUP($T$324,'TAR FIN'!$A$1:$O$86,15,0))</f>
        <v>253.87</v>
      </c>
      <c r="X324" s="4">
        <f>IF(ISERROR(VLOOKUP($U$324,'TAR FIN'!$A$1:$O$86,15,0)),0,VLOOKUP($U$324,'TAR FIN'!$A$1:$O$86,15,0))</f>
        <v>126.93</v>
      </c>
      <c r="Y324" s="4"/>
      <c r="Z324" s="4">
        <f ca="1">('TUSD BE'!$AM$22+'TUSD BF'!$AM$22+'TUSD CVA'!$AM$22-('TUSD BE'!$P$22+'TUSD BF'!$P$22+'TUSD CVA'!$P$22)-('TUSD BE'!$Q$22+'TUSD BF'!$Q$22+'TUSD CVA'!$Q$22)-('TUSD BE'!$R$22+'TUSD BF'!$R$22+'TUSD CVA'!$R$22))*(1-CUSTOS!$M$35)</f>
        <v>280.08288159701397</v>
      </c>
      <c r="AA324" s="4">
        <f>('TE BE'!$AB$13+'TE BF'!$AB$13+'TE CVA'!$AB$13)*(1-CUSTOS!$M$35)</f>
        <v>117.94125704624125</v>
      </c>
      <c r="AB324" s="4">
        <f>$K$324*$V$324</f>
        <v>0</v>
      </c>
      <c r="AC324" s="4">
        <f>$M$324*$W$324</f>
        <v>288.65019000000001</v>
      </c>
      <c r="AD324" s="4">
        <f>$O$324*$X$324</f>
        <v>144.31941</v>
      </c>
      <c r="AE324" s="4">
        <f>$K$324*$Y$324</f>
        <v>0</v>
      </c>
      <c r="AF324" s="4">
        <f ca="1">$M$324*$Z$324</f>
        <v>318.4542363758049</v>
      </c>
      <c r="AG324" s="4">
        <f>$O$324*$AA$324</f>
        <v>134.09920926157631</v>
      </c>
    </row>
    <row r="325" spans="1:33" ht="11.25" customHeight="1" x14ac:dyDescent="0.25">
      <c r="A325" s="3" t="s">
        <v>21</v>
      </c>
      <c r="B325" s="3" t="s">
        <v>22</v>
      </c>
      <c r="C325" s="3" t="s">
        <v>23</v>
      </c>
      <c r="D325" s="3" t="s">
        <v>24</v>
      </c>
      <c r="E325" s="3" t="s">
        <v>30</v>
      </c>
      <c r="F325" s="3" t="s">
        <v>25</v>
      </c>
      <c r="G325" s="3" t="s">
        <v>25</v>
      </c>
      <c r="H325" s="3" t="s">
        <v>25</v>
      </c>
      <c r="I325" s="6">
        <v>44531</v>
      </c>
      <c r="J325" s="4">
        <v>0</v>
      </c>
      <c r="K325" s="4">
        <v>0</v>
      </c>
      <c r="L325" s="4">
        <v>1.1419999999999999</v>
      </c>
      <c r="M325" s="4">
        <v>1.1419999999999999</v>
      </c>
      <c r="N325" s="4">
        <v>1.1419999999999999</v>
      </c>
      <c r="O325" s="4">
        <v>1.1419999999999999</v>
      </c>
      <c r="P325" s="4">
        <v>6</v>
      </c>
      <c r="Q325" s="3" t="s">
        <v>26</v>
      </c>
      <c r="R325" s="3">
        <v>0</v>
      </c>
      <c r="S325" s="4">
        <v>0</v>
      </c>
      <c r="T325" s="4">
        <v>40</v>
      </c>
      <c r="U325" s="4">
        <v>55</v>
      </c>
      <c r="V325" s="4">
        <f>IF(ISERROR(VLOOKUP($S$325,'TAR FIN'!$A$1:$O$86,15,0)),0,VLOOKUP($S$325,'TAR FIN'!$A$1:$O$86,15,0))</f>
        <v>0</v>
      </c>
      <c r="W325" s="4">
        <f>IF(ISERROR(VLOOKUP($T$325,'TAR FIN'!$A$1:$O$86,15,0)),0,VLOOKUP($T$325,'TAR FIN'!$A$1:$O$86,15,0))</f>
        <v>253.87</v>
      </c>
      <c r="X325" s="4">
        <f>IF(ISERROR(VLOOKUP($U$325,'TAR FIN'!$A$1:$O$86,15,0)),0,VLOOKUP($U$325,'TAR FIN'!$A$1:$O$86,15,0))</f>
        <v>126.93</v>
      </c>
      <c r="Y325" s="4"/>
      <c r="Z325" s="4">
        <f ca="1">('TUSD BE'!$AM$22+'TUSD BF'!$AM$22+'TUSD CVA'!$AM$22-('TUSD BE'!$P$22+'TUSD BF'!$P$22+'TUSD CVA'!$P$22)-('TUSD BE'!$Q$22+'TUSD BF'!$Q$22+'TUSD CVA'!$Q$22)-('TUSD BE'!$R$22+'TUSD BF'!$R$22+'TUSD CVA'!$R$22))*(1-CUSTOS!$M$35)</f>
        <v>280.08288159701397</v>
      </c>
      <c r="AA325" s="4">
        <f>('TE BE'!$AB$13+'TE BF'!$AB$13+'TE CVA'!$AB$13)*(1-CUSTOS!$M$35)</f>
        <v>117.94125704624125</v>
      </c>
      <c r="AB325" s="4">
        <f>$K$325*$V$325</f>
        <v>0</v>
      </c>
      <c r="AC325" s="4">
        <f>$M$325*$W$325</f>
        <v>289.91953999999998</v>
      </c>
      <c r="AD325" s="4">
        <f>$O$325*$X$325</f>
        <v>144.95406</v>
      </c>
      <c r="AE325" s="4">
        <f>$K$325*$Y$325</f>
        <v>0</v>
      </c>
      <c r="AF325" s="4">
        <f ca="1">$M$325*$Z$325</f>
        <v>319.85465078378991</v>
      </c>
      <c r="AG325" s="4">
        <f>$O$325*$AA$325</f>
        <v>134.68891554680749</v>
      </c>
    </row>
    <row r="326" spans="1:33" ht="11.25" customHeight="1" x14ac:dyDescent="0.25">
      <c r="A326" s="3" t="s">
        <v>21</v>
      </c>
      <c r="B326" s="3" t="s">
        <v>22</v>
      </c>
      <c r="C326" s="3" t="s">
        <v>23</v>
      </c>
      <c r="D326" s="3" t="s">
        <v>24</v>
      </c>
      <c r="E326" s="3" t="s">
        <v>30</v>
      </c>
      <c r="F326" s="3" t="s">
        <v>25</v>
      </c>
      <c r="G326" s="3" t="s">
        <v>25</v>
      </c>
      <c r="H326" s="3" t="s">
        <v>25</v>
      </c>
      <c r="I326" s="6">
        <v>44562</v>
      </c>
      <c r="J326" s="4">
        <v>0</v>
      </c>
      <c r="K326" s="4">
        <v>0</v>
      </c>
      <c r="L326" s="4">
        <v>2.14</v>
      </c>
      <c r="M326" s="4">
        <v>2.14</v>
      </c>
      <c r="N326" s="4">
        <v>2.14</v>
      </c>
      <c r="O326" s="4">
        <v>2.14</v>
      </c>
      <c r="P326" s="4">
        <v>14</v>
      </c>
      <c r="Q326" s="3" t="s">
        <v>26</v>
      </c>
      <c r="R326" s="3">
        <v>0</v>
      </c>
      <c r="S326" s="4">
        <v>0</v>
      </c>
      <c r="T326" s="4">
        <v>40</v>
      </c>
      <c r="U326" s="4">
        <v>55</v>
      </c>
      <c r="V326" s="4">
        <f>IF(ISERROR(VLOOKUP($S$326,'TAR FIN'!$A$1:$O$86,15,0)),0,VLOOKUP($S$326,'TAR FIN'!$A$1:$O$86,15,0))</f>
        <v>0</v>
      </c>
      <c r="W326" s="4">
        <f>IF(ISERROR(VLOOKUP($T$326,'TAR FIN'!$A$1:$O$86,15,0)),0,VLOOKUP($T$326,'TAR FIN'!$A$1:$O$86,15,0))</f>
        <v>253.87</v>
      </c>
      <c r="X326" s="4">
        <f>IF(ISERROR(VLOOKUP($U$326,'TAR FIN'!$A$1:$O$86,15,0)),0,VLOOKUP($U$326,'TAR FIN'!$A$1:$O$86,15,0))</f>
        <v>126.93</v>
      </c>
      <c r="Y326" s="4"/>
      <c r="Z326" s="4">
        <f ca="1">('TUSD BE'!$AM$22+'TUSD BF'!$AM$22+'TUSD CVA'!$AM$22-('TUSD BE'!$P$22+'TUSD BF'!$P$22+'TUSD CVA'!$P$22)-('TUSD BE'!$Q$22+'TUSD BF'!$Q$22+'TUSD CVA'!$Q$22)-('TUSD BE'!$R$22+'TUSD BF'!$R$22+'TUSD CVA'!$R$22))*(1-CUSTOS!$M$35)</f>
        <v>280.08288159701397</v>
      </c>
      <c r="AA326" s="4">
        <f>('TE BE'!$AB$13+'TE BF'!$AB$13+'TE CVA'!$AB$13)*(1-CUSTOS!$M$35)</f>
        <v>117.94125704624125</v>
      </c>
      <c r="AB326" s="4">
        <f>$K$326*$V$326</f>
        <v>0</v>
      </c>
      <c r="AC326" s="4">
        <f>$M$326*$W$326</f>
        <v>543.28180000000009</v>
      </c>
      <c r="AD326" s="4">
        <f>$O$326*$X$326</f>
        <v>271.6302</v>
      </c>
      <c r="AE326" s="4">
        <f>$K$326*$Y$326</f>
        <v>0</v>
      </c>
      <c r="AF326" s="4">
        <f ca="1">$M$326*$Z$326</f>
        <v>599.37736661760994</v>
      </c>
      <c r="AG326" s="4">
        <f>$O$326*$AA$326</f>
        <v>252.39429007895629</v>
      </c>
    </row>
    <row r="327" spans="1:33" ht="11.25" customHeight="1" x14ac:dyDescent="0.25">
      <c r="A327" s="3" t="s">
        <v>21</v>
      </c>
      <c r="B327" s="3" t="s">
        <v>22</v>
      </c>
      <c r="C327" s="3" t="s">
        <v>23</v>
      </c>
      <c r="D327" s="3" t="s">
        <v>24</v>
      </c>
      <c r="E327" s="3" t="s">
        <v>30</v>
      </c>
      <c r="F327" s="3" t="s">
        <v>25</v>
      </c>
      <c r="G327" s="3" t="s">
        <v>25</v>
      </c>
      <c r="H327" s="3" t="s">
        <v>25</v>
      </c>
      <c r="I327" s="6">
        <v>44593</v>
      </c>
      <c r="J327" s="4">
        <v>0</v>
      </c>
      <c r="K327" s="4">
        <v>0</v>
      </c>
      <c r="L327" s="4">
        <v>8.7059999999999995</v>
      </c>
      <c r="M327" s="4">
        <v>8.7059999999999995</v>
      </c>
      <c r="N327" s="4">
        <v>8.7059999999999995</v>
      </c>
      <c r="O327" s="4">
        <v>8.7059999999999995</v>
      </c>
      <c r="P327" s="4">
        <v>49</v>
      </c>
      <c r="Q327" s="3" t="s">
        <v>26</v>
      </c>
      <c r="R327" s="3">
        <v>0</v>
      </c>
      <c r="S327" s="4">
        <v>0</v>
      </c>
      <c r="T327" s="4">
        <v>40</v>
      </c>
      <c r="U327" s="4">
        <v>55</v>
      </c>
      <c r="V327" s="4">
        <f>IF(ISERROR(VLOOKUP($S$327,'TAR FIN'!$A$1:$O$86,15,0)),0,VLOOKUP($S$327,'TAR FIN'!$A$1:$O$86,15,0))</f>
        <v>0</v>
      </c>
      <c r="W327" s="4">
        <f>IF(ISERROR(VLOOKUP($T$327,'TAR FIN'!$A$1:$O$86,15,0)),0,VLOOKUP($T$327,'TAR FIN'!$A$1:$O$86,15,0))</f>
        <v>253.87</v>
      </c>
      <c r="X327" s="4">
        <f>IF(ISERROR(VLOOKUP($U$327,'TAR FIN'!$A$1:$O$86,15,0)),0,VLOOKUP($U$327,'TAR FIN'!$A$1:$O$86,15,0))</f>
        <v>126.93</v>
      </c>
      <c r="Y327" s="4"/>
      <c r="Z327" s="4">
        <f ca="1">('TUSD BE'!$AM$22+'TUSD BF'!$AM$22+'TUSD CVA'!$AM$22-('TUSD BE'!$P$22+'TUSD BF'!$P$22+'TUSD CVA'!$P$22)-('TUSD BE'!$Q$22+'TUSD BF'!$Q$22+'TUSD CVA'!$Q$22)-('TUSD BE'!$R$22+'TUSD BF'!$R$22+'TUSD CVA'!$R$22))*(1-CUSTOS!$M$35)</f>
        <v>280.08288159701397</v>
      </c>
      <c r="AA327" s="4">
        <f>('TE BE'!$AB$13+'TE BF'!$AB$13+'TE CVA'!$AB$13)*(1-CUSTOS!$M$35)</f>
        <v>117.94125704624125</v>
      </c>
      <c r="AB327" s="4">
        <f>$K$327*$V$327</f>
        <v>0</v>
      </c>
      <c r="AC327" s="4">
        <f>$M$327*$W$327</f>
        <v>2210.1922199999999</v>
      </c>
      <c r="AD327" s="4">
        <f>$O$327*$X$327</f>
        <v>1105.05258</v>
      </c>
      <c r="AE327" s="4">
        <f>$K$327*$Y$327</f>
        <v>0</v>
      </c>
      <c r="AF327" s="4">
        <f ca="1">$M$327*$Z$327</f>
        <v>2438.4015671836037</v>
      </c>
      <c r="AG327" s="4">
        <f>$O$327*$AA$327</f>
        <v>1026.7965838445762</v>
      </c>
    </row>
    <row r="328" spans="1:33" ht="11.25" customHeight="1" x14ac:dyDescent="0.25">
      <c r="A328" s="3" t="s">
        <v>21</v>
      </c>
      <c r="B328" s="3" t="s">
        <v>22</v>
      </c>
      <c r="C328" s="3" t="s">
        <v>23</v>
      </c>
      <c r="D328" s="3" t="s">
        <v>24</v>
      </c>
      <c r="E328" s="3" t="s">
        <v>30</v>
      </c>
      <c r="F328" s="3" t="s">
        <v>25</v>
      </c>
      <c r="G328" s="3" t="s">
        <v>25</v>
      </c>
      <c r="H328" s="3" t="s">
        <v>25</v>
      </c>
      <c r="I328" s="6">
        <v>44621</v>
      </c>
      <c r="J328" s="4">
        <v>0</v>
      </c>
      <c r="K328" s="4">
        <v>0</v>
      </c>
      <c r="L328" s="4">
        <v>11.788</v>
      </c>
      <c r="M328" s="4">
        <v>11.788</v>
      </c>
      <c r="N328" s="4">
        <v>11.788</v>
      </c>
      <c r="O328" s="4">
        <v>11.788</v>
      </c>
      <c r="P328" s="4">
        <v>67</v>
      </c>
      <c r="Q328" s="3" t="s">
        <v>26</v>
      </c>
      <c r="R328" s="3">
        <v>0</v>
      </c>
      <c r="S328" s="4">
        <v>0</v>
      </c>
      <c r="T328" s="4">
        <v>40</v>
      </c>
      <c r="U328" s="4">
        <v>55</v>
      </c>
      <c r="V328" s="4">
        <f>IF(ISERROR(VLOOKUP($S$328,'TAR FIN'!$A$1:$O$86,15,0)),0,VLOOKUP($S$328,'TAR FIN'!$A$1:$O$86,15,0))</f>
        <v>0</v>
      </c>
      <c r="W328" s="4">
        <f>IF(ISERROR(VLOOKUP($T$328,'TAR FIN'!$A$1:$O$86,15,0)),0,VLOOKUP($T$328,'TAR FIN'!$A$1:$O$86,15,0))</f>
        <v>253.87</v>
      </c>
      <c r="X328" s="4">
        <f>IF(ISERROR(VLOOKUP($U$328,'TAR FIN'!$A$1:$O$86,15,0)),0,VLOOKUP($U$328,'TAR FIN'!$A$1:$O$86,15,0))</f>
        <v>126.93</v>
      </c>
      <c r="Y328" s="4"/>
      <c r="Z328" s="4">
        <f ca="1">('TUSD BE'!$AM$22+'TUSD BF'!$AM$22+'TUSD CVA'!$AM$22-('TUSD BE'!$P$22+'TUSD BF'!$P$22+'TUSD CVA'!$P$22)-('TUSD BE'!$Q$22+'TUSD BF'!$Q$22+'TUSD CVA'!$Q$22)-('TUSD BE'!$R$22+'TUSD BF'!$R$22+'TUSD CVA'!$R$22))*(1-CUSTOS!$M$35)</f>
        <v>280.08288159701397</v>
      </c>
      <c r="AA328" s="4">
        <f>('TE BE'!$AB$13+'TE BF'!$AB$13+'TE CVA'!$AB$13)*(1-CUSTOS!$M$35)</f>
        <v>117.94125704624125</v>
      </c>
      <c r="AB328" s="4">
        <f>$K$328*$V$328</f>
        <v>0</v>
      </c>
      <c r="AC328" s="4">
        <f>$M$328*$W$328</f>
        <v>2992.6195600000001</v>
      </c>
      <c r="AD328" s="4">
        <f>$O$328*$X$328</f>
        <v>1496.2508400000002</v>
      </c>
      <c r="AE328" s="4">
        <f>$K$328*$Y$328</f>
        <v>0</v>
      </c>
      <c r="AF328" s="4">
        <f ca="1">$M$328*$Z$328</f>
        <v>3301.6170082656008</v>
      </c>
      <c r="AG328" s="4">
        <f>$O$328*$AA$328</f>
        <v>1390.2915380610918</v>
      </c>
    </row>
    <row r="329" spans="1:33" ht="11.25" customHeight="1" x14ac:dyDescent="0.25">
      <c r="A329" s="3" t="s">
        <v>21</v>
      </c>
      <c r="B329" s="3" t="s">
        <v>22</v>
      </c>
      <c r="C329" s="3" t="s">
        <v>23</v>
      </c>
      <c r="D329" s="3" t="s">
        <v>24</v>
      </c>
      <c r="E329" s="3" t="s">
        <v>30</v>
      </c>
      <c r="F329" s="3" t="s">
        <v>25</v>
      </c>
      <c r="G329" s="3" t="s">
        <v>25</v>
      </c>
      <c r="H329" s="3" t="s">
        <v>25</v>
      </c>
      <c r="I329" s="6">
        <v>44652</v>
      </c>
      <c r="J329" s="4">
        <v>0</v>
      </c>
      <c r="K329" s="4">
        <v>0</v>
      </c>
      <c r="L329" s="4">
        <v>11.923999999999999</v>
      </c>
      <c r="M329" s="4">
        <v>11.923999999999999</v>
      </c>
      <c r="N329" s="4">
        <v>11.923999999999999</v>
      </c>
      <c r="O329" s="4">
        <v>11.923999999999999</v>
      </c>
      <c r="P329" s="4">
        <v>66</v>
      </c>
      <c r="Q329" s="3" t="s">
        <v>26</v>
      </c>
      <c r="R329" s="3">
        <v>0</v>
      </c>
      <c r="S329" s="4">
        <v>0</v>
      </c>
      <c r="T329" s="4">
        <v>40</v>
      </c>
      <c r="U329" s="4">
        <v>55</v>
      </c>
      <c r="V329" s="4">
        <f>IF(ISERROR(VLOOKUP($S$329,'TAR FIN'!$A$1:$O$86,15,0)),0,VLOOKUP($S$329,'TAR FIN'!$A$1:$O$86,15,0))</f>
        <v>0</v>
      </c>
      <c r="W329" s="4">
        <f>IF(ISERROR(VLOOKUP($T$329,'TAR FIN'!$A$1:$O$86,15,0)),0,VLOOKUP($T$329,'TAR FIN'!$A$1:$O$86,15,0))</f>
        <v>253.87</v>
      </c>
      <c r="X329" s="4">
        <f>IF(ISERROR(VLOOKUP($U$329,'TAR FIN'!$A$1:$O$86,15,0)),0,VLOOKUP($U$329,'TAR FIN'!$A$1:$O$86,15,0))</f>
        <v>126.93</v>
      </c>
      <c r="Y329" s="4"/>
      <c r="Z329" s="4">
        <f ca="1">('TUSD BE'!$AM$22+'TUSD BF'!$AM$22+'TUSD CVA'!$AM$22-('TUSD BE'!$P$22+'TUSD BF'!$P$22+'TUSD CVA'!$P$22)-('TUSD BE'!$Q$22+'TUSD BF'!$Q$22+'TUSD CVA'!$Q$22)-('TUSD BE'!$R$22+'TUSD BF'!$R$22+'TUSD CVA'!$R$22))*(1-CUSTOS!$M$35)</f>
        <v>280.08288159701397</v>
      </c>
      <c r="AA329" s="4">
        <f>('TE BE'!$AB$13+'TE BF'!$AB$13+'TE CVA'!$AB$13)*(1-CUSTOS!$M$35)</f>
        <v>117.94125704624125</v>
      </c>
      <c r="AB329" s="4">
        <f>$K$329*$V$329</f>
        <v>0</v>
      </c>
      <c r="AC329" s="4">
        <f>$M$329*$W$329</f>
        <v>3027.14588</v>
      </c>
      <c r="AD329" s="4">
        <f>$O$329*$X$329</f>
        <v>1513.51332</v>
      </c>
      <c r="AE329" s="4">
        <f>$K$329*$Y$329</f>
        <v>0</v>
      </c>
      <c r="AF329" s="4">
        <f ca="1">$M$329*$Z$329</f>
        <v>3339.7082801627944</v>
      </c>
      <c r="AG329" s="4">
        <f>$O$329*$AA$329</f>
        <v>1406.3315490193806</v>
      </c>
    </row>
    <row r="330" spans="1:33" ht="11.25" customHeight="1" x14ac:dyDescent="0.25">
      <c r="A330" s="3" t="s">
        <v>21</v>
      </c>
      <c r="B330" s="3" t="s">
        <v>22</v>
      </c>
      <c r="C330" s="3" t="s">
        <v>23</v>
      </c>
      <c r="D330" s="3" t="s">
        <v>24</v>
      </c>
      <c r="E330" s="3" t="s">
        <v>30</v>
      </c>
      <c r="F330" s="3" t="s">
        <v>25</v>
      </c>
      <c r="G330" s="3" t="s">
        <v>25</v>
      </c>
      <c r="H330" s="3" t="s">
        <v>25</v>
      </c>
      <c r="I330" s="6">
        <v>44682</v>
      </c>
      <c r="J330" s="4">
        <v>0</v>
      </c>
      <c r="K330" s="4">
        <v>0</v>
      </c>
      <c r="L330" s="4">
        <v>4.3550000000000004</v>
      </c>
      <c r="M330" s="4">
        <v>4.3550000000000004</v>
      </c>
      <c r="N330" s="4">
        <v>4.3550000000000004</v>
      </c>
      <c r="O330" s="4">
        <v>4.3550000000000004</v>
      </c>
      <c r="P330" s="4">
        <v>28</v>
      </c>
      <c r="Q330" s="3" t="s">
        <v>26</v>
      </c>
      <c r="R330" s="3">
        <v>0</v>
      </c>
      <c r="S330" s="4">
        <v>0</v>
      </c>
      <c r="T330" s="4">
        <v>40</v>
      </c>
      <c r="U330" s="4">
        <v>55</v>
      </c>
      <c r="V330" s="4">
        <f>IF(ISERROR(VLOOKUP($S$330,'TAR FIN'!$A$1:$O$86,15,0)),0,VLOOKUP($S$330,'TAR FIN'!$A$1:$O$86,15,0))</f>
        <v>0</v>
      </c>
      <c r="W330" s="4">
        <f>IF(ISERROR(VLOOKUP($T$330,'TAR FIN'!$A$1:$O$86,15,0)),0,VLOOKUP($T$330,'TAR FIN'!$A$1:$O$86,15,0))</f>
        <v>253.87</v>
      </c>
      <c r="X330" s="4">
        <f>IF(ISERROR(VLOOKUP($U$330,'TAR FIN'!$A$1:$O$86,15,0)),0,VLOOKUP($U$330,'TAR FIN'!$A$1:$O$86,15,0))</f>
        <v>126.93</v>
      </c>
      <c r="Y330" s="4"/>
      <c r="Z330" s="4">
        <f ca="1">('TUSD BE'!$AM$22+'TUSD BF'!$AM$22+'TUSD CVA'!$AM$22-('TUSD BE'!$P$22+'TUSD BF'!$P$22+'TUSD CVA'!$P$22)-('TUSD BE'!$Q$22+'TUSD BF'!$Q$22+'TUSD CVA'!$Q$22)-('TUSD BE'!$R$22+'TUSD BF'!$R$22+'TUSD CVA'!$R$22))*(1-CUSTOS!$M$35)</f>
        <v>280.08288159701397</v>
      </c>
      <c r="AA330" s="4">
        <f>('TE BE'!$AB$13+'TE BF'!$AB$13+'TE CVA'!$AB$13)*(1-CUSTOS!$M$35)</f>
        <v>117.94125704624125</v>
      </c>
      <c r="AB330" s="4">
        <f>$K$330*$V$330</f>
        <v>0</v>
      </c>
      <c r="AC330" s="4">
        <f>$M$330*$W$330</f>
        <v>1105.6038500000002</v>
      </c>
      <c r="AD330" s="4">
        <f>$O$330*$X$330</f>
        <v>552.78015000000005</v>
      </c>
      <c r="AE330" s="4">
        <f>$K$330*$Y$330</f>
        <v>0</v>
      </c>
      <c r="AF330" s="4">
        <f ca="1">$M$330*$Z$330</f>
        <v>1219.760949354996</v>
      </c>
      <c r="AG330" s="4">
        <f>$O$330*$AA$330</f>
        <v>513.6341744363807</v>
      </c>
    </row>
    <row r="331" spans="1:33" ht="11.25" customHeight="1" x14ac:dyDescent="0.25">
      <c r="A331" s="3" t="s">
        <v>21</v>
      </c>
      <c r="B331" s="3" t="s">
        <v>22</v>
      </c>
      <c r="C331" s="3" t="s">
        <v>23</v>
      </c>
      <c r="D331" s="3" t="s">
        <v>24</v>
      </c>
      <c r="E331" s="3" t="s">
        <v>30</v>
      </c>
      <c r="F331" s="3" t="s">
        <v>25</v>
      </c>
      <c r="G331" s="3" t="s">
        <v>25</v>
      </c>
      <c r="H331" s="3" t="s">
        <v>25</v>
      </c>
      <c r="I331" s="6">
        <v>44713</v>
      </c>
      <c r="J331" s="4">
        <v>0</v>
      </c>
      <c r="K331" s="4">
        <v>0</v>
      </c>
      <c r="L331" s="4">
        <v>4.5709999999999997</v>
      </c>
      <c r="M331" s="4">
        <v>4.5709999999999997</v>
      </c>
      <c r="N331" s="4">
        <v>4.5709999999999997</v>
      </c>
      <c r="O331" s="4">
        <v>4.5709999999999997</v>
      </c>
      <c r="P331" s="4">
        <v>29</v>
      </c>
      <c r="Q331" s="3" t="s">
        <v>26</v>
      </c>
      <c r="R331" s="3">
        <v>0</v>
      </c>
      <c r="S331" s="4">
        <v>0</v>
      </c>
      <c r="T331" s="4">
        <v>40</v>
      </c>
      <c r="U331" s="4">
        <v>55</v>
      </c>
      <c r="V331" s="4">
        <f>IF(ISERROR(VLOOKUP($S$331,'TAR FIN'!$A$1:$O$86,15,0)),0,VLOOKUP($S$331,'TAR FIN'!$A$1:$O$86,15,0))</f>
        <v>0</v>
      </c>
      <c r="W331" s="4">
        <f>IF(ISERROR(VLOOKUP($T$331,'TAR FIN'!$A$1:$O$86,15,0)),0,VLOOKUP($T$331,'TAR FIN'!$A$1:$O$86,15,0))</f>
        <v>253.87</v>
      </c>
      <c r="X331" s="4">
        <f>IF(ISERROR(VLOOKUP($U$331,'TAR FIN'!$A$1:$O$86,15,0)),0,VLOOKUP($U$331,'TAR FIN'!$A$1:$O$86,15,0))</f>
        <v>126.93</v>
      </c>
      <c r="Y331" s="4"/>
      <c r="Z331" s="4">
        <f ca="1">('TUSD BE'!$AM$22+'TUSD BF'!$AM$22+'TUSD CVA'!$AM$22-('TUSD BE'!$P$22+'TUSD BF'!$P$22+'TUSD CVA'!$P$22)-('TUSD BE'!$Q$22+'TUSD BF'!$Q$22+'TUSD CVA'!$Q$22)-('TUSD BE'!$R$22+'TUSD BF'!$R$22+'TUSD CVA'!$R$22))*(1-CUSTOS!$M$35)</f>
        <v>280.08288159701397</v>
      </c>
      <c r="AA331" s="4">
        <f>('TE BE'!$AB$13+'TE BF'!$AB$13+'TE CVA'!$AB$13)*(1-CUSTOS!$M$35)</f>
        <v>117.94125704624125</v>
      </c>
      <c r="AB331" s="4">
        <f>$K$331*$V$331</f>
        <v>0</v>
      </c>
      <c r="AC331" s="4">
        <f>$M$331*$W$331</f>
        <v>1160.43977</v>
      </c>
      <c r="AD331" s="4">
        <f>$O$331*$X$331</f>
        <v>580.19703000000004</v>
      </c>
      <c r="AE331" s="4">
        <f>$K$331*$Y$331</f>
        <v>0</v>
      </c>
      <c r="AF331" s="4">
        <f ca="1">$M$331*$Z$331</f>
        <v>1280.2588517799509</v>
      </c>
      <c r="AG331" s="4">
        <f>$O$331*$AA$331</f>
        <v>539.10948595836874</v>
      </c>
    </row>
    <row r="332" spans="1:33" ht="11.25" customHeight="1" x14ac:dyDescent="0.25">
      <c r="A332" s="3" t="s">
        <v>21</v>
      </c>
      <c r="B332" s="3" t="s">
        <v>22</v>
      </c>
      <c r="C332" s="3" t="s">
        <v>23</v>
      </c>
      <c r="D332" s="3" t="s">
        <v>24</v>
      </c>
      <c r="E332" s="3" t="s">
        <v>31</v>
      </c>
      <c r="F332" s="3" t="s">
        <v>25</v>
      </c>
      <c r="G332" s="3" t="s">
        <v>25</v>
      </c>
      <c r="H332" s="3" t="s">
        <v>25</v>
      </c>
      <c r="I332" s="6">
        <v>44378</v>
      </c>
      <c r="J332" s="4">
        <v>0</v>
      </c>
      <c r="K332" s="4">
        <v>0</v>
      </c>
      <c r="L332" s="4">
        <v>0.63</v>
      </c>
      <c r="M332" s="4">
        <v>0.63</v>
      </c>
      <c r="N332" s="4">
        <v>0.63</v>
      </c>
      <c r="O332" s="4">
        <v>0.63</v>
      </c>
      <c r="P332" s="4">
        <v>9</v>
      </c>
      <c r="Q332" s="3" t="s">
        <v>26</v>
      </c>
      <c r="R332" s="3">
        <v>0</v>
      </c>
      <c r="S332" s="4">
        <v>0</v>
      </c>
      <c r="T332" s="4">
        <v>26</v>
      </c>
      <c r="U332" s="4">
        <v>73</v>
      </c>
      <c r="V332" s="4">
        <f>IF(ISERROR(VLOOKUP($S$332,'TAR FIN'!$A$1:$O$86,15,0)),0,VLOOKUP($S$332,'TAR FIN'!$A$1:$O$86,15,0))</f>
        <v>0</v>
      </c>
      <c r="W332" s="4">
        <f>IF(ISERROR(VLOOKUP($T$332,'TAR FIN'!$A$1:$O$86,15,0)),0,VLOOKUP($T$332,'TAR FIN'!$A$1:$O$86,15,0))</f>
        <v>380.8</v>
      </c>
      <c r="X332" s="4">
        <f>IF(ISERROR(VLOOKUP($U$332,'TAR FIN'!$A$1:$O$86,15,0)),0,VLOOKUP($U$332,'TAR FIN'!$A$1:$O$86,15,0))</f>
        <v>190.39</v>
      </c>
      <c r="Y332" s="4"/>
      <c r="Z332" s="4">
        <f ca="1">('TUSD BE'!$AM$23+'TUSD BF'!$AM$23+'TUSD CVA'!$AM$23-('TUSD BE'!$P$23+'TUSD BF'!$P$23+'TUSD CVA'!$P$23)-('TUSD BE'!$Q$23+'TUSD BF'!$Q$23+'TUSD CVA'!$Q$23)-('TUSD BE'!$R$23+'TUSD BF'!$R$23+'TUSD CVA'!$R$23))*(1-CUSTOS!$M$36)</f>
        <v>420.12432239552095</v>
      </c>
      <c r="AA332" s="4">
        <f>('TE BE'!$AB$14+'TE BF'!$AB$14+'TE CVA'!$AB$14)*(1-CUSTOS!$M$36)</f>
        <v>176.91188556936189</v>
      </c>
      <c r="AB332" s="4">
        <f>$K$332*$V$332</f>
        <v>0</v>
      </c>
      <c r="AC332" s="4">
        <f>$M$332*$W$332</f>
        <v>239.904</v>
      </c>
      <c r="AD332" s="4">
        <f>$O$332*$X$332</f>
        <v>119.94569999999999</v>
      </c>
      <c r="AE332" s="4">
        <f>$K$332*$Y$332</f>
        <v>0</v>
      </c>
      <c r="AF332" s="4">
        <f ca="1">$M$332*$Z$332</f>
        <v>264.67832310917822</v>
      </c>
      <c r="AG332" s="4">
        <f>$O$332*$AA$332</f>
        <v>111.45448790869798</v>
      </c>
    </row>
    <row r="333" spans="1:33" ht="11.25" customHeight="1" x14ac:dyDescent="0.25">
      <c r="A333" s="3" t="s">
        <v>21</v>
      </c>
      <c r="B333" s="3" t="s">
        <v>22</v>
      </c>
      <c r="C333" s="3" t="s">
        <v>23</v>
      </c>
      <c r="D333" s="3" t="s">
        <v>24</v>
      </c>
      <c r="E333" s="3" t="s">
        <v>31</v>
      </c>
      <c r="F333" s="3" t="s">
        <v>25</v>
      </c>
      <c r="G333" s="3" t="s">
        <v>25</v>
      </c>
      <c r="H333" s="3" t="s">
        <v>25</v>
      </c>
      <c r="I333" s="6">
        <v>44409</v>
      </c>
      <c r="J333" s="4">
        <v>0</v>
      </c>
      <c r="K333" s="4">
        <v>0</v>
      </c>
      <c r="L333" s="4">
        <v>0.96299999999999997</v>
      </c>
      <c r="M333" s="4">
        <v>0.96299999999999997</v>
      </c>
      <c r="N333" s="4">
        <v>0.96299999999999997</v>
      </c>
      <c r="O333" s="4">
        <v>0.96299999999999997</v>
      </c>
      <c r="P333" s="4">
        <v>11</v>
      </c>
      <c r="Q333" s="3" t="s">
        <v>26</v>
      </c>
      <c r="R333" s="3">
        <v>0</v>
      </c>
      <c r="S333" s="4">
        <v>0</v>
      </c>
      <c r="T333" s="4">
        <v>26</v>
      </c>
      <c r="U333" s="4">
        <v>73</v>
      </c>
      <c r="V333" s="4">
        <f>IF(ISERROR(VLOOKUP($S$333,'TAR FIN'!$A$1:$O$86,15,0)),0,VLOOKUP($S$333,'TAR FIN'!$A$1:$O$86,15,0))</f>
        <v>0</v>
      </c>
      <c r="W333" s="4">
        <f>IF(ISERROR(VLOOKUP($T$333,'TAR FIN'!$A$1:$O$86,15,0)),0,VLOOKUP($T$333,'TAR FIN'!$A$1:$O$86,15,0))</f>
        <v>380.8</v>
      </c>
      <c r="X333" s="4">
        <f>IF(ISERROR(VLOOKUP($U$333,'TAR FIN'!$A$1:$O$86,15,0)),0,VLOOKUP($U$333,'TAR FIN'!$A$1:$O$86,15,0))</f>
        <v>190.39</v>
      </c>
      <c r="Y333" s="4"/>
      <c r="Z333" s="4">
        <f ca="1">('TUSD BE'!$AM$23+'TUSD BF'!$AM$23+'TUSD CVA'!$AM$23-('TUSD BE'!$P$23+'TUSD BF'!$P$23+'TUSD CVA'!$P$23)-('TUSD BE'!$Q$23+'TUSD BF'!$Q$23+'TUSD CVA'!$Q$23)-('TUSD BE'!$R$23+'TUSD BF'!$R$23+'TUSD CVA'!$R$23))*(1-CUSTOS!$M$36)</f>
        <v>420.12432239552095</v>
      </c>
      <c r="AA333" s="4">
        <f>('TE BE'!$AB$14+'TE BF'!$AB$14+'TE CVA'!$AB$14)*(1-CUSTOS!$M$36)</f>
        <v>176.91188556936189</v>
      </c>
      <c r="AB333" s="4">
        <f>$K$333*$V$333</f>
        <v>0</v>
      </c>
      <c r="AC333" s="4">
        <f>$M$333*$W$333</f>
        <v>366.71039999999999</v>
      </c>
      <c r="AD333" s="4">
        <f>$O$333*$X$333</f>
        <v>183.34556999999998</v>
      </c>
      <c r="AE333" s="4">
        <f>$K$333*$Y$333</f>
        <v>0</v>
      </c>
      <c r="AF333" s="4">
        <f ca="1">$M$333*$Z$333</f>
        <v>404.57972246688666</v>
      </c>
      <c r="AG333" s="4">
        <f>$O$333*$AA$333</f>
        <v>170.3661458032955</v>
      </c>
    </row>
    <row r="334" spans="1:33" ht="11.25" customHeight="1" x14ac:dyDescent="0.25">
      <c r="A334" s="3" t="s">
        <v>21</v>
      </c>
      <c r="B334" s="3" t="s">
        <v>22</v>
      </c>
      <c r="C334" s="3" t="s">
        <v>23</v>
      </c>
      <c r="D334" s="3" t="s">
        <v>24</v>
      </c>
      <c r="E334" s="3" t="s">
        <v>31</v>
      </c>
      <c r="F334" s="3" t="s">
        <v>25</v>
      </c>
      <c r="G334" s="3" t="s">
        <v>25</v>
      </c>
      <c r="H334" s="3" t="s">
        <v>25</v>
      </c>
      <c r="I334" s="6">
        <v>44440</v>
      </c>
      <c r="J334" s="4">
        <v>0</v>
      </c>
      <c r="K334" s="4">
        <v>0</v>
      </c>
      <c r="L334" s="4">
        <v>0.84799999999999998</v>
      </c>
      <c r="M334" s="4">
        <v>0.84799999999999998</v>
      </c>
      <c r="N334" s="4">
        <v>0.84799999999999998</v>
      </c>
      <c r="O334" s="4">
        <v>0.84799999999999998</v>
      </c>
      <c r="P334" s="4">
        <v>9</v>
      </c>
      <c r="Q334" s="3" t="s">
        <v>26</v>
      </c>
      <c r="R334" s="3">
        <v>0</v>
      </c>
      <c r="S334" s="4">
        <v>0</v>
      </c>
      <c r="T334" s="4">
        <v>26</v>
      </c>
      <c r="U334" s="4">
        <v>73</v>
      </c>
      <c r="V334" s="4">
        <f>IF(ISERROR(VLOOKUP($S$334,'TAR FIN'!$A$1:$O$86,15,0)),0,VLOOKUP($S$334,'TAR FIN'!$A$1:$O$86,15,0))</f>
        <v>0</v>
      </c>
      <c r="W334" s="4">
        <f>IF(ISERROR(VLOOKUP($T$334,'TAR FIN'!$A$1:$O$86,15,0)),0,VLOOKUP($T$334,'TAR FIN'!$A$1:$O$86,15,0))</f>
        <v>380.8</v>
      </c>
      <c r="X334" s="4">
        <f>IF(ISERROR(VLOOKUP($U$334,'TAR FIN'!$A$1:$O$86,15,0)),0,VLOOKUP($U$334,'TAR FIN'!$A$1:$O$86,15,0))</f>
        <v>190.39</v>
      </c>
      <c r="Y334" s="4"/>
      <c r="Z334" s="4">
        <f ca="1">('TUSD BE'!$AM$23+'TUSD BF'!$AM$23+'TUSD CVA'!$AM$23-('TUSD BE'!$P$23+'TUSD BF'!$P$23+'TUSD CVA'!$P$23)-('TUSD BE'!$Q$23+'TUSD BF'!$Q$23+'TUSD CVA'!$Q$23)-('TUSD BE'!$R$23+'TUSD BF'!$R$23+'TUSD CVA'!$R$23))*(1-CUSTOS!$M$36)</f>
        <v>420.12432239552095</v>
      </c>
      <c r="AA334" s="4">
        <f>('TE BE'!$AB$14+'TE BF'!$AB$14+'TE CVA'!$AB$14)*(1-CUSTOS!$M$36)</f>
        <v>176.91188556936189</v>
      </c>
      <c r="AB334" s="4">
        <f>$K$334*$V$334</f>
        <v>0</v>
      </c>
      <c r="AC334" s="4">
        <f>$M$334*$W$334</f>
        <v>322.91840000000002</v>
      </c>
      <c r="AD334" s="4">
        <f>$O$334*$X$334</f>
        <v>161.45071999999999</v>
      </c>
      <c r="AE334" s="4">
        <f>$K$334*$Y$334</f>
        <v>0</v>
      </c>
      <c r="AF334" s="4">
        <f ca="1">$M$334*$Z$334</f>
        <v>356.26542539140178</v>
      </c>
      <c r="AG334" s="4">
        <f>$O$334*$AA$334</f>
        <v>150.02127896281888</v>
      </c>
    </row>
    <row r="335" spans="1:33" ht="11.25" customHeight="1" x14ac:dyDescent="0.25">
      <c r="A335" s="3" t="s">
        <v>21</v>
      </c>
      <c r="B335" s="3" t="s">
        <v>22</v>
      </c>
      <c r="C335" s="3" t="s">
        <v>23</v>
      </c>
      <c r="D335" s="3" t="s">
        <v>24</v>
      </c>
      <c r="E335" s="3" t="s">
        <v>31</v>
      </c>
      <c r="F335" s="3" t="s">
        <v>25</v>
      </c>
      <c r="G335" s="3" t="s">
        <v>25</v>
      </c>
      <c r="H335" s="3" t="s">
        <v>25</v>
      </c>
      <c r="I335" s="6">
        <v>44470</v>
      </c>
      <c r="J335" s="4">
        <v>0</v>
      </c>
      <c r="K335" s="4">
        <v>0</v>
      </c>
      <c r="L335" s="4">
        <v>1.123</v>
      </c>
      <c r="M335" s="4">
        <v>1.123</v>
      </c>
      <c r="N335" s="4">
        <v>1.123</v>
      </c>
      <c r="O335" s="4">
        <v>1.123</v>
      </c>
      <c r="P335" s="4">
        <v>10</v>
      </c>
      <c r="Q335" s="3" t="s">
        <v>26</v>
      </c>
      <c r="R335" s="3">
        <v>0</v>
      </c>
      <c r="S335" s="4">
        <v>0</v>
      </c>
      <c r="T335" s="4">
        <v>26</v>
      </c>
      <c r="U335" s="4">
        <v>73</v>
      </c>
      <c r="V335" s="4">
        <f>IF(ISERROR(VLOOKUP($S$335,'TAR FIN'!$A$1:$O$86,15,0)),0,VLOOKUP($S$335,'TAR FIN'!$A$1:$O$86,15,0))</f>
        <v>0</v>
      </c>
      <c r="W335" s="4">
        <f>IF(ISERROR(VLOOKUP($T$335,'TAR FIN'!$A$1:$O$86,15,0)),0,VLOOKUP($T$335,'TAR FIN'!$A$1:$O$86,15,0))</f>
        <v>380.8</v>
      </c>
      <c r="X335" s="4">
        <f>IF(ISERROR(VLOOKUP($U$335,'TAR FIN'!$A$1:$O$86,15,0)),0,VLOOKUP($U$335,'TAR FIN'!$A$1:$O$86,15,0))</f>
        <v>190.39</v>
      </c>
      <c r="Y335" s="4"/>
      <c r="Z335" s="4">
        <f ca="1">('TUSD BE'!$AM$23+'TUSD BF'!$AM$23+'TUSD CVA'!$AM$23-('TUSD BE'!$P$23+'TUSD BF'!$P$23+'TUSD CVA'!$P$23)-('TUSD BE'!$Q$23+'TUSD BF'!$Q$23+'TUSD CVA'!$Q$23)-('TUSD BE'!$R$23+'TUSD BF'!$R$23+'TUSD CVA'!$R$23))*(1-CUSTOS!$M$36)</f>
        <v>420.12432239552095</v>
      </c>
      <c r="AA335" s="4">
        <f>('TE BE'!$AB$14+'TE BF'!$AB$14+'TE CVA'!$AB$14)*(1-CUSTOS!$M$36)</f>
        <v>176.91188556936189</v>
      </c>
      <c r="AB335" s="4">
        <f>$K$335*$V$335</f>
        <v>0</v>
      </c>
      <c r="AC335" s="4">
        <f>$M$335*$W$335</f>
        <v>427.63839999999999</v>
      </c>
      <c r="AD335" s="4">
        <f>$O$335*$X$335</f>
        <v>213.80796999999998</v>
      </c>
      <c r="AE335" s="4">
        <f>$K$335*$Y$335</f>
        <v>0</v>
      </c>
      <c r="AF335" s="4">
        <f ca="1">$M$335*$Z$335</f>
        <v>471.79961405017002</v>
      </c>
      <c r="AG335" s="4">
        <f>$O$335*$AA$335</f>
        <v>198.67204749439341</v>
      </c>
    </row>
    <row r="336" spans="1:33" ht="11.25" customHeight="1" x14ac:dyDescent="0.25">
      <c r="A336" s="3" t="s">
        <v>21</v>
      </c>
      <c r="B336" s="3" t="s">
        <v>22</v>
      </c>
      <c r="C336" s="3" t="s">
        <v>23</v>
      </c>
      <c r="D336" s="3" t="s">
        <v>24</v>
      </c>
      <c r="E336" s="3" t="s">
        <v>31</v>
      </c>
      <c r="F336" s="3" t="s">
        <v>25</v>
      </c>
      <c r="G336" s="3" t="s">
        <v>25</v>
      </c>
      <c r="H336" s="3" t="s">
        <v>25</v>
      </c>
      <c r="I336" s="6">
        <v>44501</v>
      </c>
      <c r="J336" s="4">
        <v>0</v>
      </c>
      <c r="K336" s="4">
        <v>0</v>
      </c>
      <c r="L336" s="4">
        <v>0.91800000000000004</v>
      </c>
      <c r="M336" s="4">
        <v>0.91800000000000004</v>
      </c>
      <c r="N336" s="4">
        <v>0.91800000000000004</v>
      </c>
      <c r="O336" s="4">
        <v>0.91800000000000004</v>
      </c>
      <c r="P336" s="4">
        <v>10</v>
      </c>
      <c r="Q336" s="3" t="s">
        <v>26</v>
      </c>
      <c r="R336" s="3">
        <v>0</v>
      </c>
      <c r="S336" s="4">
        <v>0</v>
      </c>
      <c r="T336" s="4">
        <v>26</v>
      </c>
      <c r="U336" s="4">
        <v>73</v>
      </c>
      <c r="V336" s="4">
        <f>IF(ISERROR(VLOOKUP($S$336,'TAR FIN'!$A$1:$O$86,15,0)),0,VLOOKUP($S$336,'TAR FIN'!$A$1:$O$86,15,0))</f>
        <v>0</v>
      </c>
      <c r="W336" s="4">
        <f>IF(ISERROR(VLOOKUP($T$336,'TAR FIN'!$A$1:$O$86,15,0)),0,VLOOKUP($T$336,'TAR FIN'!$A$1:$O$86,15,0))</f>
        <v>380.8</v>
      </c>
      <c r="X336" s="4">
        <f>IF(ISERROR(VLOOKUP($U$336,'TAR FIN'!$A$1:$O$86,15,0)),0,VLOOKUP($U$336,'TAR FIN'!$A$1:$O$86,15,0))</f>
        <v>190.39</v>
      </c>
      <c r="Y336" s="4"/>
      <c r="Z336" s="4">
        <f ca="1">('TUSD BE'!$AM$23+'TUSD BF'!$AM$23+'TUSD CVA'!$AM$23-('TUSD BE'!$P$23+'TUSD BF'!$P$23+'TUSD CVA'!$P$23)-('TUSD BE'!$Q$23+'TUSD BF'!$Q$23+'TUSD CVA'!$Q$23)-('TUSD BE'!$R$23+'TUSD BF'!$R$23+'TUSD CVA'!$R$23))*(1-CUSTOS!$M$36)</f>
        <v>420.12432239552095</v>
      </c>
      <c r="AA336" s="4">
        <f>('TE BE'!$AB$14+'TE BF'!$AB$14+'TE CVA'!$AB$14)*(1-CUSTOS!$M$36)</f>
        <v>176.91188556936189</v>
      </c>
      <c r="AB336" s="4">
        <f>$K$336*$V$336</f>
        <v>0</v>
      </c>
      <c r="AC336" s="4">
        <f>$M$336*$W$336</f>
        <v>349.57440000000003</v>
      </c>
      <c r="AD336" s="4">
        <f>$O$336*$X$336</f>
        <v>174.77802</v>
      </c>
      <c r="AE336" s="4">
        <f>$K$336*$Y$336</f>
        <v>0</v>
      </c>
      <c r="AF336" s="4">
        <f ca="1">$M$336*$Z$336</f>
        <v>385.67412795908825</v>
      </c>
      <c r="AG336" s="4">
        <f>$O$336*$AA$336</f>
        <v>162.40511095267422</v>
      </c>
    </row>
    <row r="337" spans="1:33" ht="11.25" customHeight="1" x14ac:dyDescent="0.25">
      <c r="A337" s="3" t="s">
        <v>21</v>
      </c>
      <c r="B337" s="3" t="s">
        <v>22</v>
      </c>
      <c r="C337" s="3" t="s">
        <v>23</v>
      </c>
      <c r="D337" s="3" t="s">
        <v>24</v>
      </c>
      <c r="E337" s="3" t="s">
        <v>31</v>
      </c>
      <c r="F337" s="3" t="s">
        <v>25</v>
      </c>
      <c r="G337" s="3" t="s">
        <v>25</v>
      </c>
      <c r="H337" s="3" t="s">
        <v>25</v>
      </c>
      <c r="I337" s="6">
        <v>44531</v>
      </c>
      <c r="J337" s="4">
        <v>0</v>
      </c>
      <c r="K337" s="4">
        <v>0</v>
      </c>
      <c r="L337" s="4">
        <v>1.099</v>
      </c>
      <c r="M337" s="4">
        <v>1.099</v>
      </c>
      <c r="N337" s="4">
        <v>1.099</v>
      </c>
      <c r="O337" s="4">
        <v>1.099</v>
      </c>
      <c r="P337" s="4">
        <v>10</v>
      </c>
      <c r="Q337" s="3" t="s">
        <v>26</v>
      </c>
      <c r="R337" s="3">
        <v>0</v>
      </c>
      <c r="S337" s="4">
        <v>0</v>
      </c>
      <c r="T337" s="4">
        <v>26</v>
      </c>
      <c r="U337" s="4">
        <v>73</v>
      </c>
      <c r="V337" s="4">
        <f>IF(ISERROR(VLOOKUP($S$337,'TAR FIN'!$A$1:$O$86,15,0)),0,VLOOKUP($S$337,'TAR FIN'!$A$1:$O$86,15,0))</f>
        <v>0</v>
      </c>
      <c r="W337" s="4">
        <f>IF(ISERROR(VLOOKUP($T$337,'TAR FIN'!$A$1:$O$86,15,0)),0,VLOOKUP($T$337,'TAR FIN'!$A$1:$O$86,15,0))</f>
        <v>380.8</v>
      </c>
      <c r="X337" s="4">
        <f>IF(ISERROR(VLOOKUP($U$337,'TAR FIN'!$A$1:$O$86,15,0)),0,VLOOKUP($U$337,'TAR FIN'!$A$1:$O$86,15,0))</f>
        <v>190.39</v>
      </c>
      <c r="Y337" s="4"/>
      <c r="Z337" s="4">
        <f ca="1">('TUSD BE'!$AM$23+'TUSD BF'!$AM$23+'TUSD CVA'!$AM$23-('TUSD BE'!$P$23+'TUSD BF'!$P$23+'TUSD CVA'!$P$23)-('TUSD BE'!$Q$23+'TUSD BF'!$Q$23+'TUSD CVA'!$Q$23)-('TUSD BE'!$R$23+'TUSD BF'!$R$23+'TUSD CVA'!$R$23))*(1-CUSTOS!$M$36)</f>
        <v>420.12432239552095</v>
      </c>
      <c r="AA337" s="4">
        <f>('TE BE'!$AB$14+'TE BF'!$AB$14+'TE CVA'!$AB$14)*(1-CUSTOS!$M$36)</f>
        <v>176.91188556936189</v>
      </c>
      <c r="AB337" s="4">
        <f>$K$337*$V$337</f>
        <v>0</v>
      </c>
      <c r="AC337" s="4">
        <f>$M$337*$W$337</f>
        <v>418.49920000000003</v>
      </c>
      <c r="AD337" s="4">
        <f>$O$337*$X$337</f>
        <v>209.23860999999999</v>
      </c>
      <c r="AE337" s="4">
        <f>$K$337*$Y$337</f>
        <v>0</v>
      </c>
      <c r="AF337" s="4">
        <f ca="1">$M$337*$Z$337</f>
        <v>461.71663031267752</v>
      </c>
      <c r="AG337" s="4">
        <f>$O$337*$AA$337</f>
        <v>194.4261622407287</v>
      </c>
    </row>
    <row r="338" spans="1:33" ht="11.25" customHeight="1" x14ac:dyDescent="0.25">
      <c r="A338" s="3" t="s">
        <v>21</v>
      </c>
      <c r="B338" s="3" t="s">
        <v>22</v>
      </c>
      <c r="C338" s="3" t="s">
        <v>23</v>
      </c>
      <c r="D338" s="3" t="s">
        <v>24</v>
      </c>
      <c r="E338" s="3" t="s">
        <v>31</v>
      </c>
      <c r="F338" s="3" t="s">
        <v>25</v>
      </c>
      <c r="G338" s="3" t="s">
        <v>25</v>
      </c>
      <c r="H338" s="3" t="s">
        <v>25</v>
      </c>
      <c r="I338" s="6">
        <v>44562</v>
      </c>
      <c r="J338" s="4">
        <v>0</v>
      </c>
      <c r="K338" s="4">
        <v>0</v>
      </c>
      <c r="L338" s="4">
        <v>1.78</v>
      </c>
      <c r="M338" s="4">
        <v>1.78</v>
      </c>
      <c r="N338" s="4">
        <v>1.78</v>
      </c>
      <c r="O338" s="4">
        <v>1.78</v>
      </c>
      <c r="P338" s="4">
        <v>18</v>
      </c>
      <c r="Q338" s="3" t="s">
        <v>26</v>
      </c>
      <c r="R338" s="3">
        <v>0</v>
      </c>
      <c r="S338" s="4">
        <v>0</v>
      </c>
      <c r="T338" s="4">
        <v>26</v>
      </c>
      <c r="U338" s="4">
        <v>73</v>
      </c>
      <c r="V338" s="4">
        <f>IF(ISERROR(VLOOKUP($S$338,'TAR FIN'!$A$1:$O$86,15,0)),0,VLOOKUP($S$338,'TAR FIN'!$A$1:$O$86,15,0))</f>
        <v>0</v>
      </c>
      <c r="W338" s="4">
        <f>IF(ISERROR(VLOOKUP($T$338,'TAR FIN'!$A$1:$O$86,15,0)),0,VLOOKUP($T$338,'TAR FIN'!$A$1:$O$86,15,0))</f>
        <v>380.8</v>
      </c>
      <c r="X338" s="4">
        <f>IF(ISERROR(VLOOKUP($U$338,'TAR FIN'!$A$1:$O$86,15,0)),0,VLOOKUP($U$338,'TAR FIN'!$A$1:$O$86,15,0))</f>
        <v>190.39</v>
      </c>
      <c r="Y338" s="4"/>
      <c r="Z338" s="4">
        <f ca="1">('TUSD BE'!$AM$23+'TUSD BF'!$AM$23+'TUSD CVA'!$AM$23-('TUSD BE'!$P$23+'TUSD BF'!$P$23+'TUSD CVA'!$P$23)-('TUSD BE'!$Q$23+'TUSD BF'!$Q$23+'TUSD CVA'!$Q$23)-('TUSD BE'!$R$23+'TUSD BF'!$R$23+'TUSD CVA'!$R$23))*(1-CUSTOS!$M$36)</f>
        <v>420.12432239552095</v>
      </c>
      <c r="AA338" s="4">
        <f>('TE BE'!$AB$14+'TE BF'!$AB$14+'TE CVA'!$AB$14)*(1-CUSTOS!$M$36)</f>
        <v>176.91188556936189</v>
      </c>
      <c r="AB338" s="4">
        <f>$K$338*$V$338</f>
        <v>0</v>
      </c>
      <c r="AC338" s="4">
        <f>$M$338*$W$338</f>
        <v>677.82400000000007</v>
      </c>
      <c r="AD338" s="4">
        <f>$O$338*$X$338</f>
        <v>338.89419999999996</v>
      </c>
      <c r="AE338" s="4">
        <f>$K$338*$Y$338</f>
        <v>0</v>
      </c>
      <c r="AF338" s="4">
        <f ca="1">$M$338*$Z$338</f>
        <v>747.82129386402733</v>
      </c>
      <c r="AG338" s="4">
        <f>$O$338*$AA$338</f>
        <v>314.90315631346414</v>
      </c>
    </row>
    <row r="339" spans="1:33" ht="11.25" customHeight="1" x14ac:dyDescent="0.25">
      <c r="A339" s="3" t="s">
        <v>21</v>
      </c>
      <c r="B339" s="3" t="s">
        <v>22</v>
      </c>
      <c r="C339" s="3" t="s">
        <v>23</v>
      </c>
      <c r="D339" s="3" t="s">
        <v>24</v>
      </c>
      <c r="E339" s="3" t="s">
        <v>31</v>
      </c>
      <c r="F339" s="3" t="s">
        <v>25</v>
      </c>
      <c r="G339" s="3" t="s">
        <v>25</v>
      </c>
      <c r="H339" s="3" t="s">
        <v>25</v>
      </c>
      <c r="I339" s="6">
        <v>44593</v>
      </c>
      <c r="J339" s="4">
        <v>0</v>
      </c>
      <c r="K339" s="4">
        <v>0</v>
      </c>
      <c r="L339" s="4">
        <v>6.9859999999999998</v>
      </c>
      <c r="M339" s="4">
        <v>6.9859999999999998</v>
      </c>
      <c r="N339" s="4">
        <v>6.9859999999999998</v>
      </c>
      <c r="O339" s="4">
        <v>6.9859999999999998</v>
      </c>
      <c r="P339" s="4">
        <v>69</v>
      </c>
      <c r="Q339" s="3" t="s">
        <v>26</v>
      </c>
      <c r="R339" s="3">
        <v>0</v>
      </c>
      <c r="S339" s="4">
        <v>0</v>
      </c>
      <c r="T339" s="4">
        <v>26</v>
      </c>
      <c r="U339" s="4">
        <v>73</v>
      </c>
      <c r="V339" s="4">
        <f>IF(ISERROR(VLOOKUP($S$339,'TAR FIN'!$A$1:$O$86,15,0)),0,VLOOKUP($S$339,'TAR FIN'!$A$1:$O$86,15,0))</f>
        <v>0</v>
      </c>
      <c r="W339" s="4">
        <f>IF(ISERROR(VLOOKUP($T$339,'TAR FIN'!$A$1:$O$86,15,0)),0,VLOOKUP($T$339,'TAR FIN'!$A$1:$O$86,15,0))</f>
        <v>380.8</v>
      </c>
      <c r="X339" s="4">
        <f>IF(ISERROR(VLOOKUP($U$339,'TAR FIN'!$A$1:$O$86,15,0)),0,VLOOKUP($U$339,'TAR FIN'!$A$1:$O$86,15,0))</f>
        <v>190.39</v>
      </c>
      <c r="Y339" s="4"/>
      <c r="Z339" s="4">
        <f ca="1">('TUSD BE'!$AM$23+'TUSD BF'!$AM$23+'TUSD CVA'!$AM$23-('TUSD BE'!$P$23+'TUSD BF'!$P$23+'TUSD CVA'!$P$23)-('TUSD BE'!$Q$23+'TUSD BF'!$Q$23+'TUSD CVA'!$Q$23)-('TUSD BE'!$R$23+'TUSD BF'!$R$23+'TUSD CVA'!$R$23))*(1-CUSTOS!$M$36)</f>
        <v>420.12432239552095</v>
      </c>
      <c r="AA339" s="4">
        <f>('TE BE'!$AB$14+'TE BF'!$AB$14+'TE CVA'!$AB$14)*(1-CUSTOS!$M$36)</f>
        <v>176.91188556936189</v>
      </c>
      <c r="AB339" s="4">
        <f>$K$339*$V$339</f>
        <v>0</v>
      </c>
      <c r="AC339" s="4">
        <f>$M$339*$W$339</f>
        <v>2660.2687999999998</v>
      </c>
      <c r="AD339" s="4">
        <f>$O$339*$X$339</f>
        <v>1330.0645399999999</v>
      </c>
      <c r="AE339" s="4">
        <f>$K$339*$Y$339</f>
        <v>0</v>
      </c>
      <c r="AF339" s="4">
        <f ca="1">$M$339*$Z$339</f>
        <v>2934.9885162551091</v>
      </c>
      <c r="AG339" s="4">
        <f>$O$339*$AA$339</f>
        <v>1235.906432587562</v>
      </c>
    </row>
    <row r="340" spans="1:33" ht="11.25" customHeight="1" x14ac:dyDescent="0.25">
      <c r="A340" s="3" t="s">
        <v>21</v>
      </c>
      <c r="B340" s="3" t="s">
        <v>22</v>
      </c>
      <c r="C340" s="3" t="s">
        <v>23</v>
      </c>
      <c r="D340" s="3" t="s">
        <v>24</v>
      </c>
      <c r="E340" s="3" t="s">
        <v>31</v>
      </c>
      <c r="F340" s="3" t="s">
        <v>25</v>
      </c>
      <c r="G340" s="3" t="s">
        <v>25</v>
      </c>
      <c r="H340" s="3" t="s">
        <v>25</v>
      </c>
      <c r="I340" s="6">
        <v>44621</v>
      </c>
      <c r="J340" s="4">
        <v>0</v>
      </c>
      <c r="K340" s="4">
        <v>0</v>
      </c>
      <c r="L340" s="4">
        <v>9.4109999999999996</v>
      </c>
      <c r="M340" s="4">
        <v>9.4109999999999996</v>
      </c>
      <c r="N340" s="4">
        <v>9.4109999999999996</v>
      </c>
      <c r="O340" s="4">
        <v>9.4109999999999996</v>
      </c>
      <c r="P340" s="4">
        <v>98</v>
      </c>
      <c r="Q340" s="3" t="s">
        <v>26</v>
      </c>
      <c r="R340" s="3">
        <v>0</v>
      </c>
      <c r="S340" s="4">
        <v>0</v>
      </c>
      <c r="T340" s="4">
        <v>26</v>
      </c>
      <c r="U340" s="4">
        <v>73</v>
      </c>
      <c r="V340" s="4">
        <f>IF(ISERROR(VLOOKUP($S$340,'TAR FIN'!$A$1:$O$86,15,0)),0,VLOOKUP($S$340,'TAR FIN'!$A$1:$O$86,15,0))</f>
        <v>0</v>
      </c>
      <c r="W340" s="4">
        <f>IF(ISERROR(VLOOKUP($T$340,'TAR FIN'!$A$1:$O$86,15,0)),0,VLOOKUP($T$340,'TAR FIN'!$A$1:$O$86,15,0))</f>
        <v>380.8</v>
      </c>
      <c r="X340" s="4">
        <f>IF(ISERROR(VLOOKUP($U$340,'TAR FIN'!$A$1:$O$86,15,0)),0,VLOOKUP($U$340,'TAR FIN'!$A$1:$O$86,15,0))</f>
        <v>190.39</v>
      </c>
      <c r="Y340" s="4"/>
      <c r="Z340" s="4">
        <f ca="1">('TUSD BE'!$AM$23+'TUSD BF'!$AM$23+'TUSD CVA'!$AM$23-('TUSD BE'!$P$23+'TUSD BF'!$P$23+'TUSD CVA'!$P$23)-('TUSD BE'!$Q$23+'TUSD BF'!$Q$23+'TUSD CVA'!$Q$23)-('TUSD BE'!$R$23+'TUSD BF'!$R$23+'TUSD CVA'!$R$23))*(1-CUSTOS!$M$36)</f>
        <v>420.12432239552095</v>
      </c>
      <c r="AA340" s="4">
        <f>('TE BE'!$AB$14+'TE BF'!$AB$14+'TE CVA'!$AB$14)*(1-CUSTOS!$M$36)</f>
        <v>176.91188556936189</v>
      </c>
      <c r="AB340" s="4">
        <f>$K$340*$V$340</f>
        <v>0</v>
      </c>
      <c r="AC340" s="4">
        <f>$M$340*$W$340</f>
        <v>3583.7087999999999</v>
      </c>
      <c r="AD340" s="4">
        <f>$O$340*$X$340</f>
        <v>1791.7602899999997</v>
      </c>
      <c r="AE340" s="4">
        <f>$K$340*$Y$340</f>
        <v>0</v>
      </c>
      <c r="AF340" s="4">
        <f ca="1">$M$340*$Z$340</f>
        <v>3953.7899980642474</v>
      </c>
      <c r="AG340" s="4">
        <f>$O$340*$AA$340</f>
        <v>1664.9177550932645</v>
      </c>
    </row>
    <row r="341" spans="1:33" ht="11.25" customHeight="1" x14ac:dyDescent="0.25">
      <c r="A341" s="3" t="s">
        <v>21</v>
      </c>
      <c r="B341" s="3" t="s">
        <v>22</v>
      </c>
      <c r="C341" s="3" t="s">
        <v>23</v>
      </c>
      <c r="D341" s="3" t="s">
        <v>24</v>
      </c>
      <c r="E341" s="3" t="s">
        <v>31</v>
      </c>
      <c r="F341" s="3" t="s">
        <v>25</v>
      </c>
      <c r="G341" s="3" t="s">
        <v>25</v>
      </c>
      <c r="H341" s="3" t="s">
        <v>25</v>
      </c>
      <c r="I341" s="6">
        <v>44652</v>
      </c>
      <c r="J341" s="4">
        <v>0</v>
      </c>
      <c r="K341" s="4">
        <v>0</v>
      </c>
      <c r="L341" s="4">
        <v>9.6950000000000003</v>
      </c>
      <c r="M341" s="4">
        <v>9.6950000000000003</v>
      </c>
      <c r="N341" s="4">
        <v>9.6950000000000003</v>
      </c>
      <c r="O341" s="4">
        <v>9.6950000000000003</v>
      </c>
      <c r="P341" s="4">
        <v>96</v>
      </c>
      <c r="Q341" s="3" t="s">
        <v>26</v>
      </c>
      <c r="R341" s="3">
        <v>0</v>
      </c>
      <c r="S341" s="4">
        <v>0</v>
      </c>
      <c r="T341" s="4">
        <v>26</v>
      </c>
      <c r="U341" s="4">
        <v>73</v>
      </c>
      <c r="V341" s="4">
        <f>IF(ISERROR(VLOOKUP($S$341,'TAR FIN'!$A$1:$O$86,15,0)),0,VLOOKUP($S$341,'TAR FIN'!$A$1:$O$86,15,0))</f>
        <v>0</v>
      </c>
      <c r="W341" s="4">
        <f>IF(ISERROR(VLOOKUP($T$341,'TAR FIN'!$A$1:$O$86,15,0)),0,VLOOKUP($T$341,'TAR FIN'!$A$1:$O$86,15,0))</f>
        <v>380.8</v>
      </c>
      <c r="X341" s="4">
        <f>IF(ISERROR(VLOOKUP($U$341,'TAR FIN'!$A$1:$O$86,15,0)),0,VLOOKUP($U$341,'TAR FIN'!$A$1:$O$86,15,0))</f>
        <v>190.39</v>
      </c>
      <c r="Y341" s="4"/>
      <c r="Z341" s="4">
        <f ca="1">('TUSD BE'!$AM$23+'TUSD BF'!$AM$23+'TUSD CVA'!$AM$23-('TUSD BE'!$P$23+'TUSD BF'!$P$23+'TUSD CVA'!$P$23)-('TUSD BE'!$Q$23+'TUSD BF'!$Q$23+'TUSD CVA'!$Q$23)-('TUSD BE'!$R$23+'TUSD BF'!$R$23+'TUSD CVA'!$R$23))*(1-CUSTOS!$M$36)</f>
        <v>420.12432239552095</v>
      </c>
      <c r="AA341" s="4">
        <f>('TE BE'!$AB$14+'TE BF'!$AB$14+'TE CVA'!$AB$14)*(1-CUSTOS!$M$36)</f>
        <v>176.91188556936189</v>
      </c>
      <c r="AB341" s="4">
        <f>$K$341*$V$341</f>
        <v>0</v>
      </c>
      <c r="AC341" s="4">
        <f>$M$341*$W$341</f>
        <v>3691.8560000000002</v>
      </c>
      <c r="AD341" s="4">
        <f>$O$341*$X$341</f>
        <v>1845.83105</v>
      </c>
      <c r="AE341" s="4">
        <f>$K$341*$Y$341</f>
        <v>0</v>
      </c>
      <c r="AF341" s="4">
        <f ca="1">$M$341*$Z$341</f>
        <v>4073.1053056245755</v>
      </c>
      <c r="AG341" s="4">
        <f>$O$341*$AA$341</f>
        <v>1715.1607305949635</v>
      </c>
    </row>
    <row r="342" spans="1:33" ht="11.25" customHeight="1" x14ac:dyDescent="0.25">
      <c r="A342" s="3" t="s">
        <v>21</v>
      </c>
      <c r="B342" s="3" t="s">
        <v>22</v>
      </c>
      <c r="C342" s="3" t="s">
        <v>23</v>
      </c>
      <c r="D342" s="3" t="s">
        <v>24</v>
      </c>
      <c r="E342" s="3" t="s">
        <v>31</v>
      </c>
      <c r="F342" s="3" t="s">
        <v>25</v>
      </c>
      <c r="G342" s="3" t="s">
        <v>25</v>
      </c>
      <c r="H342" s="3" t="s">
        <v>25</v>
      </c>
      <c r="I342" s="6">
        <v>44682</v>
      </c>
      <c r="J342" s="4">
        <v>0</v>
      </c>
      <c r="K342" s="4">
        <v>0</v>
      </c>
      <c r="L342" s="4">
        <v>2.5819999999999999</v>
      </c>
      <c r="M342" s="4">
        <v>2.5819999999999999</v>
      </c>
      <c r="N342" s="4">
        <v>2.5819999999999999</v>
      </c>
      <c r="O342" s="4">
        <v>2.5819999999999999</v>
      </c>
      <c r="P342" s="4">
        <v>41</v>
      </c>
      <c r="Q342" s="3" t="s">
        <v>26</v>
      </c>
      <c r="R342" s="3">
        <v>0</v>
      </c>
      <c r="S342" s="4">
        <v>0</v>
      </c>
      <c r="T342" s="4">
        <v>26</v>
      </c>
      <c r="U342" s="4">
        <v>73</v>
      </c>
      <c r="V342" s="4">
        <f>IF(ISERROR(VLOOKUP($S$342,'TAR FIN'!$A$1:$O$86,15,0)),0,VLOOKUP($S$342,'TAR FIN'!$A$1:$O$86,15,0))</f>
        <v>0</v>
      </c>
      <c r="W342" s="4">
        <f>IF(ISERROR(VLOOKUP($T$342,'TAR FIN'!$A$1:$O$86,15,0)),0,VLOOKUP($T$342,'TAR FIN'!$A$1:$O$86,15,0))</f>
        <v>380.8</v>
      </c>
      <c r="X342" s="4">
        <f>IF(ISERROR(VLOOKUP($U$342,'TAR FIN'!$A$1:$O$86,15,0)),0,VLOOKUP($U$342,'TAR FIN'!$A$1:$O$86,15,0))</f>
        <v>190.39</v>
      </c>
      <c r="Y342" s="4"/>
      <c r="Z342" s="4">
        <f ca="1">('TUSD BE'!$AM$23+'TUSD BF'!$AM$23+'TUSD CVA'!$AM$23-('TUSD BE'!$P$23+'TUSD BF'!$P$23+'TUSD CVA'!$P$23)-('TUSD BE'!$Q$23+'TUSD BF'!$Q$23+'TUSD CVA'!$Q$23)-('TUSD BE'!$R$23+'TUSD BF'!$R$23+'TUSD CVA'!$R$23))*(1-CUSTOS!$M$36)</f>
        <v>420.12432239552095</v>
      </c>
      <c r="AA342" s="4">
        <f>('TE BE'!$AB$14+'TE BF'!$AB$14+'TE CVA'!$AB$14)*(1-CUSTOS!$M$36)</f>
        <v>176.91188556936189</v>
      </c>
      <c r="AB342" s="4">
        <f>$K$342*$V$342</f>
        <v>0</v>
      </c>
      <c r="AC342" s="4">
        <f>$M$342*$W$342</f>
        <v>983.22559999999999</v>
      </c>
      <c r="AD342" s="4">
        <f>$O$342*$X$342</f>
        <v>491.58697999999993</v>
      </c>
      <c r="AE342" s="4">
        <f>$K$342*$Y$342</f>
        <v>0</v>
      </c>
      <c r="AF342" s="4">
        <f ca="1">$M$342*$Z$342</f>
        <v>1084.7610004252351</v>
      </c>
      <c r="AG342" s="4">
        <f>$O$342*$AA$342</f>
        <v>456.78648854009236</v>
      </c>
    </row>
    <row r="343" spans="1:33" ht="11.25" customHeight="1" x14ac:dyDescent="0.25">
      <c r="A343" s="3" t="s">
        <v>21</v>
      </c>
      <c r="B343" s="3" t="s">
        <v>22</v>
      </c>
      <c r="C343" s="3" t="s">
        <v>23</v>
      </c>
      <c r="D343" s="3" t="s">
        <v>24</v>
      </c>
      <c r="E343" s="3" t="s">
        <v>31</v>
      </c>
      <c r="F343" s="3" t="s">
        <v>25</v>
      </c>
      <c r="G343" s="3" t="s">
        <v>25</v>
      </c>
      <c r="H343" s="3" t="s">
        <v>25</v>
      </c>
      <c r="I343" s="6">
        <v>44713</v>
      </c>
      <c r="J343" s="4">
        <v>0</v>
      </c>
      <c r="K343" s="4">
        <v>0</v>
      </c>
      <c r="L343" s="4">
        <v>3.0760000000000001</v>
      </c>
      <c r="M343" s="4">
        <v>3.0760000000000001</v>
      </c>
      <c r="N343" s="4">
        <v>3.0760000000000001</v>
      </c>
      <c r="O343" s="4">
        <v>3.0760000000000001</v>
      </c>
      <c r="P343" s="4">
        <v>39</v>
      </c>
      <c r="Q343" s="3" t="s">
        <v>26</v>
      </c>
      <c r="R343" s="3">
        <v>0</v>
      </c>
      <c r="S343" s="4">
        <v>0</v>
      </c>
      <c r="T343" s="4">
        <v>26</v>
      </c>
      <c r="U343" s="4">
        <v>73</v>
      </c>
      <c r="V343" s="4">
        <f>IF(ISERROR(VLOOKUP($S$343,'TAR FIN'!$A$1:$O$86,15,0)),0,VLOOKUP($S$343,'TAR FIN'!$A$1:$O$86,15,0))</f>
        <v>0</v>
      </c>
      <c r="W343" s="4">
        <f>IF(ISERROR(VLOOKUP($T$343,'TAR FIN'!$A$1:$O$86,15,0)),0,VLOOKUP($T$343,'TAR FIN'!$A$1:$O$86,15,0))</f>
        <v>380.8</v>
      </c>
      <c r="X343" s="4">
        <f>IF(ISERROR(VLOOKUP($U$343,'TAR FIN'!$A$1:$O$86,15,0)),0,VLOOKUP($U$343,'TAR FIN'!$A$1:$O$86,15,0))</f>
        <v>190.39</v>
      </c>
      <c r="Y343" s="4"/>
      <c r="Z343" s="4">
        <f ca="1">('TUSD BE'!$AM$23+'TUSD BF'!$AM$23+'TUSD CVA'!$AM$23-('TUSD BE'!$P$23+'TUSD BF'!$P$23+'TUSD CVA'!$P$23)-('TUSD BE'!$Q$23+'TUSD BF'!$Q$23+'TUSD CVA'!$Q$23)-('TUSD BE'!$R$23+'TUSD BF'!$R$23+'TUSD CVA'!$R$23))*(1-CUSTOS!$M$36)</f>
        <v>420.12432239552095</v>
      </c>
      <c r="AA343" s="4">
        <f>('TE BE'!$AB$14+'TE BF'!$AB$14+'TE CVA'!$AB$14)*(1-CUSTOS!$M$36)</f>
        <v>176.91188556936189</v>
      </c>
      <c r="AB343" s="4">
        <f>$K$343*$V$343</f>
        <v>0</v>
      </c>
      <c r="AC343" s="4">
        <f>$M$343*$W$343</f>
        <v>1171.3408000000002</v>
      </c>
      <c r="AD343" s="4">
        <f>$O$343*$X$343</f>
        <v>585.63963999999999</v>
      </c>
      <c r="AE343" s="4">
        <f>$K$343*$Y$343</f>
        <v>0</v>
      </c>
      <c r="AF343" s="4">
        <f ca="1">$M$343*$Z$343</f>
        <v>1292.3024156886224</v>
      </c>
      <c r="AG343" s="4">
        <f>$O$343*$AA$343</f>
        <v>544.18096001135712</v>
      </c>
    </row>
    <row r="344" spans="1:33" ht="11.25" customHeight="1" x14ac:dyDescent="0.25">
      <c r="A344" s="3" t="s">
        <v>21</v>
      </c>
      <c r="B344" s="3" t="s">
        <v>22</v>
      </c>
      <c r="C344" s="3" t="s">
        <v>23</v>
      </c>
      <c r="D344" s="3" t="s">
        <v>24</v>
      </c>
      <c r="E344" s="3" t="s">
        <v>32</v>
      </c>
      <c r="F344" s="3" t="s">
        <v>25</v>
      </c>
      <c r="G344" s="3" t="s">
        <v>25</v>
      </c>
      <c r="H344" s="3" t="s">
        <v>25</v>
      </c>
      <c r="I344" s="6">
        <v>44378</v>
      </c>
      <c r="J344" s="4">
        <v>0</v>
      </c>
      <c r="K344" s="4">
        <v>0</v>
      </c>
      <c r="L344" s="4">
        <v>0.153</v>
      </c>
      <c r="M344" s="4">
        <v>0.153</v>
      </c>
      <c r="N344" s="4">
        <v>0.153</v>
      </c>
      <c r="O344" s="4">
        <v>0.153</v>
      </c>
      <c r="P344" s="4">
        <v>2</v>
      </c>
      <c r="Q344" s="3" t="s">
        <v>26</v>
      </c>
      <c r="R344" s="3">
        <v>0</v>
      </c>
      <c r="S344" s="4">
        <v>0</v>
      </c>
      <c r="T344" s="4">
        <v>18</v>
      </c>
      <c r="U344" s="4">
        <v>52</v>
      </c>
      <c r="V344" s="4">
        <f>IF(ISERROR(VLOOKUP($S$344,'TAR FIN'!$A$1:$O$86,15,0)),0,VLOOKUP($S$344,'TAR FIN'!$A$1:$O$86,15,0))</f>
        <v>0</v>
      </c>
      <c r="W344" s="4">
        <f>IF(ISERROR(VLOOKUP($T$344,'TAR FIN'!$A$1:$O$86,15,0)),0,VLOOKUP($T$344,'TAR FIN'!$A$1:$O$86,15,0))</f>
        <v>423.11</v>
      </c>
      <c r="X344" s="4">
        <f>IF(ISERROR(VLOOKUP($U$344,'TAR FIN'!$A$1:$O$86,15,0)),0,VLOOKUP($U$344,'TAR FIN'!$A$1:$O$86,15,0))</f>
        <v>211.54</v>
      </c>
      <c r="Y344" s="4"/>
      <c r="Z344" s="4">
        <f ca="1">('TUSD BE'!$AM$24+'TUSD BF'!$AM$24+'TUSD CVA'!$AM$24-('TUSD BE'!$P$24+'TUSD BF'!$P$24+'TUSD CVA'!$P$24)-('TUSD BE'!$Q$24+'TUSD BF'!$Q$24+'TUSD CVA'!$Q$24)-('TUSD BE'!$R$24+'TUSD BF'!$R$24+'TUSD CVA'!$R$24))*(1-CUSTOS!$M$37)</f>
        <v>466.80480266168996</v>
      </c>
      <c r="AA344" s="4">
        <f>('TE BE'!$AB$15+'TE BF'!$AB$15+'TE CVA'!$AB$15)*(1-CUSTOS!$M$37)</f>
        <v>196.56876174373542</v>
      </c>
      <c r="AB344" s="4">
        <f>$K$344*$V$344</f>
        <v>0</v>
      </c>
      <c r="AC344" s="4">
        <f>$M$344*$W$344</f>
        <v>64.735830000000007</v>
      </c>
      <c r="AD344" s="4">
        <f>$O$344*$X$344</f>
        <v>32.36562</v>
      </c>
      <c r="AE344" s="4">
        <f>$K$344*$Y$344</f>
        <v>0</v>
      </c>
      <c r="AF344" s="4">
        <f ca="1">$M$344*$Z$344</f>
        <v>71.421134807238559</v>
      </c>
      <c r="AG344" s="4">
        <f>$O$344*$AA$344</f>
        <v>30.075020546791517</v>
      </c>
    </row>
    <row r="345" spans="1:33" ht="11.25" customHeight="1" x14ac:dyDescent="0.25">
      <c r="A345" s="3" t="s">
        <v>21</v>
      </c>
      <c r="B345" s="3" t="s">
        <v>22</v>
      </c>
      <c r="C345" s="3" t="s">
        <v>23</v>
      </c>
      <c r="D345" s="3" t="s">
        <v>24</v>
      </c>
      <c r="E345" s="3" t="s">
        <v>32</v>
      </c>
      <c r="F345" s="3" t="s">
        <v>25</v>
      </c>
      <c r="G345" s="3" t="s">
        <v>25</v>
      </c>
      <c r="H345" s="3" t="s">
        <v>25</v>
      </c>
      <c r="I345" s="6">
        <v>44409</v>
      </c>
      <c r="J345" s="4">
        <v>0</v>
      </c>
      <c r="K345" s="4">
        <v>0</v>
      </c>
      <c r="L345" s="4">
        <v>0.64600000000000002</v>
      </c>
      <c r="M345" s="4">
        <v>0.64600000000000002</v>
      </c>
      <c r="N345" s="4">
        <v>0.64600000000000002</v>
      </c>
      <c r="O345" s="4">
        <v>0.64600000000000002</v>
      </c>
      <c r="P345" s="4">
        <v>4</v>
      </c>
      <c r="Q345" s="3" t="s">
        <v>26</v>
      </c>
      <c r="R345" s="3">
        <v>0</v>
      </c>
      <c r="S345" s="4">
        <v>0</v>
      </c>
      <c r="T345" s="4">
        <v>18</v>
      </c>
      <c r="U345" s="4">
        <v>52</v>
      </c>
      <c r="V345" s="4">
        <f>IF(ISERROR(VLOOKUP($S$345,'TAR FIN'!$A$1:$O$86,15,0)),0,VLOOKUP($S$345,'TAR FIN'!$A$1:$O$86,15,0))</f>
        <v>0</v>
      </c>
      <c r="W345" s="4">
        <f>IF(ISERROR(VLOOKUP($T$345,'TAR FIN'!$A$1:$O$86,15,0)),0,VLOOKUP($T$345,'TAR FIN'!$A$1:$O$86,15,0))</f>
        <v>423.11</v>
      </c>
      <c r="X345" s="4">
        <f>IF(ISERROR(VLOOKUP($U$345,'TAR FIN'!$A$1:$O$86,15,0)),0,VLOOKUP($U$345,'TAR FIN'!$A$1:$O$86,15,0))</f>
        <v>211.54</v>
      </c>
      <c r="Y345" s="4"/>
      <c r="Z345" s="4">
        <f ca="1">('TUSD BE'!$AM$24+'TUSD BF'!$AM$24+'TUSD CVA'!$AM$24-('TUSD BE'!$P$24+'TUSD BF'!$P$24+'TUSD CVA'!$P$24)-('TUSD BE'!$Q$24+'TUSD BF'!$Q$24+'TUSD CVA'!$Q$24)-('TUSD BE'!$R$24+'TUSD BF'!$R$24+'TUSD CVA'!$R$24))*(1-CUSTOS!$M$37)</f>
        <v>466.80480266168996</v>
      </c>
      <c r="AA345" s="4">
        <f>('TE BE'!$AB$15+'TE BF'!$AB$15+'TE CVA'!$AB$15)*(1-CUSTOS!$M$37)</f>
        <v>196.56876174373542</v>
      </c>
      <c r="AB345" s="4">
        <f>$K$345*$V$345</f>
        <v>0</v>
      </c>
      <c r="AC345" s="4">
        <f>$M$345*$W$345</f>
        <v>273.32906000000003</v>
      </c>
      <c r="AD345" s="4">
        <f>$O$345*$X$345</f>
        <v>136.65484000000001</v>
      </c>
      <c r="AE345" s="4">
        <f>$K$345*$Y$345</f>
        <v>0</v>
      </c>
      <c r="AF345" s="4">
        <f ca="1">$M$345*$Z$345</f>
        <v>301.55590251945171</v>
      </c>
      <c r="AG345" s="4">
        <f>$O$345*$AA$345</f>
        <v>126.98342008645308</v>
      </c>
    </row>
    <row r="346" spans="1:33" ht="11.25" customHeight="1" x14ac:dyDescent="0.25">
      <c r="A346" s="3" t="s">
        <v>21</v>
      </c>
      <c r="B346" s="3" t="s">
        <v>22</v>
      </c>
      <c r="C346" s="3" t="s">
        <v>23</v>
      </c>
      <c r="D346" s="3" t="s">
        <v>24</v>
      </c>
      <c r="E346" s="3" t="s">
        <v>32</v>
      </c>
      <c r="F346" s="3" t="s">
        <v>25</v>
      </c>
      <c r="G346" s="3" t="s">
        <v>25</v>
      </c>
      <c r="H346" s="3" t="s">
        <v>25</v>
      </c>
      <c r="I346" s="6">
        <v>44440</v>
      </c>
      <c r="J346" s="4">
        <v>0</v>
      </c>
      <c r="K346" s="4">
        <v>0</v>
      </c>
      <c r="L346" s="4">
        <v>0.221</v>
      </c>
      <c r="M346" s="4">
        <v>0.221</v>
      </c>
      <c r="N346" s="4">
        <v>0.221</v>
      </c>
      <c r="O346" s="4">
        <v>0.221</v>
      </c>
      <c r="P346" s="4">
        <v>4</v>
      </c>
      <c r="Q346" s="3" t="s">
        <v>26</v>
      </c>
      <c r="R346" s="3">
        <v>0</v>
      </c>
      <c r="S346" s="4">
        <v>0</v>
      </c>
      <c r="T346" s="4">
        <v>18</v>
      </c>
      <c r="U346" s="4">
        <v>52</v>
      </c>
      <c r="V346" s="4">
        <f>IF(ISERROR(VLOOKUP($S$346,'TAR FIN'!$A$1:$O$86,15,0)),0,VLOOKUP($S$346,'TAR FIN'!$A$1:$O$86,15,0))</f>
        <v>0</v>
      </c>
      <c r="W346" s="4">
        <f>IF(ISERROR(VLOOKUP($T$346,'TAR FIN'!$A$1:$O$86,15,0)),0,VLOOKUP($T$346,'TAR FIN'!$A$1:$O$86,15,0))</f>
        <v>423.11</v>
      </c>
      <c r="X346" s="4">
        <f>IF(ISERROR(VLOOKUP($U$346,'TAR FIN'!$A$1:$O$86,15,0)),0,VLOOKUP($U$346,'TAR FIN'!$A$1:$O$86,15,0))</f>
        <v>211.54</v>
      </c>
      <c r="Y346" s="4"/>
      <c r="Z346" s="4">
        <f ca="1">('TUSD BE'!$AM$24+'TUSD BF'!$AM$24+'TUSD CVA'!$AM$24-('TUSD BE'!$P$24+'TUSD BF'!$P$24+'TUSD CVA'!$P$24)-('TUSD BE'!$Q$24+'TUSD BF'!$Q$24+'TUSD CVA'!$Q$24)-('TUSD BE'!$R$24+'TUSD BF'!$R$24+'TUSD CVA'!$R$24))*(1-CUSTOS!$M$37)</f>
        <v>466.80480266168996</v>
      </c>
      <c r="AA346" s="4">
        <f>('TE BE'!$AB$15+'TE BF'!$AB$15+'TE CVA'!$AB$15)*(1-CUSTOS!$M$37)</f>
        <v>196.56876174373542</v>
      </c>
      <c r="AB346" s="4">
        <f>$K$346*$V$346</f>
        <v>0</v>
      </c>
      <c r="AC346" s="4">
        <f>$M$346*$W$346</f>
        <v>93.507310000000004</v>
      </c>
      <c r="AD346" s="4">
        <f>$O$346*$X$346</f>
        <v>46.750340000000001</v>
      </c>
      <c r="AE346" s="4">
        <f>$K$346*$Y$346</f>
        <v>0</v>
      </c>
      <c r="AF346" s="4">
        <f ca="1">$M$346*$Z$346</f>
        <v>103.16386138823349</v>
      </c>
      <c r="AG346" s="4">
        <f>$O$346*$AA$346</f>
        <v>43.441696345365528</v>
      </c>
    </row>
    <row r="347" spans="1:33" ht="11.25" customHeight="1" x14ac:dyDescent="0.25">
      <c r="A347" s="3" t="s">
        <v>21</v>
      </c>
      <c r="B347" s="3" t="s">
        <v>22</v>
      </c>
      <c r="C347" s="3" t="s">
        <v>23</v>
      </c>
      <c r="D347" s="3" t="s">
        <v>24</v>
      </c>
      <c r="E347" s="3" t="s">
        <v>32</v>
      </c>
      <c r="F347" s="3" t="s">
        <v>25</v>
      </c>
      <c r="G347" s="3" t="s">
        <v>25</v>
      </c>
      <c r="H347" s="3" t="s">
        <v>25</v>
      </c>
      <c r="I347" s="6">
        <v>44470</v>
      </c>
      <c r="J347" s="4">
        <v>0</v>
      </c>
      <c r="K347" s="4">
        <v>0</v>
      </c>
      <c r="L347" s="4">
        <v>0.38200000000000001</v>
      </c>
      <c r="M347" s="4">
        <v>0.38200000000000001</v>
      </c>
      <c r="N347" s="4">
        <v>0.38200000000000001</v>
      </c>
      <c r="O347" s="4">
        <v>0.38200000000000001</v>
      </c>
      <c r="P347" s="4">
        <v>5</v>
      </c>
      <c r="Q347" s="3" t="s">
        <v>26</v>
      </c>
      <c r="R347" s="3">
        <v>0</v>
      </c>
      <c r="S347" s="4">
        <v>0</v>
      </c>
      <c r="T347" s="4">
        <v>18</v>
      </c>
      <c r="U347" s="4">
        <v>52</v>
      </c>
      <c r="V347" s="4">
        <f>IF(ISERROR(VLOOKUP($S$347,'TAR FIN'!$A$1:$O$86,15,0)),0,VLOOKUP($S$347,'TAR FIN'!$A$1:$O$86,15,0))</f>
        <v>0</v>
      </c>
      <c r="W347" s="4">
        <f>IF(ISERROR(VLOOKUP($T$347,'TAR FIN'!$A$1:$O$86,15,0)),0,VLOOKUP($T$347,'TAR FIN'!$A$1:$O$86,15,0))</f>
        <v>423.11</v>
      </c>
      <c r="X347" s="4">
        <f>IF(ISERROR(VLOOKUP($U$347,'TAR FIN'!$A$1:$O$86,15,0)),0,VLOOKUP($U$347,'TAR FIN'!$A$1:$O$86,15,0))</f>
        <v>211.54</v>
      </c>
      <c r="Y347" s="4"/>
      <c r="Z347" s="4">
        <f ca="1">('TUSD BE'!$AM$24+'TUSD BF'!$AM$24+'TUSD CVA'!$AM$24-('TUSD BE'!$P$24+'TUSD BF'!$P$24+'TUSD CVA'!$P$24)-('TUSD BE'!$Q$24+'TUSD BF'!$Q$24+'TUSD CVA'!$Q$24)-('TUSD BE'!$R$24+'TUSD BF'!$R$24+'TUSD CVA'!$R$24))*(1-CUSTOS!$M$37)</f>
        <v>466.80480266168996</v>
      </c>
      <c r="AA347" s="4">
        <f>('TE BE'!$AB$15+'TE BF'!$AB$15+'TE CVA'!$AB$15)*(1-CUSTOS!$M$37)</f>
        <v>196.56876174373542</v>
      </c>
      <c r="AB347" s="4">
        <f>$K$347*$V$347</f>
        <v>0</v>
      </c>
      <c r="AC347" s="4">
        <f>$M$347*$W$347</f>
        <v>161.62802000000002</v>
      </c>
      <c r="AD347" s="4">
        <f>$O$347*$X$347</f>
        <v>80.808279999999996</v>
      </c>
      <c r="AE347" s="4">
        <f>$K$347*$Y$347</f>
        <v>0</v>
      </c>
      <c r="AF347" s="4">
        <f ca="1">$M$347*$Z$347</f>
        <v>178.31943461676556</v>
      </c>
      <c r="AG347" s="4">
        <f>$O$347*$AA$347</f>
        <v>75.089266986106935</v>
      </c>
    </row>
    <row r="348" spans="1:33" ht="11.25" customHeight="1" x14ac:dyDescent="0.25">
      <c r="A348" s="3" t="s">
        <v>21</v>
      </c>
      <c r="B348" s="3" t="s">
        <v>22</v>
      </c>
      <c r="C348" s="3" t="s">
        <v>23</v>
      </c>
      <c r="D348" s="3" t="s">
        <v>24</v>
      </c>
      <c r="E348" s="3" t="s">
        <v>32</v>
      </c>
      <c r="F348" s="3" t="s">
        <v>25</v>
      </c>
      <c r="G348" s="3" t="s">
        <v>25</v>
      </c>
      <c r="H348" s="3" t="s">
        <v>25</v>
      </c>
      <c r="I348" s="6">
        <v>44501</v>
      </c>
      <c r="J348" s="4">
        <v>0</v>
      </c>
      <c r="K348" s="4">
        <v>0</v>
      </c>
      <c r="L348" s="4">
        <v>0.182</v>
      </c>
      <c r="M348" s="4">
        <v>0.182</v>
      </c>
      <c r="N348" s="4">
        <v>0.182</v>
      </c>
      <c r="O348" s="4">
        <v>0.182</v>
      </c>
      <c r="P348" s="4">
        <v>4</v>
      </c>
      <c r="Q348" s="3" t="s">
        <v>26</v>
      </c>
      <c r="R348" s="3">
        <v>0</v>
      </c>
      <c r="S348" s="4">
        <v>0</v>
      </c>
      <c r="T348" s="4">
        <v>18</v>
      </c>
      <c r="U348" s="4">
        <v>52</v>
      </c>
      <c r="V348" s="4">
        <f>IF(ISERROR(VLOOKUP($S$348,'TAR FIN'!$A$1:$O$86,15,0)),0,VLOOKUP($S$348,'TAR FIN'!$A$1:$O$86,15,0))</f>
        <v>0</v>
      </c>
      <c r="W348" s="4">
        <f>IF(ISERROR(VLOOKUP($T$348,'TAR FIN'!$A$1:$O$86,15,0)),0,VLOOKUP($T$348,'TAR FIN'!$A$1:$O$86,15,0))</f>
        <v>423.11</v>
      </c>
      <c r="X348" s="4">
        <f>IF(ISERROR(VLOOKUP($U$348,'TAR FIN'!$A$1:$O$86,15,0)),0,VLOOKUP($U$348,'TAR FIN'!$A$1:$O$86,15,0))</f>
        <v>211.54</v>
      </c>
      <c r="Y348" s="4"/>
      <c r="Z348" s="4">
        <f ca="1">('TUSD BE'!$AM$24+'TUSD BF'!$AM$24+'TUSD CVA'!$AM$24-('TUSD BE'!$P$24+'TUSD BF'!$P$24+'TUSD CVA'!$P$24)-('TUSD BE'!$Q$24+'TUSD BF'!$Q$24+'TUSD CVA'!$Q$24)-('TUSD BE'!$R$24+'TUSD BF'!$R$24+'TUSD CVA'!$R$24))*(1-CUSTOS!$M$37)</f>
        <v>466.80480266168996</v>
      </c>
      <c r="AA348" s="4">
        <f>('TE BE'!$AB$15+'TE BF'!$AB$15+'TE CVA'!$AB$15)*(1-CUSTOS!$M$37)</f>
        <v>196.56876174373542</v>
      </c>
      <c r="AB348" s="4">
        <f>$K$348*$V$348</f>
        <v>0</v>
      </c>
      <c r="AC348" s="4">
        <f>$M$348*$W$348</f>
        <v>77.006020000000007</v>
      </c>
      <c r="AD348" s="4">
        <f>$O$348*$X$348</f>
        <v>38.500279999999997</v>
      </c>
      <c r="AE348" s="4">
        <f>$K$348*$Y$348</f>
        <v>0</v>
      </c>
      <c r="AF348" s="4">
        <f ca="1">$M$348*$Z$348</f>
        <v>84.958474084427564</v>
      </c>
      <c r="AG348" s="4">
        <f>$O$348*$AA$348</f>
        <v>35.775514637359848</v>
      </c>
    </row>
    <row r="349" spans="1:33" ht="11.25" customHeight="1" x14ac:dyDescent="0.25">
      <c r="A349" s="3" t="s">
        <v>21</v>
      </c>
      <c r="B349" s="3" t="s">
        <v>22</v>
      </c>
      <c r="C349" s="3" t="s">
        <v>23</v>
      </c>
      <c r="D349" s="3" t="s">
        <v>24</v>
      </c>
      <c r="E349" s="3" t="s">
        <v>32</v>
      </c>
      <c r="F349" s="3" t="s">
        <v>25</v>
      </c>
      <c r="G349" s="3" t="s">
        <v>25</v>
      </c>
      <c r="H349" s="3" t="s">
        <v>25</v>
      </c>
      <c r="I349" s="6">
        <v>44531</v>
      </c>
      <c r="J349" s="4">
        <v>0</v>
      </c>
      <c r="K349" s="4">
        <v>0</v>
      </c>
      <c r="L349" s="4">
        <v>0.24399999999999999</v>
      </c>
      <c r="M349" s="4">
        <v>0.24399999999999999</v>
      </c>
      <c r="N349" s="4">
        <v>0.24399999999999999</v>
      </c>
      <c r="O349" s="4">
        <v>0.24399999999999999</v>
      </c>
      <c r="P349" s="4">
        <v>4</v>
      </c>
      <c r="Q349" s="3" t="s">
        <v>26</v>
      </c>
      <c r="R349" s="3">
        <v>0</v>
      </c>
      <c r="S349" s="4">
        <v>0</v>
      </c>
      <c r="T349" s="4">
        <v>18</v>
      </c>
      <c r="U349" s="4">
        <v>52</v>
      </c>
      <c r="V349" s="4">
        <f>IF(ISERROR(VLOOKUP($S$349,'TAR FIN'!$A$1:$O$86,15,0)),0,VLOOKUP($S$349,'TAR FIN'!$A$1:$O$86,15,0))</f>
        <v>0</v>
      </c>
      <c r="W349" s="4">
        <f>IF(ISERROR(VLOOKUP($T$349,'TAR FIN'!$A$1:$O$86,15,0)),0,VLOOKUP($T$349,'TAR FIN'!$A$1:$O$86,15,0))</f>
        <v>423.11</v>
      </c>
      <c r="X349" s="4">
        <f>IF(ISERROR(VLOOKUP($U$349,'TAR FIN'!$A$1:$O$86,15,0)),0,VLOOKUP($U$349,'TAR FIN'!$A$1:$O$86,15,0))</f>
        <v>211.54</v>
      </c>
      <c r="Y349" s="4"/>
      <c r="Z349" s="4">
        <f ca="1">('TUSD BE'!$AM$24+'TUSD BF'!$AM$24+'TUSD CVA'!$AM$24-('TUSD BE'!$P$24+'TUSD BF'!$P$24+'TUSD CVA'!$P$24)-('TUSD BE'!$Q$24+'TUSD BF'!$Q$24+'TUSD CVA'!$Q$24)-('TUSD BE'!$R$24+'TUSD BF'!$R$24+'TUSD CVA'!$R$24))*(1-CUSTOS!$M$37)</f>
        <v>466.80480266168996</v>
      </c>
      <c r="AA349" s="4">
        <f>('TE BE'!$AB$15+'TE BF'!$AB$15+'TE CVA'!$AB$15)*(1-CUSTOS!$M$37)</f>
        <v>196.56876174373542</v>
      </c>
      <c r="AB349" s="4">
        <f>$K$349*$V$349</f>
        <v>0</v>
      </c>
      <c r="AC349" s="4">
        <f>$M$349*$W$349</f>
        <v>103.23884</v>
      </c>
      <c r="AD349" s="4">
        <f>$O$349*$X$349</f>
        <v>51.615759999999995</v>
      </c>
      <c r="AE349" s="4">
        <f>$K$349*$Y$349</f>
        <v>0</v>
      </c>
      <c r="AF349" s="4">
        <f ca="1">$M$349*$Z$349</f>
        <v>113.90037184945234</v>
      </c>
      <c r="AG349" s="4">
        <f>$O$349*$AA$349</f>
        <v>47.962777865471445</v>
      </c>
    </row>
    <row r="350" spans="1:33" ht="11.25" customHeight="1" x14ac:dyDescent="0.25">
      <c r="A350" s="3" t="s">
        <v>21</v>
      </c>
      <c r="B350" s="3" t="s">
        <v>22</v>
      </c>
      <c r="C350" s="3" t="s">
        <v>23</v>
      </c>
      <c r="D350" s="3" t="s">
        <v>24</v>
      </c>
      <c r="E350" s="3" t="s">
        <v>32</v>
      </c>
      <c r="F350" s="3" t="s">
        <v>25</v>
      </c>
      <c r="G350" s="3" t="s">
        <v>25</v>
      </c>
      <c r="H350" s="3" t="s">
        <v>25</v>
      </c>
      <c r="I350" s="6">
        <v>44562</v>
      </c>
      <c r="J350" s="4">
        <v>0</v>
      </c>
      <c r="K350" s="4">
        <v>0</v>
      </c>
      <c r="L350" s="4">
        <v>0.30199999999999999</v>
      </c>
      <c r="M350" s="4">
        <v>0.30199999999999999</v>
      </c>
      <c r="N350" s="4">
        <v>0.30199999999999999</v>
      </c>
      <c r="O350" s="4">
        <v>0.30199999999999999</v>
      </c>
      <c r="P350" s="4">
        <v>6</v>
      </c>
      <c r="Q350" s="3" t="s">
        <v>26</v>
      </c>
      <c r="R350" s="3">
        <v>0</v>
      </c>
      <c r="S350" s="4">
        <v>0</v>
      </c>
      <c r="T350" s="4">
        <v>18</v>
      </c>
      <c r="U350" s="4">
        <v>52</v>
      </c>
      <c r="V350" s="4">
        <f>IF(ISERROR(VLOOKUP($S$350,'TAR FIN'!$A$1:$O$86,15,0)),0,VLOOKUP($S$350,'TAR FIN'!$A$1:$O$86,15,0))</f>
        <v>0</v>
      </c>
      <c r="W350" s="4">
        <f>IF(ISERROR(VLOOKUP($T$350,'TAR FIN'!$A$1:$O$86,15,0)),0,VLOOKUP($T$350,'TAR FIN'!$A$1:$O$86,15,0))</f>
        <v>423.11</v>
      </c>
      <c r="X350" s="4">
        <f>IF(ISERROR(VLOOKUP($U$350,'TAR FIN'!$A$1:$O$86,15,0)),0,VLOOKUP($U$350,'TAR FIN'!$A$1:$O$86,15,0))</f>
        <v>211.54</v>
      </c>
      <c r="Y350" s="4"/>
      <c r="Z350" s="4">
        <f ca="1">('TUSD BE'!$AM$24+'TUSD BF'!$AM$24+'TUSD CVA'!$AM$24-('TUSD BE'!$P$24+'TUSD BF'!$P$24+'TUSD CVA'!$P$24)-('TUSD BE'!$Q$24+'TUSD BF'!$Q$24+'TUSD CVA'!$Q$24)-('TUSD BE'!$R$24+'TUSD BF'!$R$24+'TUSD CVA'!$R$24))*(1-CUSTOS!$M$37)</f>
        <v>466.80480266168996</v>
      </c>
      <c r="AA350" s="4">
        <f>('TE BE'!$AB$15+'TE BF'!$AB$15+'TE CVA'!$AB$15)*(1-CUSTOS!$M$37)</f>
        <v>196.56876174373542</v>
      </c>
      <c r="AB350" s="4">
        <f>$K$350*$V$350</f>
        <v>0</v>
      </c>
      <c r="AC350" s="4">
        <f>$M$350*$W$350</f>
        <v>127.77922</v>
      </c>
      <c r="AD350" s="4">
        <f>$O$350*$X$350</f>
        <v>63.885079999999995</v>
      </c>
      <c r="AE350" s="4">
        <f>$K$350*$Y$350</f>
        <v>0</v>
      </c>
      <c r="AF350" s="4">
        <f ca="1">$M$350*$Z$350</f>
        <v>140.97505040383035</v>
      </c>
      <c r="AG350" s="4">
        <f>$O$350*$AA$350</f>
        <v>59.363766046608099</v>
      </c>
    </row>
    <row r="351" spans="1:33" ht="11.25" customHeight="1" x14ac:dyDescent="0.25">
      <c r="A351" s="3" t="s">
        <v>21</v>
      </c>
      <c r="B351" s="3" t="s">
        <v>22</v>
      </c>
      <c r="C351" s="3" t="s">
        <v>23</v>
      </c>
      <c r="D351" s="3" t="s">
        <v>24</v>
      </c>
      <c r="E351" s="3" t="s">
        <v>32</v>
      </c>
      <c r="F351" s="3" t="s">
        <v>25</v>
      </c>
      <c r="G351" s="3" t="s">
        <v>25</v>
      </c>
      <c r="H351" s="3" t="s">
        <v>25</v>
      </c>
      <c r="I351" s="6">
        <v>44593</v>
      </c>
      <c r="J351" s="4">
        <v>0</v>
      </c>
      <c r="K351" s="4">
        <v>0</v>
      </c>
      <c r="L351" s="4">
        <v>1.462</v>
      </c>
      <c r="M351" s="4">
        <v>1.462</v>
      </c>
      <c r="N351" s="4">
        <v>1.462</v>
      </c>
      <c r="O351" s="4">
        <v>1.462</v>
      </c>
      <c r="P351" s="4">
        <v>29</v>
      </c>
      <c r="Q351" s="3" t="s">
        <v>26</v>
      </c>
      <c r="R351" s="3">
        <v>0</v>
      </c>
      <c r="S351" s="4">
        <v>0</v>
      </c>
      <c r="T351" s="4">
        <v>18</v>
      </c>
      <c r="U351" s="4">
        <v>52</v>
      </c>
      <c r="V351" s="4">
        <f>IF(ISERROR(VLOOKUP($S$351,'TAR FIN'!$A$1:$O$86,15,0)),0,VLOOKUP($S$351,'TAR FIN'!$A$1:$O$86,15,0))</f>
        <v>0</v>
      </c>
      <c r="W351" s="4">
        <f>IF(ISERROR(VLOOKUP($T$351,'TAR FIN'!$A$1:$O$86,15,0)),0,VLOOKUP($T$351,'TAR FIN'!$A$1:$O$86,15,0))</f>
        <v>423.11</v>
      </c>
      <c r="X351" s="4">
        <f>IF(ISERROR(VLOOKUP($U$351,'TAR FIN'!$A$1:$O$86,15,0)),0,VLOOKUP($U$351,'TAR FIN'!$A$1:$O$86,15,0))</f>
        <v>211.54</v>
      </c>
      <c r="Y351" s="4"/>
      <c r="Z351" s="4">
        <f ca="1">('TUSD BE'!$AM$24+'TUSD BF'!$AM$24+'TUSD CVA'!$AM$24-('TUSD BE'!$P$24+'TUSD BF'!$P$24+'TUSD CVA'!$P$24)-('TUSD BE'!$Q$24+'TUSD BF'!$Q$24+'TUSD CVA'!$Q$24)-('TUSD BE'!$R$24+'TUSD BF'!$R$24+'TUSD CVA'!$R$24))*(1-CUSTOS!$M$37)</f>
        <v>466.80480266168996</v>
      </c>
      <c r="AA351" s="4">
        <f>('TE BE'!$AB$15+'TE BF'!$AB$15+'TE CVA'!$AB$15)*(1-CUSTOS!$M$37)</f>
        <v>196.56876174373542</v>
      </c>
      <c r="AB351" s="4">
        <f>$K$351*$V$351</f>
        <v>0</v>
      </c>
      <c r="AC351" s="4">
        <f>$M$351*$W$351</f>
        <v>618.58681999999999</v>
      </c>
      <c r="AD351" s="4">
        <f>$O$351*$X$351</f>
        <v>309.27148</v>
      </c>
      <c r="AE351" s="4">
        <f>$K$351*$Y$351</f>
        <v>0</v>
      </c>
      <c r="AF351" s="4">
        <f ca="1">$M$351*$Z$351</f>
        <v>682.46862149139076</v>
      </c>
      <c r="AG351" s="4">
        <f>$O$351*$AA$351</f>
        <v>287.38352966934116</v>
      </c>
    </row>
    <row r="352" spans="1:33" ht="11.25" customHeight="1" x14ac:dyDescent="0.25">
      <c r="A352" s="3" t="s">
        <v>21</v>
      </c>
      <c r="B352" s="3" t="s">
        <v>22</v>
      </c>
      <c r="C352" s="3" t="s">
        <v>23</v>
      </c>
      <c r="D352" s="3" t="s">
        <v>24</v>
      </c>
      <c r="E352" s="3" t="s">
        <v>32</v>
      </c>
      <c r="F352" s="3" t="s">
        <v>25</v>
      </c>
      <c r="G352" s="3" t="s">
        <v>25</v>
      </c>
      <c r="H352" s="3" t="s">
        <v>25</v>
      </c>
      <c r="I352" s="6">
        <v>44621</v>
      </c>
      <c r="J352" s="4">
        <v>0</v>
      </c>
      <c r="K352" s="4">
        <v>0</v>
      </c>
      <c r="L352" s="4">
        <v>1.6459999999999999</v>
      </c>
      <c r="M352" s="4">
        <v>1.6459999999999999</v>
      </c>
      <c r="N352" s="4">
        <v>1.6459999999999999</v>
      </c>
      <c r="O352" s="4">
        <v>1.6459999999999999</v>
      </c>
      <c r="P352" s="4">
        <v>34</v>
      </c>
      <c r="Q352" s="3" t="s">
        <v>26</v>
      </c>
      <c r="R352" s="3">
        <v>0</v>
      </c>
      <c r="S352" s="4">
        <v>0</v>
      </c>
      <c r="T352" s="4">
        <v>18</v>
      </c>
      <c r="U352" s="4">
        <v>52</v>
      </c>
      <c r="V352" s="4">
        <f>IF(ISERROR(VLOOKUP($S$352,'TAR FIN'!$A$1:$O$86,15,0)),0,VLOOKUP($S$352,'TAR FIN'!$A$1:$O$86,15,0))</f>
        <v>0</v>
      </c>
      <c r="W352" s="4">
        <f>IF(ISERROR(VLOOKUP($T$352,'TAR FIN'!$A$1:$O$86,15,0)),0,VLOOKUP($T$352,'TAR FIN'!$A$1:$O$86,15,0))</f>
        <v>423.11</v>
      </c>
      <c r="X352" s="4">
        <f>IF(ISERROR(VLOOKUP($U$352,'TAR FIN'!$A$1:$O$86,15,0)),0,VLOOKUP($U$352,'TAR FIN'!$A$1:$O$86,15,0))</f>
        <v>211.54</v>
      </c>
      <c r="Y352" s="4"/>
      <c r="Z352" s="4">
        <f ca="1">('TUSD BE'!$AM$24+'TUSD BF'!$AM$24+'TUSD CVA'!$AM$24-('TUSD BE'!$P$24+'TUSD BF'!$P$24+'TUSD CVA'!$P$24)-('TUSD BE'!$Q$24+'TUSD BF'!$Q$24+'TUSD CVA'!$Q$24)-('TUSD BE'!$R$24+'TUSD BF'!$R$24+'TUSD CVA'!$R$24))*(1-CUSTOS!$M$37)</f>
        <v>466.80480266168996</v>
      </c>
      <c r="AA352" s="4">
        <f>('TE BE'!$AB$15+'TE BF'!$AB$15+'TE CVA'!$AB$15)*(1-CUSTOS!$M$37)</f>
        <v>196.56876174373542</v>
      </c>
      <c r="AB352" s="4">
        <f>$K$352*$V$352</f>
        <v>0</v>
      </c>
      <c r="AC352" s="4">
        <f>$M$352*$W$352</f>
        <v>696.43905999999993</v>
      </c>
      <c r="AD352" s="4">
        <f>$O$352*$X$352</f>
        <v>348.19483999999994</v>
      </c>
      <c r="AE352" s="4">
        <f>$K$352*$Y$352</f>
        <v>0</v>
      </c>
      <c r="AF352" s="4">
        <f ca="1">$M$352*$Z$352</f>
        <v>768.36070518114161</v>
      </c>
      <c r="AG352" s="4">
        <f>$O$352*$AA$352</f>
        <v>323.55218183018849</v>
      </c>
    </row>
    <row r="353" spans="1:33" ht="11.25" customHeight="1" x14ac:dyDescent="0.25">
      <c r="A353" s="3" t="s">
        <v>21</v>
      </c>
      <c r="B353" s="3" t="s">
        <v>22</v>
      </c>
      <c r="C353" s="3" t="s">
        <v>23</v>
      </c>
      <c r="D353" s="3" t="s">
        <v>24</v>
      </c>
      <c r="E353" s="3" t="s">
        <v>32</v>
      </c>
      <c r="F353" s="3" t="s">
        <v>25</v>
      </c>
      <c r="G353" s="3" t="s">
        <v>25</v>
      </c>
      <c r="H353" s="3" t="s">
        <v>25</v>
      </c>
      <c r="I353" s="6">
        <v>44652</v>
      </c>
      <c r="J353" s="4">
        <v>0</v>
      </c>
      <c r="K353" s="4">
        <v>0</v>
      </c>
      <c r="L353" s="4">
        <v>2.661</v>
      </c>
      <c r="M353" s="4">
        <v>2.661</v>
      </c>
      <c r="N353" s="4">
        <v>2.661</v>
      </c>
      <c r="O353" s="4">
        <v>2.661</v>
      </c>
      <c r="P353" s="4">
        <v>37</v>
      </c>
      <c r="Q353" s="3" t="s">
        <v>26</v>
      </c>
      <c r="R353" s="3">
        <v>0</v>
      </c>
      <c r="S353" s="4">
        <v>0</v>
      </c>
      <c r="T353" s="4">
        <v>18</v>
      </c>
      <c r="U353" s="4">
        <v>52</v>
      </c>
      <c r="V353" s="4">
        <f>IF(ISERROR(VLOOKUP($S$353,'TAR FIN'!$A$1:$O$86,15,0)),0,VLOOKUP($S$353,'TAR FIN'!$A$1:$O$86,15,0))</f>
        <v>0</v>
      </c>
      <c r="W353" s="4">
        <f>IF(ISERROR(VLOOKUP($T$353,'TAR FIN'!$A$1:$O$86,15,0)),0,VLOOKUP($T$353,'TAR FIN'!$A$1:$O$86,15,0))</f>
        <v>423.11</v>
      </c>
      <c r="X353" s="4">
        <f>IF(ISERROR(VLOOKUP($U$353,'TAR FIN'!$A$1:$O$86,15,0)),0,VLOOKUP($U$353,'TAR FIN'!$A$1:$O$86,15,0))</f>
        <v>211.54</v>
      </c>
      <c r="Y353" s="4"/>
      <c r="Z353" s="4">
        <f ca="1">('TUSD BE'!$AM$24+'TUSD BF'!$AM$24+'TUSD CVA'!$AM$24-('TUSD BE'!$P$24+'TUSD BF'!$P$24+'TUSD CVA'!$P$24)-('TUSD BE'!$Q$24+'TUSD BF'!$Q$24+'TUSD CVA'!$Q$24)-('TUSD BE'!$R$24+'TUSD BF'!$R$24+'TUSD CVA'!$R$24))*(1-CUSTOS!$M$37)</f>
        <v>466.80480266168996</v>
      </c>
      <c r="AA353" s="4">
        <f>('TE BE'!$AB$15+'TE BF'!$AB$15+'TE CVA'!$AB$15)*(1-CUSTOS!$M$37)</f>
        <v>196.56876174373542</v>
      </c>
      <c r="AB353" s="4">
        <f>$K$353*$V$353</f>
        <v>0</v>
      </c>
      <c r="AC353" s="4">
        <f>$M$353*$W$353</f>
        <v>1125.89571</v>
      </c>
      <c r="AD353" s="4">
        <f>$O$353*$X$353</f>
        <v>562.90793999999994</v>
      </c>
      <c r="AE353" s="4">
        <f>$K$353*$Y$353</f>
        <v>0</v>
      </c>
      <c r="AF353" s="4">
        <f ca="1">$M$353*$Z$353</f>
        <v>1242.1675798827571</v>
      </c>
      <c r="AG353" s="4">
        <f>$O$353*$AA$353</f>
        <v>523.06947500007993</v>
      </c>
    </row>
    <row r="354" spans="1:33" ht="11.25" customHeight="1" x14ac:dyDescent="0.25">
      <c r="A354" s="3" t="s">
        <v>21</v>
      </c>
      <c r="B354" s="3" t="s">
        <v>22</v>
      </c>
      <c r="C354" s="3" t="s">
        <v>23</v>
      </c>
      <c r="D354" s="3" t="s">
        <v>24</v>
      </c>
      <c r="E354" s="3" t="s">
        <v>32</v>
      </c>
      <c r="F354" s="3" t="s">
        <v>25</v>
      </c>
      <c r="G354" s="3" t="s">
        <v>25</v>
      </c>
      <c r="H354" s="3" t="s">
        <v>25</v>
      </c>
      <c r="I354" s="6">
        <v>44682</v>
      </c>
      <c r="J354" s="4">
        <v>0</v>
      </c>
      <c r="K354" s="4">
        <v>0</v>
      </c>
      <c r="L354" s="4">
        <v>0.85499999999999998</v>
      </c>
      <c r="M354" s="4">
        <v>0.85499999999999998</v>
      </c>
      <c r="N354" s="4">
        <v>0.85499999999999998</v>
      </c>
      <c r="O354" s="4">
        <v>0.85499999999999998</v>
      </c>
      <c r="P354" s="4">
        <v>8</v>
      </c>
      <c r="Q354" s="3" t="s">
        <v>26</v>
      </c>
      <c r="R354" s="3">
        <v>0</v>
      </c>
      <c r="S354" s="4">
        <v>0</v>
      </c>
      <c r="T354" s="4">
        <v>18</v>
      </c>
      <c r="U354" s="4">
        <v>52</v>
      </c>
      <c r="V354" s="4">
        <f>IF(ISERROR(VLOOKUP($S$354,'TAR FIN'!$A$1:$O$86,15,0)),0,VLOOKUP($S$354,'TAR FIN'!$A$1:$O$86,15,0))</f>
        <v>0</v>
      </c>
      <c r="W354" s="4">
        <f>IF(ISERROR(VLOOKUP($T$354,'TAR FIN'!$A$1:$O$86,15,0)),0,VLOOKUP($T$354,'TAR FIN'!$A$1:$O$86,15,0))</f>
        <v>423.11</v>
      </c>
      <c r="X354" s="4">
        <f>IF(ISERROR(VLOOKUP($U$354,'TAR FIN'!$A$1:$O$86,15,0)),0,VLOOKUP($U$354,'TAR FIN'!$A$1:$O$86,15,0))</f>
        <v>211.54</v>
      </c>
      <c r="Y354" s="4"/>
      <c r="Z354" s="4">
        <f ca="1">('TUSD BE'!$AM$24+'TUSD BF'!$AM$24+'TUSD CVA'!$AM$24-('TUSD BE'!$P$24+'TUSD BF'!$P$24+'TUSD CVA'!$P$24)-('TUSD BE'!$Q$24+'TUSD BF'!$Q$24+'TUSD CVA'!$Q$24)-('TUSD BE'!$R$24+'TUSD BF'!$R$24+'TUSD CVA'!$R$24))*(1-CUSTOS!$M$37)</f>
        <v>466.80480266168996</v>
      </c>
      <c r="AA354" s="4">
        <f>('TE BE'!$AB$15+'TE BF'!$AB$15+'TE CVA'!$AB$15)*(1-CUSTOS!$M$37)</f>
        <v>196.56876174373542</v>
      </c>
      <c r="AB354" s="4">
        <f>$K$354*$V$354</f>
        <v>0</v>
      </c>
      <c r="AC354" s="4">
        <f>$M$354*$W$354</f>
        <v>361.75905</v>
      </c>
      <c r="AD354" s="4">
        <f>$O$354*$X$354</f>
        <v>180.86669999999998</v>
      </c>
      <c r="AE354" s="4">
        <f>$K$354*$Y$354</f>
        <v>0</v>
      </c>
      <c r="AF354" s="4">
        <f ca="1">$M$354*$Z$354</f>
        <v>399.11810627574494</v>
      </c>
      <c r="AG354" s="4">
        <f>$O$354*$AA$354</f>
        <v>168.06629129089379</v>
      </c>
    </row>
    <row r="355" spans="1:33" ht="11.25" customHeight="1" x14ac:dyDescent="0.25">
      <c r="A355" s="3" t="s">
        <v>21</v>
      </c>
      <c r="B355" s="3" t="s">
        <v>22</v>
      </c>
      <c r="C355" s="3" t="s">
        <v>23</v>
      </c>
      <c r="D355" s="3" t="s">
        <v>24</v>
      </c>
      <c r="E355" s="3" t="s">
        <v>32</v>
      </c>
      <c r="F355" s="3" t="s">
        <v>25</v>
      </c>
      <c r="G355" s="3" t="s">
        <v>25</v>
      </c>
      <c r="H355" s="3" t="s">
        <v>25</v>
      </c>
      <c r="I355" s="6">
        <v>44713</v>
      </c>
      <c r="J355" s="4">
        <v>0</v>
      </c>
      <c r="K355" s="4">
        <v>0</v>
      </c>
      <c r="L355" s="4">
        <v>1.321</v>
      </c>
      <c r="M355" s="4">
        <v>1.321</v>
      </c>
      <c r="N355" s="4">
        <v>1.321</v>
      </c>
      <c r="O355" s="4">
        <v>1.321</v>
      </c>
      <c r="P355" s="4">
        <v>9</v>
      </c>
      <c r="Q355" s="3" t="s">
        <v>26</v>
      </c>
      <c r="R355" s="3">
        <v>0</v>
      </c>
      <c r="S355" s="4">
        <v>0</v>
      </c>
      <c r="T355" s="4">
        <v>18</v>
      </c>
      <c r="U355" s="4">
        <v>52</v>
      </c>
      <c r="V355" s="4">
        <f>IF(ISERROR(VLOOKUP($S$355,'TAR FIN'!$A$1:$O$86,15,0)),0,VLOOKUP($S$355,'TAR FIN'!$A$1:$O$86,15,0))</f>
        <v>0</v>
      </c>
      <c r="W355" s="4">
        <f>IF(ISERROR(VLOOKUP($T$355,'TAR FIN'!$A$1:$O$86,15,0)),0,VLOOKUP($T$355,'TAR FIN'!$A$1:$O$86,15,0))</f>
        <v>423.11</v>
      </c>
      <c r="X355" s="4">
        <f>IF(ISERROR(VLOOKUP($U$355,'TAR FIN'!$A$1:$O$86,15,0)),0,VLOOKUP($U$355,'TAR FIN'!$A$1:$O$86,15,0))</f>
        <v>211.54</v>
      </c>
      <c r="Y355" s="4"/>
      <c r="Z355" s="4">
        <f ca="1">('TUSD BE'!$AM$24+'TUSD BF'!$AM$24+'TUSD CVA'!$AM$24-('TUSD BE'!$P$24+'TUSD BF'!$P$24+'TUSD CVA'!$P$24)-('TUSD BE'!$Q$24+'TUSD BF'!$Q$24+'TUSD CVA'!$Q$24)-('TUSD BE'!$R$24+'TUSD BF'!$R$24+'TUSD CVA'!$R$24))*(1-CUSTOS!$M$37)</f>
        <v>466.80480266168996</v>
      </c>
      <c r="AA355" s="4">
        <f>('TE BE'!$AB$15+'TE BF'!$AB$15+'TE CVA'!$AB$15)*(1-CUSTOS!$M$37)</f>
        <v>196.56876174373542</v>
      </c>
      <c r="AB355" s="4">
        <f>$K$355*$V$355</f>
        <v>0</v>
      </c>
      <c r="AC355" s="4">
        <f>$M$355*$W$355</f>
        <v>558.92831000000001</v>
      </c>
      <c r="AD355" s="4">
        <f>$O$355*$X$355</f>
        <v>279.44433999999995</v>
      </c>
      <c r="AE355" s="4">
        <f>$K$355*$Y$355</f>
        <v>0</v>
      </c>
      <c r="AF355" s="4">
        <f ca="1">$M$355*$Z$355</f>
        <v>616.64914431609236</v>
      </c>
      <c r="AG355" s="4">
        <f>$O$355*$AA$355</f>
        <v>259.66733426347446</v>
      </c>
    </row>
    <row r="356" spans="1:33" ht="11.25" customHeight="1" x14ac:dyDescent="0.25">
      <c r="A356" s="3" t="s">
        <v>21</v>
      </c>
      <c r="B356" s="3" t="s">
        <v>41</v>
      </c>
      <c r="C356" s="3" t="s">
        <v>23</v>
      </c>
      <c r="D356" s="3" t="s">
        <v>42</v>
      </c>
      <c r="E356" s="3" t="s">
        <v>49</v>
      </c>
      <c r="F356" s="3" t="s">
        <v>50</v>
      </c>
      <c r="G356" s="3" t="s">
        <v>25</v>
      </c>
      <c r="H356" s="3" t="s">
        <v>25</v>
      </c>
      <c r="I356" s="6">
        <v>44378</v>
      </c>
      <c r="J356" s="4">
        <v>0</v>
      </c>
      <c r="K356" s="4">
        <v>0</v>
      </c>
      <c r="L356" s="4">
        <v>2.1880000000000002</v>
      </c>
      <c r="M356" s="4">
        <v>2.1880000000000002</v>
      </c>
      <c r="N356" s="4">
        <v>2.1880000000000002</v>
      </c>
      <c r="O356" s="4">
        <v>2.1880000000000002</v>
      </c>
      <c r="P356" s="4">
        <v>0</v>
      </c>
      <c r="Q356" s="3" t="s">
        <v>26</v>
      </c>
      <c r="R356" s="3">
        <v>0</v>
      </c>
      <c r="S356" s="4">
        <v>0</v>
      </c>
      <c r="T356" s="4">
        <v>42</v>
      </c>
      <c r="U356" s="4">
        <v>63</v>
      </c>
      <c r="V356" s="4">
        <f>IF(ISERROR(VLOOKUP($S$356,'TAR FIN'!$A$1:$O$86,15,0)),0,VLOOKUP($S$356,'TAR FIN'!$A$1:$O$86,15,0))</f>
        <v>0</v>
      </c>
      <c r="W356" s="4">
        <f>IF(ISERROR(VLOOKUP($T$356,'TAR FIN'!$A$1:$O$86,15,0)),0,VLOOKUP($T$356,'TAR FIN'!$A$1:$O$86,15,0))</f>
        <v>430.35</v>
      </c>
      <c r="X356" s="4">
        <f>IF(ISERROR(VLOOKUP($U$356,'TAR FIN'!$A$1:$O$86,15,0)),0,VLOOKUP($U$356,'TAR FIN'!$A$1:$O$86,15,0))</f>
        <v>186.16</v>
      </c>
      <c r="Y356" s="4"/>
      <c r="Z356" s="4">
        <f ca="1">('TUSD BE'!$AM$33+'TUSD BF'!$AM$33+'TUSD CVA'!$AM$33)*(1-CUSTOS!$M$38)</f>
        <v>536.63434130853489</v>
      </c>
      <c r="AA356" s="4">
        <f>('TE BE'!$AB$24+'TE BF'!$AB$24+'TE CVA'!$AB$24)*(1-CUSTOS!$M$38)</f>
        <v>184.7746360391113</v>
      </c>
      <c r="AB356" s="4">
        <f>$K$356*$V$356</f>
        <v>0</v>
      </c>
      <c r="AC356" s="4">
        <f>$M$356*$W$356</f>
        <v>941.60580000000016</v>
      </c>
      <c r="AD356" s="4">
        <f>$O$356*$X$356</f>
        <v>407.31808000000001</v>
      </c>
      <c r="AE356" s="4">
        <f>$K$356*$Y$356</f>
        <v>0</v>
      </c>
      <c r="AF356" s="4">
        <f ca="1">$M$356*$Z$356</f>
        <v>1174.1559387830744</v>
      </c>
      <c r="AG356" s="4">
        <f>$O$356*$AA$356</f>
        <v>404.28690365357556</v>
      </c>
    </row>
    <row r="357" spans="1:33" ht="11.25" customHeight="1" x14ac:dyDescent="0.25">
      <c r="A357" s="3" t="s">
        <v>28</v>
      </c>
      <c r="B357" s="3" t="s">
        <v>41</v>
      </c>
      <c r="C357" s="3" t="s">
        <v>23</v>
      </c>
      <c r="D357" s="3" t="s">
        <v>42</v>
      </c>
      <c r="E357" s="3" t="s">
        <v>49</v>
      </c>
      <c r="F357" s="3" t="s">
        <v>50</v>
      </c>
      <c r="G357" s="3" t="s">
        <v>25</v>
      </c>
      <c r="H357" s="3" t="s">
        <v>25</v>
      </c>
      <c r="I357" s="6">
        <v>44378</v>
      </c>
      <c r="J357" s="4">
        <v>0</v>
      </c>
      <c r="K357" s="4">
        <v>0</v>
      </c>
      <c r="L357" s="4">
        <v>0.2</v>
      </c>
      <c r="M357" s="4">
        <v>0.2</v>
      </c>
      <c r="N357" s="4">
        <v>0.2</v>
      </c>
      <c r="O357" s="4">
        <v>0.2</v>
      </c>
      <c r="P357" s="4">
        <v>0</v>
      </c>
      <c r="Q357" s="3" t="s">
        <v>26</v>
      </c>
      <c r="R357" s="3">
        <v>0</v>
      </c>
      <c r="S357" s="4">
        <v>0</v>
      </c>
      <c r="T357" s="4">
        <v>42</v>
      </c>
      <c r="U357" s="4">
        <v>63</v>
      </c>
      <c r="V357" s="4">
        <f>IF(ISERROR(VLOOKUP($S$357,'TAR FIN'!$A$1:$O$86,15,0)),0,VLOOKUP($S$357,'TAR FIN'!$A$1:$O$86,15,0))</f>
        <v>0</v>
      </c>
      <c r="W357" s="4">
        <f>IF(ISERROR(VLOOKUP($T$357,'TAR FIN'!$A$1:$O$86,15,0)),0,VLOOKUP($T$357,'TAR FIN'!$A$1:$O$86,15,0))</f>
        <v>430.35</v>
      </c>
      <c r="X357" s="4">
        <f>IF(ISERROR(VLOOKUP($U$357,'TAR FIN'!$A$1:$O$86,15,0)),0,VLOOKUP($U$357,'TAR FIN'!$A$1:$O$86,15,0))</f>
        <v>186.16</v>
      </c>
      <c r="Y357" s="4"/>
      <c r="Z357" s="4">
        <f ca="1">('TUSD BE'!$AM$33+'TUSD BF'!$AM$33+'TUSD CVA'!$AM$33)*(1-CUSTOS!$M$38)</f>
        <v>536.63434130853489</v>
      </c>
      <c r="AA357" s="4">
        <f>('TE BE'!$AB$24+'TE BF'!$AB$24+'TE CVA'!$AB$24)*(1-CUSTOS!$M$38)</f>
        <v>184.7746360391113</v>
      </c>
      <c r="AB357" s="4">
        <f>$K$357*$V$357</f>
        <v>0</v>
      </c>
      <c r="AC357" s="4">
        <f>$M$357*$W$357</f>
        <v>86.070000000000007</v>
      </c>
      <c r="AD357" s="4">
        <f>$O$357*$X$357</f>
        <v>37.231999999999999</v>
      </c>
      <c r="AE357" s="4">
        <f>$K$357*$Y$357</f>
        <v>0</v>
      </c>
      <c r="AF357" s="4">
        <f ca="1">$M$357*$Z$357</f>
        <v>107.32686826170698</v>
      </c>
      <c r="AG357" s="4">
        <f>$O$357*$AA$357</f>
        <v>36.954927207822259</v>
      </c>
    </row>
    <row r="358" spans="1:33" ht="11.25" customHeight="1" x14ac:dyDescent="0.25">
      <c r="A358" s="3" t="s">
        <v>21</v>
      </c>
      <c r="B358" s="3" t="s">
        <v>41</v>
      </c>
      <c r="C358" s="3" t="s">
        <v>23</v>
      </c>
      <c r="D358" s="3" t="s">
        <v>42</v>
      </c>
      <c r="E358" s="3" t="s">
        <v>49</v>
      </c>
      <c r="F358" s="3" t="s">
        <v>50</v>
      </c>
      <c r="G358" s="3" t="s">
        <v>25</v>
      </c>
      <c r="H358" s="3" t="s">
        <v>25</v>
      </c>
      <c r="I358" s="6">
        <v>44409</v>
      </c>
      <c r="J358" s="4">
        <v>0</v>
      </c>
      <c r="K358" s="4">
        <v>0</v>
      </c>
      <c r="L358" s="4">
        <v>3.657</v>
      </c>
      <c r="M358" s="4">
        <v>3.657</v>
      </c>
      <c r="N358" s="4">
        <v>3.657</v>
      </c>
      <c r="O358" s="4">
        <v>3.657</v>
      </c>
      <c r="P358" s="4">
        <v>0</v>
      </c>
      <c r="Q358" s="3" t="s">
        <v>26</v>
      </c>
      <c r="R358" s="3">
        <v>0</v>
      </c>
      <c r="S358" s="4">
        <v>0</v>
      </c>
      <c r="T358" s="4">
        <v>42</v>
      </c>
      <c r="U358" s="4">
        <v>63</v>
      </c>
      <c r="V358" s="4">
        <f>IF(ISERROR(VLOOKUP($S$358,'TAR FIN'!$A$1:$O$86,15,0)),0,VLOOKUP($S$358,'TAR FIN'!$A$1:$O$86,15,0))</f>
        <v>0</v>
      </c>
      <c r="W358" s="4">
        <f>IF(ISERROR(VLOOKUP($T$358,'TAR FIN'!$A$1:$O$86,15,0)),0,VLOOKUP($T$358,'TAR FIN'!$A$1:$O$86,15,0))</f>
        <v>430.35</v>
      </c>
      <c r="X358" s="4">
        <f>IF(ISERROR(VLOOKUP($U$358,'TAR FIN'!$A$1:$O$86,15,0)),0,VLOOKUP($U$358,'TAR FIN'!$A$1:$O$86,15,0))</f>
        <v>186.16</v>
      </c>
      <c r="Y358" s="4"/>
      <c r="Z358" s="4">
        <f ca="1">('TUSD BE'!$AM$33+'TUSD BF'!$AM$33+'TUSD CVA'!$AM$33)*(1-CUSTOS!$M$38)</f>
        <v>536.63434130853489</v>
      </c>
      <c r="AA358" s="4">
        <f>('TE BE'!$AB$24+'TE BF'!$AB$24+'TE CVA'!$AB$24)*(1-CUSTOS!$M$38)</f>
        <v>184.7746360391113</v>
      </c>
      <c r="AB358" s="4">
        <f>$K$358*$V$358</f>
        <v>0</v>
      </c>
      <c r="AC358" s="4">
        <f>$M$358*$W$358</f>
        <v>1573.7899500000001</v>
      </c>
      <c r="AD358" s="4">
        <f>$O$358*$X$358</f>
        <v>680.78711999999996</v>
      </c>
      <c r="AE358" s="4">
        <f>$K$358*$Y$358</f>
        <v>0</v>
      </c>
      <c r="AF358" s="4">
        <f ca="1">$M$358*$Z$358</f>
        <v>1962.4717861653121</v>
      </c>
      <c r="AG358" s="4">
        <f>$O$358*$AA$358</f>
        <v>675.72084399503001</v>
      </c>
    </row>
    <row r="359" spans="1:33" ht="11.25" customHeight="1" x14ac:dyDescent="0.25">
      <c r="A359" s="3" t="s">
        <v>21</v>
      </c>
      <c r="B359" s="3" t="s">
        <v>41</v>
      </c>
      <c r="C359" s="3" t="s">
        <v>23</v>
      </c>
      <c r="D359" s="3" t="s">
        <v>42</v>
      </c>
      <c r="E359" s="3" t="s">
        <v>49</v>
      </c>
      <c r="F359" s="3" t="s">
        <v>50</v>
      </c>
      <c r="G359" s="3" t="s">
        <v>25</v>
      </c>
      <c r="H359" s="3" t="s">
        <v>25</v>
      </c>
      <c r="I359" s="6">
        <v>44440</v>
      </c>
      <c r="J359" s="4">
        <v>0</v>
      </c>
      <c r="K359" s="4">
        <v>0</v>
      </c>
      <c r="L359" s="4">
        <v>3.3420000000000001</v>
      </c>
      <c r="M359" s="4">
        <v>3.3420000000000001</v>
      </c>
      <c r="N359" s="4">
        <v>3.3420000000000001</v>
      </c>
      <c r="O359" s="4">
        <v>3.3420000000000001</v>
      </c>
      <c r="P359" s="4">
        <v>0</v>
      </c>
      <c r="Q359" s="3" t="s">
        <v>26</v>
      </c>
      <c r="R359" s="3">
        <v>0</v>
      </c>
      <c r="S359" s="4">
        <v>0</v>
      </c>
      <c r="T359" s="4">
        <v>42</v>
      </c>
      <c r="U359" s="4">
        <v>63</v>
      </c>
      <c r="V359" s="4">
        <f>IF(ISERROR(VLOOKUP($S$359,'TAR FIN'!$A$1:$O$86,15,0)),0,VLOOKUP($S$359,'TAR FIN'!$A$1:$O$86,15,0))</f>
        <v>0</v>
      </c>
      <c r="W359" s="4">
        <f>IF(ISERROR(VLOOKUP($T$359,'TAR FIN'!$A$1:$O$86,15,0)),0,VLOOKUP($T$359,'TAR FIN'!$A$1:$O$86,15,0))</f>
        <v>430.35</v>
      </c>
      <c r="X359" s="4">
        <f>IF(ISERROR(VLOOKUP($U$359,'TAR FIN'!$A$1:$O$86,15,0)),0,VLOOKUP($U$359,'TAR FIN'!$A$1:$O$86,15,0))</f>
        <v>186.16</v>
      </c>
      <c r="Y359" s="4"/>
      <c r="Z359" s="4">
        <f ca="1">('TUSD BE'!$AM$33+'TUSD BF'!$AM$33+'TUSD CVA'!$AM$33)*(1-CUSTOS!$M$38)</f>
        <v>536.63434130853489</v>
      </c>
      <c r="AA359" s="4">
        <f>('TE BE'!$AB$24+'TE BF'!$AB$24+'TE CVA'!$AB$24)*(1-CUSTOS!$M$38)</f>
        <v>184.7746360391113</v>
      </c>
      <c r="AB359" s="4">
        <f>$K$359*$V$359</f>
        <v>0</v>
      </c>
      <c r="AC359" s="4">
        <f>$M$359*$W$359</f>
        <v>1438.2297000000001</v>
      </c>
      <c r="AD359" s="4">
        <f>$O$359*$X$359</f>
        <v>622.14671999999996</v>
      </c>
      <c r="AE359" s="4">
        <f>$K$359*$Y$359</f>
        <v>0</v>
      </c>
      <c r="AF359" s="4">
        <f ca="1">$M$359*$Z$359</f>
        <v>1793.4319686531237</v>
      </c>
      <c r="AG359" s="4">
        <f>$O$359*$AA$359</f>
        <v>617.51683364271003</v>
      </c>
    </row>
    <row r="360" spans="1:33" ht="11.25" customHeight="1" x14ac:dyDescent="0.25">
      <c r="A360" s="3" t="s">
        <v>28</v>
      </c>
      <c r="B360" s="3" t="s">
        <v>41</v>
      </c>
      <c r="C360" s="3" t="s">
        <v>23</v>
      </c>
      <c r="D360" s="3" t="s">
        <v>42</v>
      </c>
      <c r="E360" s="3" t="s">
        <v>49</v>
      </c>
      <c r="F360" s="3" t="s">
        <v>50</v>
      </c>
      <c r="G360" s="3" t="s">
        <v>25</v>
      </c>
      <c r="H360" s="3" t="s">
        <v>25</v>
      </c>
      <c r="I360" s="6">
        <v>44440</v>
      </c>
      <c r="J360" s="4">
        <v>0</v>
      </c>
      <c r="K360" s="4">
        <v>0</v>
      </c>
      <c r="L360" s="4">
        <v>0.25</v>
      </c>
      <c r="M360" s="4">
        <v>0.25</v>
      </c>
      <c r="N360" s="4">
        <v>0.25</v>
      </c>
      <c r="O360" s="4">
        <v>0.25</v>
      </c>
      <c r="P360" s="4">
        <v>0</v>
      </c>
      <c r="Q360" s="3" t="s">
        <v>26</v>
      </c>
      <c r="R360" s="3">
        <v>0</v>
      </c>
      <c r="S360" s="4">
        <v>0</v>
      </c>
      <c r="T360" s="4">
        <v>42</v>
      </c>
      <c r="U360" s="4">
        <v>63</v>
      </c>
      <c r="V360" s="4">
        <f>IF(ISERROR(VLOOKUP($S$360,'TAR FIN'!$A$1:$O$86,15,0)),0,VLOOKUP($S$360,'TAR FIN'!$A$1:$O$86,15,0))</f>
        <v>0</v>
      </c>
      <c r="W360" s="4">
        <f>IF(ISERROR(VLOOKUP($T$360,'TAR FIN'!$A$1:$O$86,15,0)),0,VLOOKUP($T$360,'TAR FIN'!$A$1:$O$86,15,0))</f>
        <v>430.35</v>
      </c>
      <c r="X360" s="4">
        <f>IF(ISERROR(VLOOKUP($U$360,'TAR FIN'!$A$1:$O$86,15,0)),0,VLOOKUP($U$360,'TAR FIN'!$A$1:$O$86,15,0))</f>
        <v>186.16</v>
      </c>
      <c r="Y360" s="4"/>
      <c r="Z360" s="4">
        <f ca="1">('TUSD BE'!$AM$33+'TUSD BF'!$AM$33+'TUSD CVA'!$AM$33)*(1-CUSTOS!$M$38)</f>
        <v>536.63434130853489</v>
      </c>
      <c r="AA360" s="4">
        <f>('TE BE'!$AB$24+'TE BF'!$AB$24+'TE CVA'!$AB$24)*(1-CUSTOS!$M$38)</f>
        <v>184.7746360391113</v>
      </c>
      <c r="AB360" s="4">
        <f>$K$360*$V$360</f>
        <v>0</v>
      </c>
      <c r="AC360" s="4">
        <f>$M$360*$W$360</f>
        <v>107.58750000000001</v>
      </c>
      <c r="AD360" s="4">
        <f>$O$360*$X$360</f>
        <v>46.54</v>
      </c>
      <c r="AE360" s="4">
        <f>$K$360*$Y$360</f>
        <v>0</v>
      </c>
      <c r="AF360" s="4">
        <f ca="1">$M$360*$Z$360</f>
        <v>134.15858532713372</v>
      </c>
      <c r="AG360" s="4">
        <f>$O$360*$AA$360</f>
        <v>46.193659009777825</v>
      </c>
    </row>
    <row r="361" spans="1:33" ht="11.25" customHeight="1" x14ac:dyDescent="0.25">
      <c r="A361" s="3" t="s">
        <v>21</v>
      </c>
      <c r="B361" s="3" t="s">
        <v>41</v>
      </c>
      <c r="C361" s="3" t="s">
        <v>23</v>
      </c>
      <c r="D361" s="3" t="s">
        <v>42</v>
      </c>
      <c r="E361" s="3" t="s">
        <v>49</v>
      </c>
      <c r="F361" s="3" t="s">
        <v>50</v>
      </c>
      <c r="G361" s="3" t="s">
        <v>25</v>
      </c>
      <c r="H361" s="3" t="s">
        <v>25</v>
      </c>
      <c r="I361" s="6">
        <v>44470</v>
      </c>
      <c r="J361" s="4">
        <v>0</v>
      </c>
      <c r="K361" s="4">
        <v>0</v>
      </c>
      <c r="L361" s="4">
        <v>1.994</v>
      </c>
      <c r="M361" s="4">
        <v>1.994</v>
      </c>
      <c r="N361" s="4">
        <v>1.994</v>
      </c>
      <c r="O361" s="4">
        <v>1.994</v>
      </c>
      <c r="P361" s="4">
        <v>0</v>
      </c>
      <c r="Q361" s="3" t="s">
        <v>26</v>
      </c>
      <c r="R361" s="3">
        <v>0</v>
      </c>
      <c r="S361" s="4">
        <v>0</v>
      </c>
      <c r="T361" s="4">
        <v>42</v>
      </c>
      <c r="U361" s="4">
        <v>63</v>
      </c>
      <c r="V361" s="4">
        <f>IF(ISERROR(VLOOKUP($S$361,'TAR FIN'!$A$1:$O$86,15,0)),0,VLOOKUP($S$361,'TAR FIN'!$A$1:$O$86,15,0))</f>
        <v>0</v>
      </c>
      <c r="W361" s="4">
        <f>IF(ISERROR(VLOOKUP($T$361,'TAR FIN'!$A$1:$O$86,15,0)),0,VLOOKUP($T$361,'TAR FIN'!$A$1:$O$86,15,0))</f>
        <v>430.35</v>
      </c>
      <c r="X361" s="4">
        <f>IF(ISERROR(VLOOKUP($U$361,'TAR FIN'!$A$1:$O$86,15,0)),0,VLOOKUP($U$361,'TAR FIN'!$A$1:$O$86,15,0))</f>
        <v>186.16</v>
      </c>
      <c r="Y361" s="4"/>
      <c r="Z361" s="4">
        <f ca="1">('TUSD BE'!$AM$33+'TUSD BF'!$AM$33+'TUSD CVA'!$AM$33)*(1-CUSTOS!$M$38)</f>
        <v>536.63434130853489</v>
      </c>
      <c r="AA361" s="4">
        <f>('TE BE'!$AB$24+'TE BF'!$AB$24+'TE CVA'!$AB$24)*(1-CUSTOS!$M$38)</f>
        <v>184.7746360391113</v>
      </c>
      <c r="AB361" s="4">
        <f>$K$361*$V$361</f>
        <v>0</v>
      </c>
      <c r="AC361" s="4">
        <f>$M$361*$W$361</f>
        <v>858.11790000000008</v>
      </c>
      <c r="AD361" s="4">
        <f>$O$361*$X$361</f>
        <v>371.20303999999999</v>
      </c>
      <c r="AE361" s="4">
        <f>$K$361*$Y$361</f>
        <v>0</v>
      </c>
      <c r="AF361" s="4">
        <f ca="1">$M$361*$Z$361</f>
        <v>1070.0488765692185</v>
      </c>
      <c r="AG361" s="4">
        <f>$O$361*$AA$361</f>
        <v>368.44062426198792</v>
      </c>
    </row>
    <row r="362" spans="1:33" ht="11.25" customHeight="1" x14ac:dyDescent="0.25">
      <c r="A362" s="3" t="s">
        <v>28</v>
      </c>
      <c r="B362" s="3" t="s">
        <v>41</v>
      </c>
      <c r="C362" s="3" t="s">
        <v>23</v>
      </c>
      <c r="D362" s="3" t="s">
        <v>42</v>
      </c>
      <c r="E362" s="3" t="s">
        <v>49</v>
      </c>
      <c r="F362" s="3" t="s">
        <v>50</v>
      </c>
      <c r="G362" s="3" t="s">
        <v>25</v>
      </c>
      <c r="H362" s="3" t="s">
        <v>25</v>
      </c>
      <c r="I362" s="6">
        <v>44470</v>
      </c>
      <c r="J362" s="4">
        <v>0</v>
      </c>
      <c r="K362" s="4">
        <v>0</v>
      </c>
      <c r="L362" s="4">
        <v>0.439</v>
      </c>
      <c r="M362" s="4">
        <v>0.439</v>
      </c>
      <c r="N362" s="4">
        <v>0.439</v>
      </c>
      <c r="O362" s="4">
        <v>0.439</v>
      </c>
      <c r="P362" s="4">
        <v>0</v>
      </c>
      <c r="Q362" s="3" t="s">
        <v>26</v>
      </c>
      <c r="R362" s="3">
        <v>0</v>
      </c>
      <c r="S362" s="4">
        <v>0</v>
      </c>
      <c r="T362" s="4">
        <v>42</v>
      </c>
      <c r="U362" s="4">
        <v>63</v>
      </c>
      <c r="V362" s="4">
        <f>IF(ISERROR(VLOOKUP($S$362,'TAR FIN'!$A$1:$O$86,15,0)),0,VLOOKUP($S$362,'TAR FIN'!$A$1:$O$86,15,0))</f>
        <v>0</v>
      </c>
      <c r="W362" s="4">
        <f>IF(ISERROR(VLOOKUP($T$362,'TAR FIN'!$A$1:$O$86,15,0)),0,VLOOKUP($T$362,'TAR FIN'!$A$1:$O$86,15,0))</f>
        <v>430.35</v>
      </c>
      <c r="X362" s="4">
        <f>IF(ISERROR(VLOOKUP($U$362,'TAR FIN'!$A$1:$O$86,15,0)),0,VLOOKUP($U$362,'TAR FIN'!$A$1:$O$86,15,0))</f>
        <v>186.16</v>
      </c>
      <c r="Y362" s="4"/>
      <c r="Z362" s="4">
        <f ca="1">('TUSD BE'!$AM$33+'TUSD BF'!$AM$33+'TUSD CVA'!$AM$33)*(1-CUSTOS!$M$38)</f>
        <v>536.63434130853489</v>
      </c>
      <c r="AA362" s="4">
        <f>('TE BE'!$AB$24+'TE BF'!$AB$24+'TE CVA'!$AB$24)*(1-CUSTOS!$M$38)</f>
        <v>184.7746360391113</v>
      </c>
      <c r="AB362" s="4">
        <f>$K$362*$V$362</f>
        <v>0</v>
      </c>
      <c r="AC362" s="4">
        <f>$M$362*$W$362</f>
        <v>188.92365000000001</v>
      </c>
      <c r="AD362" s="4">
        <f>$O$362*$X$362</f>
        <v>81.724239999999995</v>
      </c>
      <c r="AE362" s="4">
        <f>$K$362*$Y$362</f>
        <v>0</v>
      </c>
      <c r="AF362" s="4">
        <f ca="1">$M$362*$Z$362</f>
        <v>235.58247583444683</v>
      </c>
      <c r="AG362" s="4">
        <f>$O$362*$AA$362</f>
        <v>81.116065221169862</v>
      </c>
    </row>
    <row r="363" spans="1:33" ht="11.25" customHeight="1" x14ac:dyDescent="0.25">
      <c r="A363" s="3" t="s">
        <v>21</v>
      </c>
      <c r="B363" s="3" t="s">
        <v>41</v>
      </c>
      <c r="C363" s="3" t="s">
        <v>23</v>
      </c>
      <c r="D363" s="3" t="s">
        <v>42</v>
      </c>
      <c r="E363" s="3" t="s">
        <v>49</v>
      </c>
      <c r="F363" s="3" t="s">
        <v>50</v>
      </c>
      <c r="G363" s="3" t="s">
        <v>25</v>
      </c>
      <c r="H363" s="3" t="s">
        <v>25</v>
      </c>
      <c r="I363" s="6">
        <v>44501</v>
      </c>
      <c r="J363" s="4">
        <v>0</v>
      </c>
      <c r="K363" s="4">
        <v>0</v>
      </c>
      <c r="L363" s="4">
        <v>21.58</v>
      </c>
      <c r="M363" s="4">
        <v>21.58</v>
      </c>
      <c r="N363" s="4">
        <v>21.58</v>
      </c>
      <c r="O363" s="4">
        <v>21.58</v>
      </c>
      <c r="P363" s="4">
        <v>0</v>
      </c>
      <c r="Q363" s="3" t="s">
        <v>26</v>
      </c>
      <c r="R363" s="3">
        <v>0</v>
      </c>
      <c r="S363" s="4">
        <v>0</v>
      </c>
      <c r="T363" s="4">
        <v>42</v>
      </c>
      <c r="U363" s="4">
        <v>63</v>
      </c>
      <c r="V363" s="4">
        <f>IF(ISERROR(VLOOKUP($S$363,'TAR FIN'!$A$1:$O$86,15,0)),0,VLOOKUP($S$363,'TAR FIN'!$A$1:$O$86,15,0))</f>
        <v>0</v>
      </c>
      <c r="W363" s="4">
        <f>IF(ISERROR(VLOOKUP($T$363,'TAR FIN'!$A$1:$O$86,15,0)),0,VLOOKUP($T$363,'TAR FIN'!$A$1:$O$86,15,0))</f>
        <v>430.35</v>
      </c>
      <c r="X363" s="4">
        <f>IF(ISERROR(VLOOKUP($U$363,'TAR FIN'!$A$1:$O$86,15,0)),0,VLOOKUP($U$363,'TAR FIN'!$A$1:$O$86,15,0))</f>
        <v>186.16</v>
      </c>
      <c r="Y363" s="4"/>
      <c r="Z363" s="4">
        <f ca="1">('TUSD BE'!$AM$33+'TUSD BF'!$AM$33+'TUSD CVA'!$AM$33)*(1-CUSTOS!$M$38)</f>
        <v>536.63434130853489</v>
      </c>
      <c r="AA363" s="4">
        <f>('TE BE'!$AB$24+'TE BF'!$AB$24+'TE CVA'!$AB$24)*(1-CUSTOS!$M$38)</f>
        <v>184.7746360391113</v>
      </c>
      <c r="AB363" s="4">
        <f>$K$363*$V$363</f>
        <v>0</v>
      </c>
      <c r="AC363" s="4">
        <f>$M$363*$W$363</f>
        <v>9286.9529999999995</v>
      </c>
      <c r="AD363" s="4">
        <f>$O$363*$X$363</f>
        <v>4017.3327999999997</v>
      </c>
      <c r="AE363" s="4">
        <f>$K$363*$Y$363</f>
        <v>0</v>
      </c>
      <c r="AF363" s="4">
        <f ca="1">$M$363*$Z$363</f>
        <v>11580.569085438183</v>
      </c>
      <c r="AG363" s="4">
        <f>$O$363*$AA$363</f>
        <v>3987.4366457240217</v>
      </c>
    </row>
    <row r="364" spans="1:33" ht="11.25" customHeight="1" x14ac:dyDescent="0.25">
      <c r="A364" s="3" t="s">
        <v>28</v>
      </c>
      <c r="B364" s="3" t="s">
        <v>41</v>
      </c>
      <c r="C364" s="3" t="s">
        <v>23</v>
      </c>
      <c r="D364" s="3" t="s">
        <v>42</v>
      </c>
      <c r="E364" s="3" t="s">
        <v>49</v>
      </c>
      <c r="F364" s="3" t="s">
        <v>50</v>
      </c>
      <c r="G364" s="3" t="s">
        <v>25</v>
      </c>
      <c r="H364" s="3" t="s">
        <v>25</v>
      </c>
      <c r="I364" s="6">
        <v>44501</v>
      </c>
      <c r="J364" s="4">
        <v>0</v>
      </c>
      <c r="K364" s="4">
        <v>0</v>
      </c>
      <c r="L364" s="4">
        <v>0.77</v>
      </c>
      <c r="M364" s="4">
        <v>0.77</v>
      </c>
      <c r="N364" s="4">
        <v>0.77</v>
      </c>
      <c r="O364" s="4">
        <v>0.77</v>
      </c>
      <c r="P364" s="4">
        <v>0</v>
      </c>
      <c r="Q364" s="3" t="s">
        <v>26</v>
      </c>
      <c r="R364" s="3">
        <v>0</v>
      </c>
      <c r="S364" s="4">
        <v>0</v>
      </c>
      <c r="T364" s="4">
        <v>42</v>
      </c>
      <c r="U364" s="4">
        <v>63</v>
      </c>
      <c r="V364" s="4">
        <f>IF(ISERROR(VLOOKUP($S$364,'TAR FIN'!$A$1:$O$86,15,0)),0,VLOOKUP($S$364,'TAR FIN'!$A$1:$O$86,15,0))</f>
        <v>0</v>
      </c>
      <c r="W364" s="4">
        <f>IF(ISERROR(VLOOKUP($T$364,'TAR FIN'!$A$1:$O$86,15,0)),0,VLOOKUP($T$364,'TAR FIN'!$A$1:$O$86,15,0))</f>
        <v>430.35</v>
      </c>
      <c r="X364" s="4">
        <f>IF(ISERROR(VLOOKUP($U$364,'TAR FIN'!$A$1:$O$86,15,0)),0,VLOOKUP($U$364,'TAR FIN'!$A$1:$O$86,15,0))</f>
        <v>186.16</v>
      </c>
      <c r="Y364" s="4"/>
      <c r="Z364" s="4">
        <f ca="1">('TUSD BE'!$AM$33+'TUSD BF'!$AM$33+'TUSD CVA'!$AM$33)*(1-CUSTOS!$M$38)</f>
        <v>536.63434130853489</v>
      </c>
      <c r="AA364" s="4">
        <f>('TE BE'!$AB$24+'TE BF'!$AB$24+'TE CVA'!$AB$24)*(1-CUSTOS!$M$38)</f>
        <v>184.7746360391113</v>
      </c>
      <c r="AB364" s="4">
        <f>$K$364*$V$364</f>
        <v>0</v>
      </c>
      <c r="AC364" s="4">
        <f>$M$364*$W$364</f>
        <v>331.36950000000002</v>
      </c>
      <c r="AD364" s="4">
        <f>$O$364*$X$364</f>
        <v>143.3432</v>
      </c>
      <c r="AE364" s="4">
        <f>$K$364*$Y$364</f>
        <v>0</v>
      </c>
      <c r="AF364" s="4">
        <f ca="1">$M$364*$Z$364</f>
        <v>413.20844280757188</v>
      </c>
      <c r="AG364" s="4">
        <f>$O$364*$AA$364</f>
        <v>142.27646975011569</v>
      </c>
    </row>
    <row r="365" spans="1:33" ht="11.25" customHeight="1" x14ac:dyDescent="0.25">
      <c r="A365" s="3" t="s">
        <v>21</v>
      </c>
      <c r="B365" s="3" t="s">
        <v>41</v>
      </c>
      <c r="C365" s="3" t="s">
        <v>23</v>
      </c>
      <c r="D365" s="3" t="s">
        <v>42</v>
      </c>
      <c r="E365" s="3" t="s">
        <v>49</v>
      </c>
      <c r="F365" s="3" t="s">
        <v>50</v>
      </c>
      <c r="G365" s="3" t="s">
        <v>25</v>
      </c>
      <c r="H365" s="3" t="s">
        <v>25</v>
      </c>
      <c r="I365" s="6">
        <v>44531</v>
      </c>
      <c r="J365" s="4">
        <v>0</v>
      </c>
      <c r="K365" s="4">
        <v>0</v>
      </c>
      <c r="L365" s="4">
        <v>54.412999999999997</v>
      </c>
      <c r="M365" s="4">
        <v>54.412999999999997</v>
      </c>
      <c r="N365" s="4">
        <v>54.412999999999997</v>
      </c>
      <c r="O365" s="4">
        <v>54.412999999999997</v>
      </c>
      <c r="P365" s="4">
        <v>0</v>
      </c>
      <c r="Q365" s="3" t="s">
        <v>26</v>
      </c>
      <c r="R365" s="3">
        <v>0</v>
      </c>
      <c r="S365" s="4">
        <v>0</v>
      </c>
      <c r="T365" s="4">
        <v>42</v>
      </c>
      <c r="U365" s="4">
        <v>63</v>
      </c>
      <c r="V365" s="4">
        <f>IF(ISERROR(VLOOKUP($S$365,'TAR FIN'!$A$1:$O$86,15,0)),0,VLOOKUP($S$365,'TAR FIN'!$A$1:$O$86,15,0))</f>
        <v>0</v>
      </c>
      <c r="W365" s="4">
        <f>IF(ISERROR(VLOOKUP($T$365,'TAR FIN'!$A$1:$O$86,15,0)),0,VLOOKUP($T$365,'TAR FIN'!$A$1:$O$86,15,0))</f>
        <v>430.35</v>
      </c>
      <c r="X365" s="4">
        <f>IF(ISERROR(VLOOKUP($U$365,'TAR FIN'!$A$1:$O$86,15,0)),0,VLOOKUP($U$365,'TAR FIN'!$A$1:$O$86,15,0))</f>
        <v>186.16</v>
      </c>
      <c r="Y365" s="4"/>
      <c r="Z365" s="4">
        <f ca="1">('TUSD BE'!$AM$33+'TUSD BF'!$AM$33+'TUSD CVA'!$AM$33)*(1-CUSTOS!$M$38)</f>
        <v>536.63434130853489</v>
      </c>
      <c r="AA365" s="4">
        <f>('TE BE'!$AB$24+'TE BF'!$AB$24+'TE CVA'!$AB$24)*(1-CUSTOS!$M$38)</f>
        <v>184.7746360391113</v>
      </c>
      <c r="AB365" s="4">
        <f>$K$365*$V$365</f>
        <v>0</v>
      </c>
      <c r="AC365" s="4">
        <f>$M$365*$W$365</f>
        <v>23416.634549999999</v>
      </c>
      <c r="AD365" s="4">
        <f>$O$365*$X$365</f>
        <v>10129.524079999999</v>
      </c>
      <c r="AE365" s="4">
        <f>$K$365*$Y$365</f>
        <v>0</v>
      </c>
      <c r="AF365" s="4">
        <f ca="1">$M$365*$Z$365</f>
        <v>29199.884413621308</v>
      </c>
      <c r="AG365" s="4">
        <f>$O$365*$AA$365</f>
        <v>10054.142270796163</v>
      </c>
    </row>
    <row r="366" spans="1:33" ht="11.25" customHeight="1" x14ac:dyDescent="0.25">
      <c r="A366" s="3" t="s">
        <v>28</v>
      </c>
      <c r="B366" s="3" t="s">
        <v>41</v>
      </c>
      <c r="C366" s="3" t="s">
        <v>23</v>
      </c>
      <c r="D366" s="3" t="s">
        <v>42</v>
      </c>
      <c r="E366" s="3" t="s">
        <v>49</v>
      </c>
      <c r="F366" s="3" t="s">
        <v>50</v>
      </c>
      <c r="G366" s="3" t="s">
        <v>25</v>
      </c>
      <c r="H366" s="3" t="s">
        <v>25</v>
      </c>
      <c r="I366" s="6">
        <v>44531</v>
      </c>
      <c r="J366" s="4">
        <v>0</v>
      </c>
      <c r="K366" s="4">
        <v>0</v>
      </c>
      <c r="L366" s="4">
        <v>0.59099999999999997</v>
      </c>
      <c r="M366" s="4">
        <v>0.59099999999999997</v>
      </c>
      <c r="N366" s="4">
        <v>0.59099999999999997</v>
      </c>
      <c r="O366" s="4">
        <v>0.59099999999999997</v>
      </c>
      <c r="P366" s="4">
        <v>0</v>
      </c>
      <c r="Q366" s="3" t="s">
        <v>26</v>
      </c>
      <c r="R366" s="3">
        <v>0</v>
      </c>
      <c r="S366" s="4">
        <v>0</v>
      </c>
      <c r="T366" s="4">
        <v>42</v>
      </c>
      <c r="U366" s="4">
        <v>63</v>
      </c>
      <c r="V366" s="4">
        <f>IF(ISERROR(VLOOKUP($S$366,'TAR FIN'!$A$1:$O$86,15,0)),0,VLOOKUP($S$366,'TAR FIN'!$A$1:$O$86,15,0))</f>
        <v>0</v>
      </c>
      <c r="W366" s="4">
        <f>IF(ISERROR(VLOOKUP($T$366,'TAR FIN'!$A$1:$O$86,15,0)),0,VLOOKUP($T$366,'TAR FIN'!$A$1:$O$86,15,0))</f>
        <v>430.35</v>
      </c>
      <c r="X366" s="4">
        <f>IF(ISERROR(VLOOKUP($U$366,'TAR FIN'!$A$1:$O$86,15,0)),0,VLOOKUP($U$366,'TAR FIN'!$A$1:$O$86,15,0))</f>
        <v>186.16</v>
      </c>
      <c r="Y366" s="4"/>
      <c r="Z366" s="4">
        <f ca="1">('TUSD BE'!$AM$33+'TUSD BF'!$AM$33+'TUSD CVA'!$AM$33)*(1-CUSTOS!$M$38)</f>
        <v>536.63434130853489</v>
      </c>
      <c r="AA366" s="4">
        <f>('TE BE'!$AB$24+'TE BF'!$AB$24+'TE CVA'!$AB$24)*(1-CUSTOS!$M$38)</f>
        <v>184.7746360391113</v>
      </c>
      <c r="AB366" s="4">
        <f>$K$366*$V$366</f>
        <v>0</v>
      </c>
      <c r="AC366" s="4">
        <f>$M$366*$W$366</f>
        <v>254.33685</v>
      </c>
      <c r="AD366" s="4">
        <f>$O$366*$X$366</f>
        <v>110.02055999999999</v>
      </c>
      <c r="AE366" s="4">
        <f>$K$366*$Y$366</f>
        <v>0</v>
      </c>
      <c r="AF366" s="4">
        <f ca="1">$M$366*$Z$366</f>
        <v>317.15089571334408</v>
      </c>
      <c r="AG366" s="4">
        <f>$O$366*$AA$366</f>
        <v>109.20180989911478</v>
      </c>
    </row>
    <row r="367" spans="1:33" ht="11.25" customHeight="1" x14ac:dyDescent="0.25">
      <c r="A367" s="3" t="s">
        <v>21</v>
      </c>
      <c r="B367" s="3" t="s">
        <v>41</v>
      </c>
      <c r="C367" s="3" t="s">
        <v>23</v>
      </c>
      <c r="D367" s="3" t="s">
        <v>42</v>
      </c>
      <c r="E367" s="3" t="s">
        <v>49</v>
      </c>
      <c r="F367" s="3" t="s">
        <v>50</v>
      </c>
      <c r="G367" s="3" t="s">
        <v>25</v>
      </c>
      <c r="H367" s="3" t="s">
        <v>25</v>
      </c>
      <c r="I367" s="6">
        <v>44562</v>
      </c>
      <c r="J367" s="4">
        <v>0</v>
      </c>
      <c r="K367" s="4">
        <v>0</v>
      </c>
      <c r="L367" s="4">
        <v>37.627000000000002</v>
      </c>
      <c r="M367" s="4">
        <v>37.627000000000002</v>
      </c>
      <c r="N367" s="4">
        <v>37.627000000000002</v>
      </c>
      <c r="O367" s="4">
        <v>37.627000000000002</v>
      </c>
      <c r="P367" s="4">
        <v>0</v>
      </c>
      <c r="Q367" s="3" t="s">
        <v>26</v>
      </c>
      <c r="R367" s="3">
        <v>0</v>
      </c>
      <c r="S367" s="4">
        <v>0</v>
      </c>
      <c r="T367" s="4">
        <v>42</v>
      </c>
      <c r="U367" s="4">
        <v>63</v>
      </c>
      <c r="V367" s="4">
        <f>IF(ISERROR(VLOOKUP($S$367,'TAR FIN'!$A$1:$O$86,15,0)),0,VLOOKUP($S$367,'TAR FIN'!$A$1:$O$86,15,0))</f>
        <v>0</v>
      </c>
      <c r="W367" s="4">
        <f>IF(ISERROR(VLOOKUP($T$367,'TAR FIN'!$A$1:$O$86,15,0)),0,VLOOKUP($T$367,'TAR FIN'!$A$1:$O$86,15,0))</f>
        <v>430.35</v>
      </c>
      <c r="X367" s="4">
        <f>IF(ISERROR(VLOOKUP($U$367,'TAR FIN'!$A$1:$O$86,15,0)),0,VLOOKUP($U$367,'TAR FIN'!$A$1:$O$86,15,0))</f>
        <v>186.16</v>
      </c>
      <c r="Y367" s="4"/>
      <c r="Z367" s="4">
        <f ca="1">('TUSD BE'!$AM$33+'TUSD BF'!$AM$33+'TUSD CVA'!$AM$33)*(1-CUSTOS!$M$38)</f>
        <v>536.63434130853489</v>
      </c>
      <c r="AA367" s="4">
        <f>('TE BE'!$AB$24+'TE BF'!$AB$24+'TE CVA'!$AB$24)*(1-CUSTOS!$M$38)</f>
        <v>184.7746360391113</v>
      </c>
      <c r="AB367" s="4">
        <f>$K$367*$V$367</f>
        <v>0</v>
      </c>
      <c r="AC367" s="4">
        <f>$M$367*$W$367</f>
        <v>16192.779450000002</v>
      </c>
      <c r="AD367" s="4">
        <f>$O$367*$X$367</f>
        <v>7004.6423199999999</v>
      </c>
      <c r="AE367" s="4">
        <f>$K$367*$Y$367</f>
        <v>0</v>
      </c>
      <c r="AF367" s="4">
        <f ca="1">$M$367*$Z$367</f>
        <v>20191.940360416243</v>
      </c>
      <c r="AG367" s="4">
        <f>$O$367*$AA$367</f>
        <v>6952.5152302436418</v>
      </c>
    </row>
    <row r="368" spans="1:33" ht="11.25" customHeight="1" x14ac:dyDescent="0.25">
      <c r="A368" s="3" t="s">
        <v>28</v>
      </c>
      <c r="B368" s="3" t="s">
        <v>41</v>
      </c>
      <c r="C368" s="3" t="s">
        <v>23</v>
      </c>
      <c r="D368" s="3" t="s">
        <v>42</v>
      </c>
      <c r="E368" s="3" t="s">
        <v>49</v>
      </c>
      <c r="F368" s="3" t="s">
        <v>50</v>
      </c>
      <c r="G368" s="3" t="s">
        <v>25</v>
      </c>
      <c r="H368" s="3" t="s">
        <v>25</v>
      </c>
      <c r="I368" s="6">
        <v>44562</v>
      </c>
      <c r="J368" s="4">
        <v>0</v>
      </c>
      <c r="K368" s="4">
        <v>0</v>
      </c>
      <c r="L368" s="4">
        <v>1.292</v>
      </c>
      <c r="M368" s="4">
        <v>1.292</v>
      </c>
      <c r="N368" s="4">
        <v>1.292</v>
      </c>
      <c r="O368" s="4">
        <v>1.292</v>
      </c>
      <c r="P368" s="4">
        <v>0</v>
      </c>
      <c r="Q368" s="3" t="s">
        <v>26</v>
      </c>
      <c r="R368" s="3">
        <v>0</v>
      </c>
      <c r="S368" s="4">
        <v>0</v>
      </c>
      <c r="T368" s="4">
        <v>42</v>
      </c>
      <c r="U368" s="4">
        <v>63</v>
      </c>
      <c r="V368" s="4">
        <f>IF(ISERROR(VLOOKUP($S$368,'TAR FIN'!$A$1:$O$86,15,0)),0,VLOOKUP($S$368,'TAR FIN'!$A$1:$O$86,15,0))</f>
        <v>0</v>
      </c>
      <c r="W368" s="4">
        <f>IF(ISERROR(VLOOKUP($T$368,'TAR FIN'!$A$1:$O$86,15,0)),0,VLOOKUP($T$368,'TAR FIN'!$A$1:$O$86,15,0))</f>
        <v>430.35</v>
      </c>
      <c r="X368" s="4">
        <f>IF(ISERROR(VLOOKUP($U$368,'TAR FIN'!$A$1:$O$86,15,0)),0,VLOOKUP($U$368,'TAR FIN'!$A$1:$O$86,15,0))</f>
        <v>186.16</v>
      </c>
      <c r="Y368" s="4"/>
      <c r="Z368" s="4">
        <f ca="1">('TUSD BE'!$AM$33+'TUSD BF'!$AM$33+'TUSD CVA'!$AM$33)*(1-CUSTOS!$M$38)</f>
        <v>536.63434130853489</v>
      </c>
      <c r="AA368" s="4">
        <f>('TE BE'!$AB$24+'TE BF'!$AB$24+'TE CVA'!$AB$24)*(1-CUSTOS!$M$38)</f>
        <v>184.7746360391113</v>
      </c>
      <c r="AB368" s="4">
        <f>$K$368*$V$368</f>
        <v>0</v>
      </c>
      <c r="AC368" s="4">
        <f>$M$368*$W$368</f>
        <v>556.01220000000001</v>
      </c>
      <c r="AD368" s="4">
        <f>$O$368*$X$368</f>
        <v>240.51872</v>
      </c>
      <c r="AE368" s="4">
        <f>$K$368*$Y$368</f>
        <v>0</v>
      </c>
      <c r="AF368" s="4">
        <f ca="1">$M$368*$Z$368</f>
        <v>693.33156897062713</v>
      </c>
      <c r="AG368" s="4">
        <f>$O$368*$AA$368</f>
        <v>238.7288297625318</v>
      </c>
    </row>
    <row r="369" spans="1:33" ht="11.25" customHeight="1" x14ac:dyDescent="0.25">
      <c r="A369" s="3" t="s">
        <v>21</v>
      </c>
      <c r="B369" s="3" t="s">
        <v>41</v>
      </c>
      <c r="C369" s="3" t="s">
        <v>23</v>
      </c>
      <c r="D369" s="3" t="s">
        <v>42</v>
      </c>
      <c r="E369" s="3" t="s">
        <v>49</v>
      </c>
      <c r="F369" s="3" t="s">
        <v>50</v>
      </c>
      <c r="G369" s="3" t="s">
        <v>25</v>
      </c>
      <c r="H369" s="3" t="s">
        <v>25</v>
      </c>
      <c r="I369" s="6">
        <v>44593</v>
      </c>
      <c r="J369" s="4">
        <v>0</v>
      </c>
      <c r="K369" s="4">
        <v>0</v>
      </c>
      <c r="L369" s="4">
        <v>31.638999999999999</v>
      </c>
      <c r="M369" s="4">
        <v>31.638999999999999</v>
      </c>
      <c r="N369" s="4">
        <v>31.638999999999999</v>
      </c>
      <c r="O369" s="4">
        <v>31.638999999999999</v>
      </c>
      <c r="P369" s="4">
        <v>0</v>
      </c>
      <c r="Q369" s="3" t="s">
        <v>26</v>
      </c>
      <c r="R369" s="3">
        <v>0</v>
      </c>
      <c r="S369" s="4">
        <v>0</v>
      </c>
      <c r="T369" s="4">
        <v>42</v>
      </c>
      <c r="U369" s="4">
        <v>63</v>
      </c>
      <c r="V369" s="4">
        <f>IF(ISERROR(VLOOKUP($S$369,'TAR FIN'!$A$1:$O$86,15,0)),0,VLOOKUP($S$369,'TAR FIN'!$A$1:$O$86,15,0))</f>
        <v>0</v>
      </c>
      <c r="W369" s="4">
        <f>IF(ISERROR(VLOOKUP($T$369,'TAR FIN'!$A$1:$O$86,15,0)),0,VLOOKUP($T$369,'TAR FIN'!$A$1:$O$86,15,0))</f>
        <v>430.35</v>
      </c>
      <c r="X369" s="4">
        <f>IF(ISERROR(VLOOKUP($U$369,'TAR FIN'!$A$1:$O$86,15,0)),0,VLOOKUP($U$369,'TAR FIN'!$A$1:$O$86,15,0))</f>
        <v>186.16</v>
      </c>
      <c r="Y369" s="4"/>
      <c r="Z369" s="4">
        <f ca="1">('TUSD BE'!$AM$33+'TUSD BF'!$AM$33+'TUSD CVA'!$AM$33)*(1-CUSTOS!$M$38)</f>
        <v>536.63434130853489</v>
      </c>
      <c r="AA369" s="4">
        <f>('TE BE'!$AB$24+'TE BF'!$AB$24+'TE CVA'!$AB$24)*(1-CUSTOS!$M$38)</f>
        <v>184.7746360391113</v>
      </c>
      <c r="AB369" s="4">
        <f>$K$369*$V$369</f>
        <v>0</v>
      </c>
      <c r="AC369" s="4">
        <f>$M$369*$W$369</f>
        <v>13615.843650000001</v>
      </c>
      <c r="AD369" s="4">
        <f>$O$369*$X$369</f>
        <v>5889.9162399999996</v>
      </c>
      <c r="AE369" s="4">
        <f>$K$369*$Y$369</f>
        <v>0</v>
      </c>
      <c r="AF369" s="4">
        <f ca="1">$M$369*$Z$369</f>
        <v>16978.573924660734</v>
      </c>
      <c r="AG369" s="4">
        <f>$O$369*$AA$369</f>
        <v>5846.0847096414427</v>
      </c>
    </row>
    <row r="370" spans="1:33" ht="11.25" customHeight="1" x14ac:dyDescent="0.25">
      <c r="A370" s="3" t="s">
        <v>28</v>
      </c>
      <c r="B370" s="3" t="s">
        <v>41</v>
      </c>
      <c r="C370" s="3" t="s">
        <v>23</v>
      </c>
      <c r="D370" s="3" t="s">
        <v>42</v>
      </c>
      <c r="E370" s="3" t="s">
        <v>49</v>
      </c>
      <c r="F370" s="3" t="s">
        <v>50</v>
      </c>
      <c r="G370" s="3" t="s">
        <v>25</v>
      </c>
      <c r="H370" s="3" t="s">
        <v>25</v>
      </c>
      <c r="I370" s="6">
        <v>44593</v>
      </c>
      <c r="J370" s="4">
        <v>0</v>
      </c>
      <c r="K370" s="4">
        <v>0</v>
      </c>
      <c r="L370" s="4">
        <v>0.05</v>
      </c>
      <c r="M370" s="4">
        <v>0.05</v>
      </c>
      <c r="N370" s="4">
        <v>0.05</v>
      </c>
      <c r="O370" s="4">
        <v>0.05</v>
      </c>
      <c r="P370" s="4">
        <v>0</v>
      </c>
      <c r="Q370" s="3" t="s">
        <v>26</v>
      </c>
      <c r="R370" s="3">
        <v>0</v>
      </c>
      <c r="S370" s="4">
        <v>0</v>
      </c>
      <c r="T370" s="4">
        <v>42</v>
      </c>
      <c r="U370" s="4">
        <v>63</v>
      </c>
      <c r="V370" s="4">
        <f>IF(ISERROR(VLOOKUP($S$370,'TAR FIN'!$A$1:$O$86,15,0)),0,VLOOKUP($S$370,'TAR FIN'!$A$1:$O$86,15,0))</f>
        <v>0</v>
      </c>
      <c r="W370" s="4">
        <f>IF(ISERROR(VLOOKUP($T$370,'TAR FIN'!$A$1:$O$86,15,0)),0,VLOOKUP($T$370,'TAR FIN'!$A$1:$O$86,15,0))</f>
        <v>430.35</v>
      </c>
      <c r="X370" s="4">
        <f>IF(ISERROR(VLOOKUP($U$370,'TAR FIN'!$A$1:$O$86,15,0)),0,VLOOKUP($U$370,'TAR FIN'!$A$1:$O$86,15,0))</f>
        <v>186.16</v>
      </c>
      <c r="Y370" s="4"/>
      <c r="Z370" s="4">
        <f ca="1">('TUSD BE'!$AM$33+'TUSD BF'!$AM$33+'TUSD CVA'!$AM$33)*(1-CUSTOS!$M$38)</f>
        <v>536.63434130853489</v>
      </c>
      <c r="AA370" s="4">
        <f>('TE BE'!$AB$24+'TE BF'!$AB$24+'TE CVA'!$AB$24)*(1-CUSTOS!$M$38)</f>
        <v>184.7746360391113</v>
      </c>
      <c r="AB370" s="4">
        <f>$K$370*$V$370</f>
        <v>0</v>
      </c>
      <c r="AC370" s="4">
        <f>$M$370*$W$370</f>
        <v>21.517500000000002</v>
      </c>
      <c r="AD370" s="4">
        <f>$O$370*$X$370</f>
        <v>9.3079999999999998</v>
      </c>
      <c r="AE370" s="4">
        <f>$K$370*$Y$370</f>
        <v>0</v>
      </c>
      <c r="AF370" s="4">
        <f ca="1">$M$370*$Z$370</f>
        <v>26.831717065426744</v>
      </c>
      <c r="AG370" s="4">
        <f>$O$370*$AA$370</f>
        <v>9.2387318019555646</v>
      </c>
    </row>
    <row r="371" spans="1:33" ht="11.25" customHeight="1" x14ac:dyDescent="0.25">
      <c r="A371" s="3" t="s">
        <v>21</v>
      </c>
      <c r="B371" s="3" t="s">
        <v>41</v>
      </c>
      <c r="C371" s="3" t="s">
        <v>23</v>
      </c>
      <c r="D371" s="3" t="s">
        <v>42</v>
      </c>
      <c r="E371" s="3" t="s">
        <v>49</v>
      </c>
      <c r="F371" s="3" t="s">
        <v>50</v>
      </c>
      <c r="G371" s="3" t="s">
        <v>25</v>
      </c>
      <c r="H371" s="3" t="s">
        <v>25</v>
      </c>
      <c r="I371" s="6">
        <v>44621</v>
      </c>
      <c r="J371" s="4">
        <v>0</v>
      </c>
      <c r="K371" s="4">
        <v>0</v>
      </c>
      <c r="L371" s="4">
        <v>47.743000000000002</v>
      </c>
      <c r="M371" s="4">
        <v>47.743000000000002</v>
      </c>
      <c r="N371" s="4">
        <v>47.743000000000002</v>
      </c>
      <c r="O371" s="4">
        <v>47.743000000000002</v>
      </c>
      <c r="P371" s="4">
        <v>0</v>
      </c>
      <c r="Q371" s="3" t="s">
        <v>26</v>
      </c>
      <c r="R371" s="3">
        <v>0</v>
      </c>
      <c r="S371" s="4">
        <v>0</v>
      </c>
      <c r="T371" s="4">
        <v>42</v>
      </c>
      <c r="U371" s="4">
        <v>63</v>
      </c>
      <c r="V371" s="4">
        <f>IF(ISERROR(VLOOKUP($S$371,'TAR FIN'!$A$1:$O$86,15,0)),0,VLOOKUP($S$371,'TAR FIN'!$A$1:$O$86,15,0))</f>
        <v>0</v>
      </c>
      <c r="W371" s="4">
        <f>IF(ISERROR(VLOOKUP($T$371,'TAR FIN'!$A$1:$O$86,15,0)),0,VLOOKUP($T$371,'TAR FIN'!$A$1:$O$86,15,0))</f>
        <v>430.35</v>
      </c>
      <c r="X371" s="4">
        <f>IF(ISERROR(VLOOKUP($U$371,'TAR FIN'!$A$1:$O$86,15,0)),0,VLOOKUP($U$371,'TAR FIN'!$A$1:$O$86,15,0))</f>
        <v>186.16</v>
      </c>
      <c r="Y371" s="4"/>
      <c r="Z371" s="4">
        <f ca="1">('TUSD BE'!$AM$33+'TUSD BF'!$AM$33+'TUSD CVA'!$AM$33)*(1-CUSTOS!$M$38)</f>
        <v>536.63434130853489</v>
      </c>
      <c r="AA371" s="4">
        <f>('TE BE'!$AB$24+'TE BF'!$AB$24+'TE CVA'!$AB$24)*(1-CUSTOS!$M$38)</f>
        <v>184.7746360391113</v>
      </c>
      <c r="AB371" s="4">
        <f>$K$371*$V$371</f>
        <v>0</v>
      </c>
      <c r="AC371" s="4">
        <f>$M$371*$W$371</f>
        <v>20546.200050000003</v>
      </c>
      <c r="AD371" s="4">
        <f>$O$371*$X$371</f>
        <v>8887.8368800000007</v>
      </c>
      <c r="AE371" s="4">
        <f>$K$371*$Y$371</f>
        <v>0</v>
      </c>
      <c r="AF371" s="4">
        <f ca="1">$M$371*$Z$371</f>
        <v>25620.533357093384</v>
      </c>
      <c r="AG371" s="4">
        <f>$O$371*$AA$371</f>
        <v>8821.695448415292</v>
      </c>
    </row>
    <row r="372" spans="1:33" ht="11.25" customHeight="1" x14ac:dyDescent="0.25">
      <c r="A372" s="3" t="s">
        <v>27</v>
      </c>
      <c r="B372" s="3" t="s">
        <v>41</v>
      </c>
      <c r="C372" s="3" t="s">
        <v>23</v>
      </c>
      <c r="D372" s="3" t="s">
        <v>42</v>
      </c>
      <c r="E372" s="3" t="s">
        <v>49</v>
      </c>
      <c r="F372" s="3" t="s">
        <v>50</v>
      </c>
      <c r="G372" s="3" t="s">
        <v>25</v>
      </c>
      <c r="H372" s="3" t="s">
        <v>25</v>
      </c>
      <c r="I372" s="6">
        <v>44621</v>
      </c>
      <c r="J372" s="4">
        <v>0</v>
      </c>
      <c r="K372" s="4">
        <v>0</v>
      </c>
      <c r="L372" s="4">
        <v>-5.843</v>
      </c>
      <c r="M372" s="4">
        <v>-5.843</v>
      </c>
      <c r="N372" s="4">
        <v>-5.843</v>
      </c>
      <c r="O372" s="4">
        <v>-5.843</v>
      </c>
      <c r="P372" s="4">
        <v>0</v>
      </c>
      <c r="Q372" s="3" t="s">
        <v>26</v>
      </c>
      <c r="R372" s="3">
        <v>0</v>
      </c>
      <c r="S372" s="4">
        <v>0</v>
      </c>
      <c r="T372" s="4">
        <v>42</v>
      </c>
      <c r="U372" s="4">
        <v>63</v>
      </c>
      <c r="V372" s="4">
        <f>IF(ISERROR(VLOOKUP($S$372,'TAR FIN'!$A$1:$O$86,15,0)),0,VLOOKUP($S$372,'TAR FIN'!$A$1:$O$86,15,0))</f>
        <v>0</v>
      </c>
      <c r="W372" s="4">
        <f>IF(ISERROR(VLOOKUP($T$372,'TAR FIN'!$A$1:$O$86,15,0)),0,VLOOKUP($T$372,'TAR FIN'!$A$1:$O$86,15,0))</f>
        <v>430.35</v>
      </c>
      <c r="X372" s="4">
        <f>IF(ISERROR(VLOOKUP($U$372,'TAR FIN'!$A$1:$O$86,15,0)),0,VLOOKUP($U$372,'TAR FIN'!$A$1:$O$86,15,0))</f>
        <v>186.16</v>
      </c>
      <c r="Y372" s="4"/>
      <c r="Z372" s="4">
        <f ca="1">('TUSD BE'!$AM$33+'TUSD BF'!$AM$33+'TUSD CVA'!$AM$33)*(1-CUSTOS!$M$38)</f>
        <v>536.63434130853489</v>
      </c>
      <c r="AA372" s="4">
        <f>('TE BE'!$AB$24+'TE BF'!$AB$24+'TE CVA'!$AB$24)*(1-CUSTOS!$M$38)</f>
        <v>184.7746360391113</v>
      </c>
      <c r="AB372" s="4">
        <f>$K$372*$V$372</f>
        <v>0</v>
      </c>
      <c r="AC372" s="4">
        <f>$M$372*$W$372</f>
        <v>-2514.53505</v>
      </c>
      <c r="AD372" s="4">
        <f>$O$372*$X$372</f>
        <v>-1087.73288</v>
      </c>
      <c r="AE372" s="4">
        <f>$K$372*$Y$372</f>
        <v>0</v>
      </c>
      <c r="AF372" s="4">
        <f ca="1">$M$372*$Z$372</f>
        <v>-3135.5544562657692</v>
      </c>
      <c r="AG372" s="4">
        <f>$O$372*$AA$372</f>
        <v>-1079.6381983765273</v>
      </c>
    </row>
    <row r="373" spans="1:33" ht="11.25" customHeight="1" x14ac:dyDescent="0.25">
      <c r="A373" s="3" t="s">
        <v>28</v>
      </c>
      <c r="B373" s="3" t="s">
        <v>41</v>
      </c>
      <c r="C373" s="3" t="s">
        <v>23</v>
      </c>
      <c r="D373" s="3" t="s">
        <v>42</v>
      </c>
      <c r="E373" s="3" t="s">
        <v>49</v>
      </c>
      <c r="F373" s="3" t="s">
        <v>50</v>
      </c>
      <c r="G373" s="3" t="s">
        <v>25</v>
      </c>
      <c r="H373" s="3" t="s">
        <v>25</v>
      </c>
      <c r="I373" s="6">
        <v>44621</v>
      </c>
      <c r="J373" s="4">
        <v>0</v>
      </c>
      <c r="K373" s="4">
        <v>0</v>
      </c>
      <c r="L373" s="4">
        <v>0.05</v>
      </c>
      <c r="M373" s="4">
        <v>0.05</v>
      </c>
      <c r="N373" s="4">
        <v>0.05</v>
      </c>
      <c r="O373" s="4">
        <v>0.05</v>
      </c>
      <c r="P373" s="4">
        <v>0</v>
      </c>
      <c r="Q373" s="3" t="s">
        <v>26</v>
      </c>
      <c r="R373" s="3">
        <v>0</v>
      </c>
      <c r="S373" s="4">
        <v>0</v>
      </c>
      <c r="T373" s="4">
        <v>42</v>
      </c>
      <c r="U373" s="4">
        <v>63</v>
      </c>
      <c r="V373" s="4">
        <f>IF(ISERROR(VLOOKUP($S$373,'TAR FIN'!$A$1:$O$86,15,0)),0,VLOOKUP($S$373,'TAR FIN'!$A$1:$O$86,15,0))</f>
        <v>0</v>
      </c>
      <c r="W373" s="4">
        <f>IF(ISERROR(VLOOKUP($T$373,'TAR FIN'!$A$1:$O$86,15,0)),0,VLOOKUP($T$373,'TAR FIN'!$A$1:$O$86,15,0))</f>
        <v>430.35</v>
      </c>
      <c r="X373" s="4">
        <f>IF(ISERROR(VLOOKUP($U$373,'TAR FIN'!$A$1:$O$86,15,0)),0,VLOOKUP($U$373,'TAR FIN'!$A$1:$O$86,15,0))</f>
        <v>186.16</v>
      </c>
      <c r="Y373" s="4"/>
      <c r="Z373" s="4">
        <f ca="1">('TUSD BE'!$AM$33+'TUSD BF'!$AM$33+'TUSD CVA'!$AM$33)*(1-CUSTOS!$M$38)</f>
        <v>536.63434130853489</v>
      </c>
      <c r="AA373" s="4">
        <f>('TE BE'!$AB$24+'TE BF'!$AB$24+'TE CVA'!$AB$24)*(1-CUSTOS!$M$38)</f>
        <v>184.7746360391113</v>
      </c>
      <c r="AB373" s="4">
        <f>$K$373*$V$373</f>
        <v>0</v>
      </c>
      <c r="AC373" s="4">
        <f>$M$373*$W$373</f>
        <v>21.517500000000002</v>
      </c>
      <c r="AD373" s="4">
        <f>$O$373*$X$373</f>
        <v>9.3079999999999998</v>
      </c>
      <c r="AE373" s="4">
        <f>$K$373*$Y$373</f>
        <v>0</v>
      </c>
      <c r="AF373" s="4">
        <f ca="1">$M$373*$Z$373</f>
        <v>26.831717065426744</v>
      </c>
      <c r="AG373" s="4">
        <f>$O$373*$AA$373</f>
        <v>9.2387318019555646</v>
      </c>
    </row>
    <row r="374" spans="1:33" ht="11.25" customHeight="1" x14ac:dyDescent="0.25">
      <c r="A374" s="3" t="s">
        <v>21</v>
      </c>
      <c r="B374" s="3" t="s">
        <v>41</v>
      </c>
      <c r="C374" s="3" t="s">
        <v>23</v>
      </c>
      <c r="D374" s="3" t="s">
        <v>42</v>
      </c>
      <c r="E374" s="3" t="s">
        <v>49</v>
      </c>
      <c r="F374" s="3" t="s">
        <v>50</v>
      </c>
      <c r="G374" s="3" t="s">
        <v>25</v>
      </c>
      <c r="H374" s="3" t="s">
        <v>25</v>
      </c>
      <c r="I374" s="6">
        <v>44652</v>
      </c>
      <c r="J374" s="4">
        <v>0</v>
      </c>
      <c r="K374" s="4">
        <v>0</v>
      </c>
      <c r="L374" s="4">
        <v>2.0830000000000002</v>
      </c>
      <c r="M374" s="4">
        <v>2.0830000000000002</v>
      </c>
      <c r="N374" s="4">
        <v>2.0830000000000002</v>
      </c>
      <c r="O374" s="4">
        <v>2.0830000000000002</v>
      </c>
      <c r="P374" s="4">
        <v>0</v>
      </c>
      <c r="Q374" s="3" t="s">
        <v>26</v>
      </c>
      <c r="R374" s="3">
        <v>0</v>
      </c>
      <c r="S374" s="4">
        <v>0</v>
      </c>
      <c r="T374" s="4">
        <v>42</v>
      </c>
      <c r="U374" s="4">
        <v>63</v>
      </c>
      <c r="V374" s="4">
        <f>IF(ISERROR(VLOOKUP($S$374,'TAR FIN'!$A$1:$O$86,15,0)),0,VLOOKUP($S$374,'TAR FIN'!$A$1:$O$86,15,0))</f>
        <v>0</v>
      </c>
      <c r="W374" s="4">
        <f>IF(ISERROR(VLOOKUP($T$374,'TAR FIN'!$A$1:$O$86,15,0)),0,VLOOKUP($T$374,'TAR FIN'!$A$1:$O$86,15,0))</f>
        <v>430.35</v>
      </c>
      <c r="X374" s="4">
        <f>IF(ISERROR(VLOOKUP($U$374,'TAR FIN'!$A$1:$O$86,15,0)),0,VLOOKUP($U$374,'TAR FIN'!$A$1:$O$86,15,0))</f>
        <v>186.16</v>
      </c>
      <c r="Y374" s="4"/>
      <c r="Z374" s="4">
        <f ca="1">('TUSD BE'!$AM$33+'TUSD BF'!$AM$33+'TUSD CVA'!$AM$33)*(1-CUSTOS!$M$38)</f>
        <v>536.63434130853489</v>
      </c>
      <c r="AA374" s="4">
        <f>('TE BE'!$AB$24+'TE BF'!$AB$24+'TE CVA'!$AB$24)*(1-CUSTOS!$M$38)</f>
        <v>184.7746360391113</v>
      </c>
      <c r="AB374" s="4">
        <f>$K$374*$V$374</f>
        <v>0</v>
      </c>
      <c r="AC374" s="4">
        <f>$M$374*$W$374</f>
        <v>896.41905000000008</v>
      </c>
      <c r="AD374" s="4">
        <f>$O$374*$X$374</f>
        <v>387.77128000000005</v>
      </c>
      <c r="AE374" s="4">
        <f>$K$374*$Y$374</f>
        <v>0</v>
      </c>
      <c r="AF374" s="4">
        <f ca="1">$M$374*$Z$374</f>
        <v>1117.8093329456783</v>
      </c>
      <c r="AG374" s="4">
        <f>$O$374*$AA$374</f>
        <v>384.88556686946885</v>
      </c>
    </row>
    <row r="375" spans="1:33" ht="11.25" customHeight="1" x14ac:dyDescent="0.25">
      <c r="A375" s="3" t="s">
        <v>27</v>
      </c>
      <c r="B375" s="3" t="s">
        <v>41</v>
      </c>
      <c r="C375" s="3" t="s">
        <v>23</v>
      </c>
      <c r="D375" s="3" t="s">
        <v>42</v>
      </c>
      <c r="E375" s="3" t="s">
        <v>49</v>
      </c>
      <c r="F375" s="3" t="s">
        <v>50</v>
      </c>
      <c r="G375" s="3" t="s">
        <v>25</v>
      </c>
      <c r="H375" s="3" t="s">
        <v>25</v>
      </c>
      <c r="I375" s="6">
        <v>44652</v>
      </c>
      <c r="J375" s="4">
        <v>0</v>
      </c>
      <c r="K375" s="4">
        <v>0</v>
      </c>
      <c r="L375" s="4">
        <v>-30.838999999999999</v>
      </c>
      <c r="M375" s="4">
        <v>-30.838999999999999</v>
      </c>
      <c r="N375" s="4">
        <v>-30.838999999999999</v>
      </c>
      <c r="O375" s="4">
        <v>-30.838999999999999</v>
      </c>
      <c r="P375" s="4">
        <v>0</v>
      </c>
      <c r="Q375" s="3" t="s">
        <v>26</v>
      </c>
      <c r="R375" s="3">
        <v>0</v>
      </c>
      <c r="S375" s="4">
        <v>0</v>
      </c>
      <c r="T375" s="4">
        <v>42</v>
      </c>
      <c r="U375" s="4">
        <v>63</v>
      </c>
      <c r="V375" s="4">
        <f>IF(ISERROR(VLOOKUP($S$375,'TAR FIN'!$A$1:$O$86,15,0)),0,VLOOKUP($S$375,'TAR FIN'!$A$1:$O$86,15,0))</f>
        <v>0</v>
      </c>
      <c r="W375" s="4">
        <f>IF(ISERROR(VLOOKUP($T$375,'TAR FIN'!$A$1:$O$86,15,0)),0,VLOOKUP($T$375,'TAR FIN'!$A$1:$O$86,15,0))</f>
        <v>430.35</v>
      </c>
      <c r="X375" s="4">
        <f>IF(ISERROR(VLOOKUP($U$375,'TAR FIN'!$A$1:$O$86,15,0)),0,VLOOKUP($U$375,'TAR FIN'!$A$1:$O$86,15,0))</f>
        <v>186.16</v>
      </c>
      <c r="Y375" s="4"/>
      <c r="Z375" s="4">
        <f ca="1">('TUSD BE'!$AM$33+'TUSD BF'!$AM$33+'TUSD CVA'!$AM$33)*(1-CUSTOS!$M$38)</f>
        <v>536.63434130853489</v>
      </c>
      <c r="AA375" s="4">
        <f>('TE BE'!$AB$24+'TE BF'!$AB$24+'TE CVA'!$AB$24)*(1-CUSTOS!$M$38)</f>
        <v>184.7746360391113</v>
      </c>
      <c r="AB375" s="4">
        <f>$K$375*$V$375</f>
        <v>0</v>
      </c>
      <c r="AC375" s="4">
        <f>$M$375*$W$375</f>
        <v>-13271.56365</v>
      </c>
      <c r="AD375" s="4">
        <f>$O$375*$X$375</f>
        <v>-5740.9882399999997</v>
      </c>
      <c r="AE375" s="4">
        <f>$K$375*$Y$375</f>
        <v>0</v>
      </c>
      <c r="AF375" s="4">
        <f ca="1">$M$375*$Z$375</f>
        <v>-16549.266451613905</v>
      </c>
      <c r="AG375" s="4">
        <f>$O$375*$AA$375</f>
        <v>-5698.2650008101527</v>
      </c>
    </row>
    <row r="376" spans="1:33" ht="11.25" customHeight="1" x14ac:dyDescent="0.25">
      <c r="A376" s="3" t="s">
        <v>28</v>
      </c>
      <c r="B376" s="3" t="s">
        <v>41</v>
      </c>
      <c r="C376" s="3" t="s">
        <v>23</v>
      </c>
      <c r="D376" s="3" t="s">
        <v>42</v>
      </c>
      <c r="E376" s="3" t="s">
        <v>49</v>
      </c>
      <c r="F376" s="3" t="s">
        <v>50</v>
      </c>
      <c r="G376" s="3" t="s">
        <v>25</v>
      </c>
      <c r="H376" s="3" t="s">
        <v>25</v>
      </c>
      <c r="I376" s="6">
        <v>44652</v>
      </c>
      <c r="J376" s="4">
        <v>0</v>
      </c>
      <c r="K376" s="4">
        <v>0</v>
      </c>
      <c r="L376" s="4">
        <v>0.05</v>
      </c>
      <c r="M376" s="4">
        <v>0.05</v>
      </c>
      <c r="N376" s="4">
        <v>0.05</v>
      </c>
      <c r="O376" s="4">
        <v>0.05</v>
      </c>
      <c r="P376" s="4">
        <v>0</v>
      </c>
      <c r="Q376" s="3" t="s">
        <v>26</v>
      </c>
      <c r="R376" s="3">
        <v>0</v>
      </c>
      <c r="S376" s="4">
        <v>0</v>
      </c>
      <c r="T376" s="4">
        <v>42</v>
      </c>
      <c r="U376" s="4">
        <v>63</v>
      </c>
      <c r="V376" s="4">
        <f>IF(ISERROR(VLOOKUP($S$376,'TAR FIN'!$A$1:$O$86,15,0)),0,VLOOKUP($S$376,'TAR FIN'!$A$1:$O$86,15,0))</f>
        <v>0</v>
      </c>
      <c r="W376" s="4">
        <f>IF(ISERROR(VLOOKUP($T$376,'TAR FIN'!$A$1:$O$86,15,0)),0,VLOOKUP($T$376,'TAR FIN'!$A$1:$O$86,15,0))</f>
        <v>430.35</v>
      </c>
      <c r="X376" s="4">
        <f>IF(ISERROR(VLOOKUP($U$376,'TAR FIN'!$A$1:$O$86,15,0)),0,VLOOKUP($U$376,'TAR FIN'!$A$1:$O$86,15,0))</f>
        <v>186.16</v>
      </c>
      <c r="Y376" s="4"/>
      <c r="Z376" s="4">
        <f ca="1">('TUSD BE'!$AM$33+'TUSD BF'!$AM$33+'TUSD CVA'!$AM$33)*(1-CUSTOS!$M$38)</f>
        <v>536.63434130853489</v>
      </c>
      <c r="AA376" s="4">
        <f>('TE BE'!$AB$24+'TE BF'!$AB$24+'TE CVA'!$AB$24)*(1-CUSTOS!$M$38)</f>
        <v>184.7746360391113</v>
      </c>
      <c r="AB376" s="4">
        <f>$K$376*$V$376</f>
        <v>0</v>
      </c>
      <c r="AC376" s="4">
        <f>$M$376*$W$376</f>
        <v>21.517500000000002</v>
      </c>
      <c r="AD376" s="4">
        <f>$O$376*$X$376</f>
        <v>9.3079999999999998</v>
      </c>
      <c r="AE376" s="4">
        <f>$K$376*$Y$376</f>
        <v>0</v>
      </c>
      <c r="AF376" s="4">
        <f ca="1">$M$376*$Z$376</f>
        <v>26.831717065426744</v>
      </c>
      <c r="AG376" s="4">
        <f>$O$376*$AA$376</f>
        <v>9.2387318019555646</v>
      </c>
    </row>
    <row r="377" spans="1:33" ht="11.25" customHeight="1" x14ac:dyDescent="0.25">
      <c r="A377" s="3" t="s">
        <v>21</v>
      </c>
      <c r="B377" s="3" t="s">
        <v>41</v>
      </c>
      <c r="C377" s="3" t="s">
        <v>23</v>
      </c>
      <c r="D377" s="3" t="s">
        <v>42</v>
      </c>
      <c r="E377" s="3" t="s">
        <v>49</v>
      </c>
      <c r="F377" s="3" t="s">
        <v>50</v>
      </c>
      <c r="G377" s="3" t="s">
        <v>25</v>
      </c>
      <c r="H377" s="3" t="s">
        <v>25</v>
      </c>
      <c r="I377" s="6">
        <v>44682</v>
      </c>
      <c r="J377" s="4">
        <v>0</v>
      </c>
      <c r="K377" s="4">
        <v>0</v>
      </c>
      <c r="L377" s="4">
        <v>1.9770000000000001</v>
      </c>
      <c r="M377" s="4">
        <v>1.9770000000000001</v>
      </c>
      <c r="N377" s="4">
        <v>1.9770000000000001</v>
      </c>
      <c r="O377" s="4">
        <v>1.9770000000000001</v>
      </c>
      <c r="P377" s="4">
        <v>0</v>
      </c>
      <c r="Q377" s="3" t="s">
        <v>26</v>
      </c>
      <c r="R377" s="3">
        <v>0</v>
      </c>
      <c r="S377" s="4">
        <v>0</v>
      </c>
      <c r="T377" s="4">
        <v>42</v>
      </c>
      <c r="U377" s="4">
        <v>63</v>
      </c>
      <c r="V377" s="4">
        <f>IF(ISERROR(VLOOKUP($S$377,'TAR FIN'!$A$1:$O$86,15,0)),0,VLOOKUP($S$377,'TAR FIN'!$A$1:$O$86,15,0))</f>
        <v>0</v>
      </c>
      <c r="W377" s="4">
        <f>IF(ISERROR(VLOOKUP($T$377,'TAR FIN'!$A$1:$O$86,15,0)),0,VLOOKUP($T$377,'TAR FIN'!$A$1:$O$86,15,0))</f>
        <v>430.35</v>
      </c>
      <c r="X377" s="4">
        <f>IF(ISERROR(VLOOKUP($U$377,'TAR FIN'!$A$1:$O$86,15,0)),0,VLOOKUP($U$377,'TAR FIN'!$A$1:$O$86,15,0))</f>
        <v>186.16</v>
      </c>
      <c r="Y377" s="4"/>
      <c r="Z377" s="4">
        <f ca="1">('TUSD BE'!$AM$33+'TUSD BF'!$AM$33+'TUSD CVA'!$AM$33)*(1-CUSTOS!$M$38)</f>
        <v>536.63434130853489</v>
      </c>
      <c r="AA377" s="4">
        <f>('TE BE'!$AB$24+'TE BF'!$AB$24+'TE CVA'!$AB$24)*(1-CUSTOS!$M$38)</f>
        <v>184.7746360391113</v>
      </c>
      <c r="AB377" s="4">
        <f>$K$377*$V$377</f>
        <v>0</v>
      </c>
      <c r="AC377" s="4">
        <f>$M$377*$W$377</f>
        <v>850.80195000000003</v>
      </c>
      <c r="AD377" s="4">
        <f>$O$377*$X$377</f>
        <v>368.03832</v>
      </c>
      <c r="AE377" s="4">
        <f>$K$377*$Y$377</f>
        <v>0</v>
      </c>
      <c r="AF377" s="4">
        <f ca="1">$M$377*$Z$377</f>
        <v>1060.9260927669736</v>
      </c>
      <c r="AG377" s="4">
        <f>$O$377*$AA$377</f>
        <v>365.29945544932303</v>
      </c>
    </row>
    <row r="378" spans="1:33" ht="11.25" customHeight="1" x14ac:dyDescent="0.25">
      <c r="A378" s="3" t="s">
        <v>28</v>
      </c>
      <c r="B378" s="3" t="s">
        <v>41</v>
      </c>
      <c r="C378" s="3" t="s">
        <v>23</v>
      </c>
      <c r="D378" s="3" t="s">
        <v>42</v>
      </c>
      <c r="E378" s="3" t="s">
        <v>49</v>
      </c>
      <c r="F378" s="3" t="s">
        <v>50</v>
      </c>
      <c r="G378" s="3" t="s">
        <v>25</v>
      </c>
      <c r="H378" s="3" t="s">
        <v>25</v>
      </c>
      <c r="I378" s="6">
        <v>44682</v>
      </c>
      <c r="J378" s="4">
        <v>0</v>
      </c>
      <c r="K378" s="4">
        <v>0</v>
      </c>
      <c r="L378" s="4">
        <v>3.1E-2</v>
      </c>
      <c r="M378" s="4">
        <v>3.1E-2</v>
      </c>
      <c r="N378" s="4">
        <v>3.1E-2</v>
      </c>
      <c r="O378" s="4">
        <v>3.1E-2</v>
      </c>
      <c r="P378" s="4">
        <v>0</v>
      </c>
      <c r="Q378" s="3" t="s">
        <v>26</v>
      </c>
      <c r="R378" s="3">
        <v>0</v>
      </c>
      <c r="S378" s="4">
        <v>0</v>
      </c>
      <c r="T378" s="4">
        <v>42</v>
      </c>
      <c r="U378" s="4">
        <v>63</v>
      </c>
      <c r="V378" s="4">
        <f>IF(ISERROR(VLOOKUP($S$378,'TAR FIN'!$A$1:$O$86,15,0)),0,VLOOKUP($S$378,'TAR FIN'!$A$1:$O$86,15,0))</f>
        <v>0</v>
      </c>
      <c r="W378" s="4">
        <f>IF(ISERROR(VLOOKUP($T$378,'TAR FIN'!$A$1:$O$86,15,0)),0,VLOOKUP($T$378,'TAR FIN'!$A$1:$O$86,15,0))</f>
        <v>430.35</v>
      </c>
      <c r="X378" s="4">
        <f>IF(ISERROR(VLOOKUP($U$378,'TAR FIN'!$A$1:$O$86,15,0)),0,VLOOKUP($U$378,'TAR FIN'!$A$1:$O$86,15,0))</f>
        <v>186.16</v>
      </c>
      <c r="Y378" s="4"/>
      <c r="Z378" s="4">
        <f ca="1">('TUSD BE'!$AM$33+'TUSD BF'!$AM$33+'TUSD CVA'!$AM$33)*(1-CUSTOS!$M$38)</f>
        <v>536.63434130853489</v>
      </c>
      <c r="AA378" s="4">
        <f>('TE BE'!$AB$24+'TE BF'!$AB$24+'TE CVA'!$AB$24)*(1-CUSTOS!$M$38)</f>
        <v>184.7746360391113</v>
      </c>
      <c r="AB378" s="4">
        <f>$K$378*$V$378</f>
        <v>0</v>
      </c>
      <c r="AC378" s="4">
        <f>$M$378*$W$378</f>
        <v>13.340850000000001</v>
      </c>
      <c r="AD378" s="4">
        <f>$O$378*$X$378</f>
        <v>5.7709599999999996</v>
      </c>
      <c r="AE378" s="4">
        <f>$K$378*$Y$378</f>
        <v>0</v>
      </c>
      <c r="AF378" s="4">
        <f ca="1">$M$378*$Z$378</f>
        <v>16.63566458056458</v>
      </c>
      <c r="AG378" s="4">
        <f>$O$378*$AA$378</f>
        <v>5.7280137172124501</v>
      </c>
    </row>
    <row r="379" spans="1:33" ht="11.25" customHeight="1" x14ac:dyDescent="0.25">
      <c r="A379" s="3" t="s">
        <v>21</v>
      </c>
      <c r="B379" s="3" t="s">
        <v>41</v>
      </c>
      <c r="C379" s="3" t="s">
        <v>23</v>
      </c>
      <c r="D379" s="3" t="s">
        <v>42</v>
      </c>
      <c r="E379" s="3" t="s">
        <v>49</v>
      </c>
      <c r="F379" s="3" t="s">
        <v>50</v>
      </c>
      <c r="G379" s="3" t="s">
        <v>25</v>
      </c>
      <c r="H379" s="3" t="s">
        <v>25</v>
      </c>
      <c r="I379" s="6">
        <v>44713</v>
      </c>
      <c r="J379" s="4">
        <v>0</v>
      </c>
      <c r="K379" s="4">
        <v>0</v>
      </c>
      <c r="L379" s="4">
        <v>1.9339999999999999</v>
      </c>
      <c r="M379" s="4">
        <v>1.9339999999999999</v>
      </c>
      <c r="N379" s="4">
        <v>1.9339999999999999</v>
      </c>
      <c r="O379" s="4">
        <v>1.9339999999999999</v>
      </c>
      <c r="P379" s="4">
        <v>0</v>
      </c>
      <c r="Q379" s="3" t="s">
        <v>26</v>
      </c>
      <c r="R379" s="3">
        <v>0</v>
      </c>
      <c r="S379" s="4">
        <v>0</v>
      </c>
      <c r="T379" s="4">
        <v>42</v>
      </c>
      <c r="U379" s="4">
        <v>63</v>
      </c>
      <c r="V379" s="4">
        <f>IF(ISERROR(VLOOKUP($S$379,'TAR FIN'!$A$1:$O$86,15,0)),0,VLOOKUP($S$379,'TAR FIN'!$A$1:$O$86,15,0))</f>
        <v>0</v>
      </c>
      <c r="W379" s="4">
        <f>IF(ISERROR(VLOOKUP($T$379,'TAR FIN'!$A$1:$O$86,15,0)),0,VLOOKUP($T$379,'TAR FIN'!$A$1:$O$86,15,0))</f>
        <v>430.35</v>
      </c>
      <c r="X379" s="4">
        <f>IF(ISERROR(VLOOKUP($U$379,'TAR FIN'!$A$1:$O$86,15,0)),0,VLOOKUP($U$379,'TAR FIN'!$A$1:$O$86,15,0))</f>
        <v>186.16</v>
      </c>
      <c r="Y379" s="4"/>
      <c r="Z379" s="4">
        <f ca="1">('TUSD BE'!$AM$33+'TUSD BF'!$AM$33+'TUSD CVA'!$AM$33)*(1-CUSTOS!$M$38)</f>
        <v>536.63434130853489</v>
      </c>
      <c r="AA379" s="4">
        <f>('TE BE'!$AB$24+'TE BF'!$AB$24+'TE CVA'!$AB$24)*(1-CUSTOS!$M$38)</f>
        <v>184.7746360391113</v>
      </c>
      <c r="AB379" s="4">
        <f>$K$379*$V$379</f>
        <v>0</v>
      </c>
      <c r="AC379" s="4">
        <f>$M$379*$W$379</f>
        <v>832.29690000000005</v>
      </c>
      <c r="AD379" s="4">
        <f>$O$379*$X$379</f>
        <v>360.03343999999998</v>
      </c>
      <c r="AE379" s="4">
        <f>$K$379*$Y$379</f>
        <v>0</v>
      </c>
      <c r="AF379" s="4">
        <f ca="1">$M$379*$Z$379</f>
        <v>1037.8508160907065</v>
      </c>
      <c r="AG379" s="4">
        <f>$O$379*$AA$379</f>
        <v>357.35414609964124</v>
      </c>
    </row>
    <row r="380" spans="1:33" ht="11.25" customHeight="1" x14ac:dyDescent="0.25">
      <c r="A380" s="3" t="s">
        <v>28</v>
      </c>
      <c r="B380" s="3" t="s">
        <v>41</v>
      </c>
      <c r="C380" s="3" t="s">
        <v>23</v>
      </c>
      <c r="D380" s="3" t="s">
        <v>42</v>
      </c>
      <c r="E380" s="3" t="s">
        <v>49</v>
      </c>
      <c r="F380" s="3" t="s">
        <v>50</v>
      </c>
      <c r="G380" s="3" t="s">
        <v>25</v>
      </c>
      <c r="H380" s="3" t="s">
        <v>25</v>
      </c>
      <c r="I380" s="6">
        <v>44713</v>
      </c>
      <c r="J380" s="4">
        <v>0</v>
      </c>
      <c r="K380" s="4">
        <v>0</v>
      </c>
      <c r="L380" s="4">
        <v>0.1</v>
      </c>
      <c r="M380" s="4">
        <v>0.1</v>
      </c>
      <c r="N380" s="4">
        <v>0.1</v>
      </c>
      <c r="O380" s="4">
        <v>0.1</v>
      </c>
      <c r="P380" s="4">
        <v>0</v>
      </c>
      <c r="Q380" s="3" t="s">
        <v>26</v>
      </c>
      <c r="R380" s="3">
        <v>0</v>
      </c>
      <c r="S380" s="4">
        <v>0</v>
      </c>
      <c r="T380" s="4">
        <v>42</v>
      </c>
      <c r="U380" s="4">
        <v>63</v>
      </c>
      <c r="V380" s="4">
        <f>IF(ISERROR(VLOOKUP($S$380,'TAR FIN'!$A$1:$O$86,15,0)),0,VLOOKUP($S$380,'TAR FIN'!$A$1:$O$86,15,0))</f>
        <v>0</v>
      </c>
      <c r="W380" s="4">
        <f>IF(ISERROR(VLOOKUP($T$380,'TAR FIN'!$A$1:$O$86,15,0)),0,VLOOKUP($T$380,'TAR FIN'!$A$1:$O$86,15,0))</f>
        <v>430.35</v>
      </c>
      <c r="X380" s="4">
        <f>IF(ISERROR(VLOOKUP($U$380,'TAR FIN'!$A$1:$O$86,15,0)),0,VLOOKUP($U$380,'TAR FIN'!$A$1:$O$86,15,0))</f>
        <v>186.16</v>
      </c>
      <c r="Y380" s="4"/>
      <c r="Z380" s="4">
        <f ca="1">('TUSD BE'!$AM$33+'TUSD BF'!$AM$33+'TUSD CVA'!$AM$33)*(1-CUSTOS!$M$38)</f>
        <v>536.63434130853489</v>
      </c>
      <c r="AA380" s="4">
        <f>('TE BE'!$AB$24+'TE BF'!$AB$24+'TE CVA'!$AB$24)*(1-CUSTOS!$M$38)</f>
        <v>184.7746360391113</v>
      </c>
      <c r="AB380" s="4">
        <f>$K$380*$V$380</f>
        <v>0</v>
      </c>
      <c r="AC380" s="4">
        <f>$M$380*$W$380</f>
        <v>43.035000000000004</v>
      </c>
      <c r="AD380" s="4">
        <f>$O$380*$X$380</f>
        <v>18.616</v>
      </c>
      <c r="AE380" s="4">
        <f>$K$380*$Y$380</f>
        <v>0</v>
      </c>
      <c r="AF380" s="4">
        <f ca="1">$M$380*$Z$380</f>
        <v>53.663434130853489</v>
      </c>
      <c r="AG380" s="4">
        <f>$O$380*$AA$380</f>
        <v>18.477463603911129</v>
      </c>
    </row>
    <row r="381" spans="1:33" ht="11.25" customHeight="1" x14ac:dyDescent="0.25">
      <c r="A381" s="3" t="s">
        <v>21</v>
      </c>
      <c r="B381" s="3" t="s">
        <v>41</v>
      </c>
      <c r="C381" s="3" t="s">
        <v>23</v>
      </c>
      <c r="D381" s="3" t="s">
        <v>42</v>
      </c>
      <c r="E381" s="3" t="s">
        <v>49</v>
      </c>
      <c r="F381" s="3" t="s">
        <v>51</v>
      </c>
      <c r="G381" s="3" t="s">
        <v>25</v>
      </c>
      <c r="H381" s="3" t="s">
        <v>25</v>
      </c>
      <c r="I381" s="6">
        <v>44378</v>
      </c>
      <c r="J381" s="4">
        <v>0</v>
      </c>
      <c r="K381" s="4">
        <v>0</v>
      </c>
      <c r="L381" s="4">
        <v>1.831</v>
      </c>
      <c r="M381" s="4">
        <v>0.73240000000000005</v>
      </c>
      <c r="N381" s="4">
        <v>1.831</v>
      </c>
      <c r="O381" s="4">
        <v>0.73240000000000005</v>
      </c>
      <c r="P381" s="4">
        <v>0</v>
      </c>
      <c r="Q381" s="3" t="s">
        <v>26</v>
      </c>
      <c r="R381" s="3">
        <v>0</v>
      </c>
      <c r="S381" s="4">
        <v>0</v>
      </c>
      <c r="T381" s="4">
        <v>29</v>
      </c>
      <c r="U381" s="4">
        <v>63</v>
      </c>
      <c r="V381" s="4">
        <f>IF(ISERROR(VLOOKUP($S$381,'TAR FIN'!$A$1:$O$86,15,0)),0,VLOOKUP($S$381,'TAR FIN'!$A$1:$O$86,15,0))</f>
        <v>0</v>
      </c>
      <c r="W381" s="4">
        <f>IF(ISERROR(VLOOKUP($T$381,'TAR FIN'!$A$1:$O$86,15,0)),0,VLOOKUP($T$381,'TAR FIN'!$A$1:$O$86,15,0))</f>
        <v>410.79</v>
      </c>
      <c r="X381" s="4">
        <f>IF(ISERROR(VLOOKUP($U$381,'TAR FIN'!$A$1:$O$86,15,0)),0,VLOOKUP($U$381,'TAR FIN'!$A$1:$O$86,15,0))</f>
        <v>186.16</v>
      </c>
      <c r="Y381" s="4"/>
      <c r="Z381" s="4">
        <f ca="1">('TUSD BE'!$AM$33+'TUSD BF'!$AM$33+'TUSD CVA'!$AM$33)*(1-CUSTOS!$M$38)</f>
        <v>536.63434130853489</v>
      </c>
      <c r="AA381" s="4">
        <f>('TE BE'!$AB$24+'TE BF'!$AB$24+'TE CVA'!$AB$24)*(1-CUSTOS!$M$38)</f>
        <v>184.7746360391113</v>
      </c>
      <c r="AB381" s="4">
        <f>$K$381*$V$381</f>
        <v>0</v>
      </c>
      <c r="AC381" s="4">
        <f>$M$381*$W$381</f>
        <v>300.86259600000005</v>
      </c>
      <c r="AD381" s="4">
        <f>$O$381*$X$381</f>
        <v>136.34358400000002</v>
      </c>
      <c r="AE381" s="4">
        <f>$K$381*$Y$381</f>
        <v>0</v>
      </c>
      <c r="AF381" s="4">
        <f ca="1">$M$381*$Z$381</f>
        <v>393.030991574371</v>
      </c>
      <c r="AG381" s="4">
        <f>$O$381*$AA$381</f>
        <v>135.32894343504512</v>
      </c>
    </row>
    <row r="382" spans="1:33" ht="11.25" customHeight="1" x14ac:dyDescent="0.25">
      <c r="A382" s="3" t="s">
        <v>21</v>
      </c>
      <c r="B382" s="3" t="s">
        <v>41</v>
      </c>
      <c r="C382" s="3" t="s">
        <v>23</v>
      </c>
      <c r="D382" s="3" t="s">
        <v>42</v>
      </c>
      <c r="E382" s="3" t="s">
        <v>49</v>
      </c>
      <c r="F382" s="3" t="s">
        <v>51</v>
      </c>
      <c r="G382" s="3" t="s">
        <v>25</v>
      </c>
      <c r="H382" s="3" t="s">
        <v>25</v>
      </c>
      <c r="I382" s="6">
        <v>44409</v>
      </c>
      <c r="J382" s="4">
        <v>0</v>
      </c>
      <c r="K382" s="4">
        <v>0</v>
      </c>
      <c r="L382" s="4">
        <v>4.3730000000000002</v>
      </c>
      <c r="M382" s="4">
        <v>1.7492000000000001</v>
      </c>
      <c r="N382" s="4">
        <v>4.3730000000000002</v>
      </c>
      <c r="O382" s="4">
        <v>1.7492000000000001</v>
      </c>
      <c r="P382" s="4">
        <v>0</v>
      </c>
      <c r="Q382" s="3" t="s">
        <v>26</v>
      </c>
      <c r="R382" s="3">
        <v>0</v>
      </c>
      <c r="S382" s="4">
        <v>0</v>
      </c>
      <c r="T382" s="4">
        <v>29</v>
      </c>
      <c r="U382" s="4">
        <v>63</v>
      </c>
      <c r="V382" s="4">
        <f>IF(ISERROR(VLOOKUP($S$382,'TAR FIN'!$A$1:$O$86,15,0)),0,VLOOKUP($S$382,'TAR FIN'!$A$1:$O$86,15,0))</f>
        <v>0</v>
      </c>
      <c r="W382" s="4">
        <f>IF(ISERROR(VLOOKUP($T$382,'TAR FIN'!$A$1:$O$86,15,0)),0,VLOOKUP($T$382,'TAR FIN'!$A$1:$O$86,15,0))</f>
        <v>410.79</v>
      </c>
      <c r="X382" s="4">
        <f>IF(ISERROR(VLOOKUP($U$382,'TAR FIN'!$A$1:$O$86,15,0)),0,VLOOKUP($U$382,'TAR FIN'!$A$1:$O$86,15,0))</f>
        <v>186.16</v>
      </c>
      <c r="Y382" s="4"/>
      <c r="Z382" s="4">
        <f ca="1">('TUSD BE'!$AM$33+'TUSD BF'!$AM$33+'TUSD CVA'!$AM$33)*(1-CUSTOS!$M$38)</f>
        <v>536.63434130853489</v>
      </c>
      <c r="AA382" s="4">
        <f>('TE BE'!$AB$24+'TE BF'!$AB$24+'TE CVA'!$AB$24)*(1-CUSTOS!$M$38)</f>
        <v>184.7746360391113</v>
      </c>
      <c r="AB382" s="4">
        <f>$K$382*$V$382</f>
        <v>0</v>
      </c>
      <c r="AC382" s="4">
        <f>$M$382*$W$382</f>
        <v>718.55386800000008</v>
      </c>
      <c r="AD382" s="4">
        <f>$O$382*$X$382</f>
        <v>325.63107200000002</v>
      </c>
      <c r="AE382" s="4">
        <f>$K$382*$Y$382</f>
        <v>0</v>
      </c>
      <c r="AF382" s="4">
        <f ca="1">$M$382*$Z$382</f>
        <v>938.68078981688927</v>
      </c>
      <c r="AG382" s="4">
        <f>$O$382*$AA$382</f>
        <v>323.2077933596135</v>
      </c>
    </row>
    <row r="383" spans="1:33" ht="11.25" customHeight="1" x14ac:dyDescent="0.25">
      <c r="A383" s="3" t="s">
        <v>21</v>
      </c>
      <c r="B383" s="3" t="s">
        <v>41</v>
      </c>
      <c r="C383" s="3" t="s">
        <v>23</v>
      </c>
      <c r="D383" s="3" t="s">
        <v>42</v>
      </c>
      <c r="E383" s="3" t="s">
        <v>49</v>
      </c>
      <c r="F383" s="3" t="s">
        <v>51</v>
      </c>
      <c r="G383" s="3" t="s">
        <v>25</v>
      </c>
      <c r="H383" s="3" t="s">
        <v>25</v>
      </c>
      <c r="I383" s="6">
        <v>44440</v>
      </c>
      <c r="J383" s="4">
        <v>0</v>
      </c>
      <c r="K383" s="4">
        <v>0</v>
      </c>
      <c r="L383" s="4">
        <v>5.4829999999999997</v>
      </c>
      <c r="M383" s="4">
        <v>2.1932</v>
      </c>
      <c r="N383" s="4">
        <v>5.4829999999999997</v>
      </c>
      <c r="O383" s="4">
        <v>2.1932</v>
      </c>
      <c r="P383" s="4">
        <v>0</v>
      </c>
      <c r="Q383" s="3" t="s">
        <v>26</v>
      </c>
      <c r="R383" s="3">
        <v>0</v>
      </c>
      <c r="S383" s="4">
        <v>0</v>
      </c>
      <c r="T383" s="4">
        <v>29</v>
      </c>
      <c r="U383" s="4">
        <v>63</v>
      </c>
      <c r="V383" s="4">
        <f>IF(ISERROR(VLOOKUP($S$383,'TAR FIN'!$A$1:$O$86,15,0)),0,VLOOKUP($S$383,'TAR FIN'!$A$1:$O$86,15,0))</f>
        <v>0</v>
      </c>
      <c r="W383" s="4">
        <f>IF(ISERROR(VLOOKUP($T$383,'TAR FIN'!$A$1:$O$86,15,0)),0,VLOOKUP($T$383,'TAR FIN'!$A$1:$O$86,15,0))</f>
        <v>410.79</v>
      </c>
      <c r="X383" s="4">
        <f>IF(ISERROR(VLOOKUP($U$383,'TAR FIN'!$A$1:$O$86,15,0)),0,VLOOKUP($U$383,'TAR FIN'!$A$1:$O$86,15,0))</f>
        <v>186.16</v>
      </c>
      <c r="Y383" s="4"/>
      <c r="Z383" s="4">
        <f ca="1">('TUSD BE'!$AM$33+'TUSD BF'!$AM$33+'TUSD CVA'!$AM$33)*(1-CUSTOS!$M$38)</f>
        <v>536.63434130853489</v>
      </c>
      <c r="AA383" s="4">
        <f>('TE BE'!$AB$24+'TE BF'!$AB$24+'TE CVA'!$AB$24)*(1-CUSTOS!$M$38)</f>
        <v>184.7746360391113</v>
      </c>
      <c r="AB383" s="4">
        <f>$K$383*$V$383</f>
        <v>0</v>
      </c>
      <c r="AC383" s="4">
        <f>$M$383*$W$383</f>
        <v>900.94462800000008</v>
      </c>
      <c r="AD383" s="4">
        <f>$O$383*$X$383</f>
        <v>408.286112</v>
      </c>
      <c r="AE383" s="4">
        <f>$K$383*$Y$383</f>
        <v>0</v>
      </c>
      <c r="AF383" s="4">
        <f ca="1">$M$383*$Z$383</f>
        <v>1176.9464373578787</v>
      </c>
      <c r="AG383" s="4">
        <f>$O$383*$AA$383</f>
        <v>405.24773176097892</v>
      </c>
    </row>
    <row r="384" spans="1:33" ht="11.25" customHeight="1" x14ac:dyDescent="0.25">
      <c r="A384" s="3" t="s">
        <v>21</v>
      </c>
      <c r="B384" s="3" t="s">
        <v>41</v>
      </c>
      <c r="C384" s="3" t="s">
        <v>23</v>
      </c>
      <c r="D384" s="3" t="s">
        <v>42</v>
      </c>
      <c r="E384" s="3" t="s">
        <v>49</v>
      </c>
      <c r="F384" s="3" t="s">
        <v>51</v>
      </c>
      <c r="G384" s="3" t="s">
        <v>25</v>
      </c>
      <c r="H384" s="3" t="s">
        <v>25</v>
      </c>
      <c r="I384" s="6">
        <v>44470</v>
      </c>
      <c r="J384" s="4">
        <v>0</v>
      </c>
      <c r="K384" s="4">
        <v>0</v>
      </c>
      <c r="L384" s="4">
        <v>1.776</v>
      </c>
      <c r="M384" s="4">
        <v>0.71040000000000003</v>
      </c>
      <c r="N384" s="4">
        <v>1.776</v>
      </c>
      <c r="O384" s="4">
        <v>0.71040000000000003</v>
      </c>
      <c r="P384" s="4">
        <v>0</v>
      </c>
      <c r="Q384" s="3" t="s">
        <v>26</v>
      </c>
      <c r="R384" s="3">
        <v>0</v>
      </c>
      <c r="S384" s="4">
        <v>0</v>
      </c>
      <c r="T384" s="4">
        <v>29</v>
      </c>
      <c r="U384" s="4">
        <v>63</v>
      </c>
      <c r="V384" s="4">
        <f>IF(ISERROR(VLOOKUP($S$384,'TAR FIN'!$A$1:$O$86,15,0)),0,VLOOKUP($S$384,'TAR FIN'!$A$1:$O$86,15,0))</f>
        <v>0</v>
      </c>
      <c r="W384" s="4">
        <f>IF(ISERROR(VLOOKUP($T$384,'TAR FIN'!$A$1:$O$86,15,0)),0,VLOOKUP($T$384,'TAR FIN'!$A$1:$O$86,15,0))</f>
        <v>410.79</v>
      </c>
      <c r="X384" s="4">
        <f>IF(ISERROR(VLOOKUP($U$384,'TAR FIN'!$A$1:$O$86,15,0)),0,VLOOKUP($U$384,'TAR FIN'!$A$1:$O$86,15,0))</f>
        <v>186.16</v>
      </c>
      <c r="Y384" s="4"/>
      <c r="Z384" s="4">
        <f ca="1">('TUSD BE'!$AM$33+'TUSD BF'!$AM$33+'TUSD CVA'!$AM$33)*(1-CUSTOS!$M$38)</f>
        <v>536.63434130853489</v>
      </c>
      <c r="AA384" s="4">
        <f>('TE BE'!$AB$24+'TE BF'!$AB$24+'TE CVA'!$AB$24)*(1-CUSTOS!$M$38)</f>
        <v>184.7746360391113</v>
      </c>
      <c r="AB384" s="4">
        <f>$K$384*$V$384</f>
        <v>0</v>
      </c>
      <c r="AC384" s="4">
        <f>$M$384*$W$384</f>
        <v>291.82521600000001</v>
      </c>
      <c r="AD384" s="4">
        <f>$O$384*$X$384</f>
        <v>132.248064</v>
      </c>
      <c r="AE384" s="4">
        <f>$K$384*$Y$384</f>
        <v>0</v>
      </c>
      <c r="AF384" s="4">
        <f ca="1">$M$384*$Z$384</f>
        <v>381.2250360655832</v>
      </c>
      <c r="AG384" s="4">
        <f>$O$384*$AA$384</f>
        <v>131.26390144218468</v>
      </c>
    </row>
    <row r="385" spans="1:33" ht="11.25" customHeight="1" x14ac:dyDescent="0.25">
      <c r="A385" s="3" t="s">
        <v>28</v>
      </c>
      <c r="B385" s="3" t="s">
        <v>41</v>
      </c>
      <c r="C385" s="3" t="s">
        <v>23</v>
      </c>
      <c r="D385" s="3" t="s">
        <v>42</v>
      </c>
      <c r="E385" s="3" t="s">
        <v>49</v>
      </c>
      <c r="F385" s="3" t="s">
        <v>51</v>
      </c>
      <c r="G385" s="3" t="s">
        <v>25</v>
      </c>
      <c r="H385" s="3" t="s">
        <v>25</v>
      </c>
      <c r="I385" s="6">
        <v>44470</v>
      </c>
      <c r="J385" s="4">
        <v>0</v>
      </c>
      <c r="K385" s="4">
        <v>0</v>
      </c>
      <c r="L385" s="4">
        <v>4.0000000000000001E-3</v>
      </c>
      <c r="M385" s="4">
        <v>4.0000000000000001E-3</v>
      </c>
      <c r="N385" s="4">
        <v>4.0000000000000001E-3</v>
      </c>
      <c r="O385" s="4">
        <v>4.0000000000000001E-3</v>
      </c>
      <c r="P385" s="4">
        <v>0</v>
      </c>
      <c r="Q385" s="3" t="s">
        <v>26</v>
      </c>
      <c r="R385" s="3">
        <v>0</v>
      </c>
      <c r="S385" s="4">
        <v>0</v>
      </c>
      <c r="T385" s="4">
        <v>29</v>
      </c>
      <c r="U385" s="4">
        <v>63</v>
      </c>
      <c r="V385" s="4">
        <f>IF(ISERROR(VLOOKUP($S$385,'TAR FIN'!$A$1:$O$86,15,0)),0,VLOOKUP($S$385,'TAR FIN'!$A$1:$O$86,15,0))</f>
        <v>0</v>
      </c>
      <c r="W385" s="4">
        <f>IF(ISERROR(VLOOKUP($T$385,'TAR FIN'!$A$1:$O$86,15,0)),0,VLOOKUP($T$385,'TAR FIN'!$A$1:$O$86,15,0))</f>
        <v>410.79</v>
      </c>
      <c r="X385" s="4">
        <f>IF(ISERROR(VLOOKUP($U$385,'TAR FIN'!$A$1:$O$86,15,0)),0,VLOOKUP($U$385,'TAR FIN'!$A$1:$O$86,15,0))</f>
        <v>186.16</v>
      </c>
      <c r="Y385" s="4"/>
      <c r="Z385" s="4">
        <f ca="1">('TUSD BE'!$AM$33+'TUSD BF'!$AM$33+'TUSD CVA'!$AM$33)*(1-CUSTOS!$M$38)</f>
        <v>536.63434130853489</v>
      </c>
      <c r="AA385" s="4">
        <f>('TE BE'!$AB$24+'TE BF'!$AB$24+'TE CVA'!$AB$24)*(1-CUSTOS!$M$38)</f>
        <v>184.7746360391113</v>
      </c>
      <c r="AB385" s="4">
        <f>$K$385*$V$385</f>
        <v>0</v>
      </c>
      <c r="AC385" s="4">
        <f>$M$385*$W$385</f>
        <v>1.6431600000000002</v>
      </c>
      <c r="AD385" s="4">
        <f>$O$385*$X$385</f>
        <v>0.74463999999999997</v>
      </c>
      <c r="AE385" s="4">
        <f>$K$385*$Y$385</f>
        <v>0</v>
      </c>
      <c r="AF385" s="4">
        <f ca="1">$M$385*$Z$385</f>
        <v>2.1465373652341397</v>
      </c>
      <c r="AG385" s="4">
        <f>$O$385*$AA$385</f>
        <v>0.73909854415644527</v>
      </c>
    </row>
    <row r="386" spans="1:33" ht="11.25" customHeight="1" x14ac:dyDescent="0.25">
      <c r="A386" s="3" t="s">
        <v>21</v>
      </c>
      <c r="B386" s="3" t="s">
        <v>41</v>
      </c>
      <c r="C386" s="3" t="s">
        <v>23</v>
      </c>
      <c r="D386" s="3" t="s">
        <v>42</v>
      </c>
      <c r="E386" s="3" t="s">
        <v>49</v>
      </c>
      <c r="F386" s="3" t="s">
        <v>51</v>
      </c>
      <c r="G386" s="3" t="s">
        <v>25</v>
      </c>
      <c r="H386" s="3" t="s">
        <v>25</v>
      </c>
      <c r="I386" s="6">
        <v>44501</v>
      </c>
      <c r="J386" s="4">
        <v>0</v>
      </c>
      <c r="K386" s="4">
        <v>0</v>
      </c>
      <c r="L386" s="4">
        <v>48.173999999999999</v>
      </c>
      <c r="M386" s="4">
        <v>19.269600000000001</v>
      </c>
      <c r="N386" s="4">
        <v>48.173999999999999</v>
      </c>
      <c r="O386" s="4">
        <v>19.269600000000001</v>
      </c>
      <c r="P386" s="4">
        <v>0</v>
      </c>
      <c r="Q386" s="3" t="s">
        <v>26</v>
      </c>
      <c r="R386" s="3">
        <v>0</v>
      </c>
      <c r="S386" s="4">
        <v>0</v>
      </c>
      <c r="T386" s="4">
        <v>29</v>
      </c>
      <c r="U386" s="4">
        <v>63</v>
      </c>
      <c r="V386" s="4">
        <f>IF(ISERROR(VLOOKUP($S$386,'TAR FIN'!$A$1:$O$86,15,0)),0,VLOOKUP($S$386,'TAR FIN'!$A$1:$O$86,15,0))</f>
        <v>0</v>
      </c>
      <c r="W386" s="4">
        <f>IF(ISERROR(VLOOKUP($T$386,'TAR FIN'!$A$1:$O$86,15,0)),0,VLOOKUP($T$386,'TAR FIN'!$A$1:$O$86,15,0))</f>
        <v>410.79</v>
      </c>
      <c r="X386" s="4">
        <f>IF(ISERROR(VLOOKUP($U$386,'TAR FIN'!$A$1:$O$86,15,0)),0,VLOOKUP($U$386,'TAR FIN'!$A$1:$O$86,15,0))</f>
        <v>186.16</v>
      </c>
      <c r="Y386" s="4"/>
      <c r="Z386" s="4">
        <f ca="1">('TUSD BE'!$AM$33+'TUSD BF'!$AM$33+'TUSD CVA'!$AM$33)*(1-CUSTOS!$M$38)</f>
        <v>536.63434130853489</v>
      </c>
      <c r="AA386" s="4">
        <f>('TE BE'!$AB$24+'TE BF'!$AB$24+'TE CVA'!$AB$24)*(1-CUSTOS!$M$38)</f>
        <v>184.7746360391113</v>
      </c>
      <c r="AB386" s="4">
        <f>$K$386*$V$386</f>
        <v>0</v>
      </c>
      <c r="AC386" s="4">
        <f>$M$386*$W$386</f>
        <v>7915.758984000001</v>
      </c>
      <c r="AD386" s="4">
        <f>$O$386*$X$386</f>
        <v>3587.228736</v>
      </c>
      <c r="AE386" s="4">
        <f>$K$386*$Y$386</f>
        <v>0</v>
      </c>
      <c r="AF386" s="4">
        <f ca="1">$M$386*$Z$386</f>
        <v>10340.729103278944</v>
      </c>
      <c r="AG386" s="4">
        <f>$O$386*$AA$386</f>
        <v>3560.5333266192592</v>
      </c>
    </row>
    <row r="387" spans="1:33" ht="11.25" customHeight="1" x14ac:dyDescent="0.25">
      <c r="A387" s="3" t="s">
        <v>28</v>
      </c>
      <c r="B387" s="3" t="s">
        <v>41</v>
      </c>
      <c r="C387" s="3" t="s">
        <v>23</v>
      </c>
      <c r="D387" s="3" t="s">
        <v>42</v>
      </c>
      <c r="E387" s="3" t="s">
        <v>49</v>
      </c>
      <c r="F387" s="3" t="s">
        <v>51</v>
      </c>
      <c r="G387" s="3" t="s">
        <v>25</v>
      </c>
      <c r="H387" s="3" t="s">
        <v>25</v>
      </c>
      <c r="I387" s="6">
        <v>44501</v>
      </c>
      <c r="J387" s="4">
        <v>0</v>
      </c>
      <c r="K387" s="4">
        <v>0</v>
      </c>
      <c r="L387" s="4">
        <v>6.6000000000000003E-2</v>
      </c>
      <c r="M387" s="4">
        <v>6.6000000000000003E-2</v>
      </c>
      <c r="N387" s="4">
        <v>6.6000000000000003E-2</v>
      </c>
      <c r="O387" s="4">
        <v>6.6000000000000003E-2</v>
      </c>
      <c r="P387" s="4">
        <v>0</v>
      </c>
      <c r="Q387" s="3" t="s">
        <v>26</v>
      </c>
      <c r="R387" s="3">
        <v>0</v>
      </c>
      <c r="S387" s="4">
        <v>0</v>
      </c>
      <c r="T387" s="4">
        <v>29</v>
      </c>
      <c r="U387" s="4">
        <v>63</v>
      </c>
      <c r="V387" s="4">
        <f>IF(ISERROR(VLOOKUP($S$387,'TAR FIN'!$A$1:$O$86,15,0)),0,VLOOKUP($S$387,'TAR FIN'!$A$1:$O$86,15,0))</f>
        <v>0</v>
      </c>
      <c r="W387" s="4">
        <f>IF(ISERROR(VLOOKUP($T$387,'TAR FIN'!$A$1:$O$86,15,0)),0,VLOOKUP($T$387,'TAR FIN'!$A$1:$O$86,15,0))</f>
        <v>410.79</v>
      </c>
      <c r="X387" s="4">
        <f>IF(ISERROR(VLOOKUP($U$387,'TAR FIN'!$A$1:$O$86,15,0)),0,VLOOKUP($U$387,'TAR FIN'!$A$1:$O$86,15,0))</f>
        <v>186.16</v>
      </c>
      <c r="Y387" s="4"/>
      <c r="Z387" s="4">
        <f ca="1">('TUSD BE'!$AM$33+'TUSD BF'!$AM$33+'TUSD CVA'!$AM$33)*(1-CUSTOS!$M$38)</f>
        <v>536.63434130853489</v>
      </c>
      <c r="AA387" s="4">
        <f>('TE BE'!$AB$24+'TE BF'!$AB$24+'TE CVA'!$AB$24)*(1-CUSTOS!$M$38)</f>
        <v>184.7746360391113</v>
      </c>
      <c r="AB387" s="4">
        <f>$K$387*$V$387</f>
        <v>0</v>
      </c>
      <c r="AC387" s="4">
        <f>$M$387*$W$387</f>
        <v>27.112140000000004</v>
      </c>
      <c r="AD387" s="4">
        <f>$O$387*$X$387</f>
        <v>12.28656</v>
      </c>
      <c r="AE387" s="4">
        <f>$K$387*$Y$387</f>
        <v>0</v>
      </c>
      <c r="AF387" s="4">
        <f ca="1">$M$387*$Z$387</f>
        <v>35.417866526363305</v>
      </c>
      <c r="AG387" s="4">
        <f>$O$387*$AA$387</f>
        <v>12.195125978581347</v>
      </c>
    </row>
    <row r="388" spans="1:33" ht="11.25" customHeight="1" x14ac:dyDescent="0.25">
      <c r="A388" s="3" t="s">
        <v>21</v>
      </c>
      <c r="B388" s="3" t="s">
        <v>41</v>
      </c>
      <c r="C388" s="3" t="s">
        <v>23</v>
      </c>
      <c r="D388" s="3" t="s">
        <v>42</v>
      </c>
      <c r="E388" s="3" t="s">
        <v>49</v>
      </c>
      <c r="F388" s="3" t="s">
        <v>51</v>
      </c>
      <c r="G388" s="3" t="s">
        <v>25</v>
      </c>
      <c r="H388" s="3" t="s">
        <v>25</v>
      </c>
      <c r="I388" s="6">
        <v>44531</v>
      </c>
      <c r="J388" s="4">
        <v>0</v>
      </c>
      <c r="K388" s="4">
        <v>0</v>
      </c>
      <c r="L388" s="4">
        <v>81.238</v>
      </c>
      <c r="M388" s="4">
        <v>32.495199999999997</v>
      </c>
      <c r="N388" s="4">
        <v>81.238</v>
      </c>
      <c r="O388" s="4">
        <v>32.495199999999997</v>
      </c>
      <c r="P388" s="4">
        <v>0</v>
      </c>
      <c r="Q388" s="3" t="s">
        <v>26</v>
      </c>
      <c r="R388" s="3">
        <v>0</v>
      </c>
      <c r="S388" s="4">
        <v>0</v>
      </c>
      <c r="T388" s="4">
        <v>29</v>
      </c>
      <c r="U388" s="4">
        <v>63</v>
      </c>
      <c r="V388" s="4">
        <f>IF(ISERROR(VLOOKUP($S$388,'TAR FIN'!$A$1:$O$86,15,0)),0,VLOOKUP($S$388,'TAR FIN'!$A$1:$O$86,15,0))</f>
        <v>0</v>
      </c>
      <c r="W388" s="4">
        <f>IF(ISERROR(VLOOKUP($T$388,'TAR FIN'!$A$1:$O$86,15,0)),0,VLOOKUP($T$388,'TAR FIN'!$A$1:$O$86,15,0))</f>
        <v>410.79</v>
      </c>
      <c r="X388" s="4">
        <f>IF(ISERROR(VLOOKUP($U$388,'TAR FIN'!$A$1:$O$86,15,0)),0,VLOOKUP($U$388,'TAR FIN'!$A$1:$O$86,15,0))</f>
        <v>186.16</v>
      </c>
      <c r="Y388" s="4"/>
      <c r="Z388" s="4">
        <f ca="1">('TUSD BE'!$AM$33+'TUSD BF'!$AM$33+'TUSD CVA'!$AM$33)*(1-CUSTOS!$M$38)</f>
        <v>536.63434130853489</v>
      </c>
      <c r="AA388" s="4">
        <f>('TE BE'!$AB$24+'TE BF'!$AB$24+'TE CVA'!$AB$24)*(1-CUSTOS!$M$38)</f>
        <v>184.7746360391113</v>
      </c>
      <c r="AB388" s="4">
        <f>$K$388*$V$388</f>
        <v>0</v>
      </c>
      <c r="AC388" s="4">
        <f>$M$388*$W$388</f>
        <v>13348.703207999999</v>
      </c>
      <c r="AD388" s="4">
        <f>$O$388*$X$388</f>
        <v>6049.3064319999994</v>
      </c>
      <c r="AE388" s="4">
        <f>$K$388*$Y$388</f>
        <v>0</v>
      </c>
      <c r="AF388" s="4">
        <f ca="1">$M$388*$Z$388</f>
        <v>17438.040247689099</v>
      </c>
      <c r="AG388" s="4">
        <f>$O$388*$AA$388</f>
        <v>6004.2887530181288</v>
      </c>
    </row>
    <row r="389" spans="1:33" ht="11.25" customHeight="1" x14ac:dyDescent="0.25">
      <c r="A389" s="3" t="s">
        <v>28</v>
      </c>
      <c r="B389" s="3" t="s">
        <v>41</v>
      </c>
      <c r="C389" s="3" t="s">
        <v>23</v>
      </c>
      <c r="D389" s="3" t="s">
        <v>42</v>
      </c>
      <c r="E389" s="3" t="s">
        <v>49</v>
      </c>
      <c r="F389" s="3" t="s">
        <v>51</v>
      </c>
      <c r="G389" s="3" t="s">
        <v>25</v>
      </c>
      <c r="H389" s="3" t="s">
        <v>25</v>
      </c>
      <c r="I389" s="6">
        <v>44531</v>
      </c>
      <c r="J389" s="4">
        <v>0</v>
      </c>
      <c r="K389" s="4">
        <v>0</v>
      </c>
      <c r="L389" s="4">
        <v>0.126</v>
      </c>
      <c r="M389" s="4">
        <v>0.126</v>
      </c>
      <c r="N389" s="4">
        <v>0.126</v>
      </c>
      <c r="O389" s="4">
        <v>0.126</v>
      </c>
      <c r="P389" s="4">
        <v>0</v>
      </c>
      <c r="Q389" s="3" t="s">
        <v>26</v>
      </c>
      <c r="R389" s="3">
        <v>0</v>
      </c>
      <c r="S389" s="4">
        <v>0</v>
      </c>
      <c r="T389" s="4">
        <v>29</v>
      </c>
      <c r="U389" s="4">
        <v>63</v>
      </c>
      <c r="V389" s="4">
        <f>IF(ISERROR(VLOOKUP($S$389,'TAR FIN'!$A$1:$O$86,15,0)),0,VLOOKUP($S$389,'TAR FIN'!$A$1:$O$86,15,0))</f>
        <v>0</v>
      </c>
      <c r="W389" s="4">
        <f>IF(ISERROR(VLOOKUP($T$389,'TAR FIN'!$A$1:$O$86,15,0)),0,VLOOKUP($T$389,'TAR FIN'!$A$1:$O$86,15,0))</f>
        <v>410.79</v>
      </c>
      <c r="X389" s="4">
        <f>IF(ISERROR(VLOOKUP($U$389,'TAR FIN'!$A$1:$O$86,15,0)),0,VLOOKUP($U$389,'TAR FIN'!$A$1:$O$86,15,0))</f>
        <v>186.16</v>
      </c>
      <c r="Y389" s="4"/>
      <c r="Z389" s="4">
        <f ca="1">('TUSD BE'!$AM$33+'TUSD BF'!$AM$33+'TUSD CVA'!$AM$33)*(1-CUSTOS!$M$38)</f>
        <v>536.63434130853489</v>
      </c>
      <c r="AA389" s="4">
        <f>('TE BE'!$AB$24+'TE BF'!$AB$24+'TE CVA'!$AB$24)*(1-CUSTOS!$M$38)</f>
        <v>184.7746360391113</v>
      </c>
      <c r="AB389" s="4">
        <f>$K$389*$V$389</f>
        <v>0</v>
      </c>
      <c r="AC389" s="4">
        <f>$M$389*$W$389</f>
        <v>51.759540000000001</v>
      </c>
      <c r="AD389" s="4">
        <f>$O$389*$X$389</f>
        <v>23.456160000000001</v>
      </c>
      <c r="AE389" s="4">
        <f>$K$389*$Y$389</f>
        <v>0</v>
      </c>
      <c r="AF389" s="4">
        <f ca="1">$M$389*$Z$389</f>
        <v>67.615927004875402</v>
      </c>
      <c r="AG389" s="4">
        <f>$O$389*$AA$389</f>
        <v>23.281604140928025</v>
      </c>
    </row>
    <row r="390" spans="1:33" ht="11.25" customHeight="1" x14ac:dyDescent="0.25">
      <c r="A390" s="3" t="s">
        <v>21</v>
      </c>
      <c r="B390" s="3" t="s">
        <v>41</v>
      </c>
      <c r="C390" s="3" t="s">
        <v>23</v>
      </c>
      <c r="D390" s="3" t="s">
        <v>42</v>
      </c>
      <c r="E390" s="3" t="s">
        <v>49</v>
      </c>
      <c r="F390" s="3" t="s">
        <v>51</v>
      </c>
      <c r="G390" s="3" t="s">
        <v>25</v>
      </c>
      <c r="H390" s="3" t="s">
        <v>25</v>
      </c>
      <c r="I390" s="6">
        <v>44562</v>
      </c>
      <c r="J390" s="4">
        <v>0</v>
      </c>
      <c r="K390" s="4">
        <v>0</v>
      </c>
      <c r="L390" s="4">
        <v>52.499000000000002</v>
      </c>
      <c r="M390" s="4">
        <v>20.999600000000001</v>
      </c>
      <c r="N390" s="4">
        <v>52.499000000000002</v>
      </c>
      <c r="O390" s="4">
        <v>20.999600000000001</v>
      </c>
      <c r="P390" s="4">
        <v>0</v>
      </c>
      <c r="Q390" s="3" t="s">
        <v>26</v>
      </c>
      <c r="R390" s="3">
        <v>0</v>
      </c>
      <c r="S390" s="4">
        <v>0</v>
      </c>
      <c r="T390" s="4">
        <v>29</v>
      </c>
      <c r="U390" s="4">
        <v>63</v>
      </c>
      <c r="V390" s="4">
        <f>IF(ISERROR(VLOOKUP($S$390,'TAR FIN'!$A$1:$O$86,15,0)),0,VLOOKUP($S$390,'TAR FIN'!$A$1:$O$86,15,0))</f>
        <v>0</v>
      </c>
      <c r="W390" s="4">
        <f>IF(ISERROR(VLOOKUP($T$390,'TAR FIN'!$A$1:$O$86,15,0)),0,VLOOKUP($T$390,'TAR FIN'!$A$1:$O$86,15,0))</f>
        <v>410.79</v>
      </c>
      <c r="X390" s="4">
        <f>IF(ISERROR(VLOOKUP($U$390,'TAR FIN'!$A$1:$O$86,15,0)),0,VLOOKUP($U$390,'TAR FIN'!$A$1:$O$86,15,0))</f>
        <v>186.16</v>
      </c>
      <c r="Y390" s="4"/>
      <c r="Z390" s="4">
        <f ca="1">('TUSD BE'!$AM$33+'TUSD BF'!$AM$33+'TUSD CVA'!$AM$33)*(1-CUSTOS!$M$38)</f>
        <v>536.63434130853489</v>
      </c>
      <c r="AA390" s="4">
        <f>('TE BE'!$AB$24+'TE BF'!$AB$24+'TE CVA'!$AB$24)*(1-CUSTOS!$M$38)</f>
        <v>184.7746360391113</v>
      </c>
      <c r="AB390" s="4">
        <f>$K$390*$V$390</f>
        <v>0</v>
      </c>
      <c r="AC390" s="4">
        <f>$M$390*$W$390</f>
        <v>8626.4256840000016</v>
      </c>
      <c r="AD390" s="4">
        <f>$O$390*$X$390</f>
        <v>3909.2855360000003</v>
      </c>
      <c r="AE390" s="4">
        <f>$K$390*$Y$390</f>
        <v>0</v>
      </c>
      <c r="AF390" s="4">
        <f ca="1">$M$390*$Z$390</f>
        <v>11269.10651374271</v>
      </c>
      <c r="AG390" s="4">
        <f>$O$390*$AA$390</f>
        <v>3880.1934469669218</v>
      </c>
    </row>
    <row r="391" spans="1:33" ht="11.25" customHeight="1" x14ac:dyDescent="0.25">
      <c r="A391" s="3" t="s">
        <v>28</v>
      </c>
      <c r="B391" s="3" t="s">
        <v>41</v>
      </c>
      <c r="C391" s="3" t="s">
        <v>23</v>
      </c>
      <c r="D391" s="3" t="s">
        <v>42</v>
      </c>
      <c r="E391" s="3" t="s">
        <v>49</v>
      </c>
      <c r="F391" s="3" t="s">
        <v>51</v>
      </c>
      <c r="G391" s="3" t="s">
        <v>25</v>
      </c>
      <c r="H391" s="3" t="s">
        <v>25</v>
      </c>
      <c r="I391" s="6">
        <v>44562</v>
      </c>
      <c r="J391" s="4">
        <v>0</v>
      </c>
      <c r="K391" s="4">
        <v>0</v>
      </c>
      <c r="L391" s="4">
        <v>0.86899999999999999</v>
      </c>
      <c r="M391" s="4">
        <v>0.86899999999999999</v>
      </c>
      <c r="N391" s="4">
        <v>0.86899999999999999</v>
      </c>
      <c r="O391" s="4">
        <v>0.86899999999999999</v>
      </c>
      <c r="P391" s="4">
        <v>0</v>
      </c>
      <c r="Q391" s="3" t="s">
        <v>26</v>
      </c>
      <c r="R391" s="3">
        <v>0</v>
      </c>
      <c r="S391" s="4">
        <v>0</v>
      </c>
      <c r="T391" s="4">
        <v>29</v>
      </c>
      <c r="U391" s="4">
        <v>63</v>
      </c>
      <c r="V391" s="4">
        <f>IF(ISERROR(VLOOKUP($S$391,'TAR FIN'!$A$1:$O$86,15,0)),0,VLOOKUP($S$391,'TAR FIN'!$A$1:$O$86,15,0))</f>
        <v>0</v>
      </c>
      <c r="W391" s="4">
        <f>IF(ISERROR(VLOOKUP($T$391,'TAR FIN'!$A$1:$O$86,15,0)),0,VLOOKUP($T$391,'TAR FIN'!$A$1:$O$86,15,0))</f>
        <v>410.79</v>
      </c>
      <c r="X391" s="4">
        <f>IF(ISERROR(VLOOKUP($U$391,'TAR FIN'!$A$1:$O$86,15,0)),0,VLOOKUP($U$391,'TAR FIN'!$A$1:$O$86,15,0))</f>
        <v>186.16</v>
      </c>
      <c r="Y391" s="4"/>
      <c r="Z391" s="4">
        <f ca="1">('TUSD BE'!$AM$33+'TUSD BF'!$AM$33+'TUSD CVA'!$AM$33)*(1-CUSTOS!$M$38)</f>
        <v>536.63434130853489</v>
      </c>
      <c r="AA391" s="4">
        <f>('TE BE'!$AB$24+'TE BF'!$AB$24+'TE CVA'!$AB$24)*(1-CUSTOS!$M$38)</f>
        <v>184.7746360391113</v>
      </c>
      <c r="AB391" s="4">
        <f>$K$391*$V$391</f>
        <v>0</v>
      </c>
      <c r="AC391" s="4">
        <f>$M$391*$W$391</f>
        <v>356.97651000000002</v>
      </c>
      <c r="AD391" s="4">
        <f>$O$391*$X$391</f>
        <v>161.77304000000001</v>
      </c>
      <c r="AE391" s="4">
        <f>$K$391*$Y$391</f>
        <v>0</v>
      </c>
      <c r="AF391" s="4">
        <f ca="1">$M$391*$Z$391</f>
        <v>466.3352425971168</v>
      </c>
      <c r="AG391" s="4">
        <f>$O$391*$AA$391</f>
        <v>160.5691587179877</v>
      </c>
    </row>
    <row r="392" spans="1:33" ht="11.25" customHeight="1" x14ac:dyDescent="0.25">
      <c r="A392" s="3" t="s">
        <v>21</v>
      </c>
      <c r="B392" s="3" t="s">
        <v>41</v>
      </c>
      <c r="C392" s="3" t="s">
        <v>23</v>
      </c>
      <c r="D392" s="3" t="s">
        <v>42</v>
      </c>
      <c r="E392" s="3" t="s">
        <v>49</v>
      </c>
      <c r="F392" s="3" t="s">
        <v>51</v>
      </c>
      <c r="G392" s="3" t="s">
        <v>25</v>
      </c>
      <c r="H392" s="3" t="s">
        <v>25</v>
      </c>
      <c r="I392" s="6">
        <v>44593</v>
      </c>
      <c r="J392" s="4">
        <v>0</v>
      </c>
      <c r="K392" s="4">
        <v>0</v>
      </c>
      <c r="L392" s="4">
        <v>28.091000000000001</v>
      </c>
      <c r="M392" s="4">
        <v>11.2364</v>
      </c>
      <c r="N392" s="4">
        <v>28.091000000000001</v>
      </c>
      <c r="O392" s="4">
        <v>11.2364</v>
      </c>
      <c r="P392" s="4">
        <v>0</v>
      </c>
      <c r="Q392" s="3" t="s">
        <v>26</v>
      </c>
      <c r="R392" s="3">
        <v>0</v>
      </c>
      <c r="S392" s="4">
        <v>0</v>
      </c>
      <c r="T392" s="4">
        <v>29</v>
      </c>
      <c r="U392" s="4">
        <v>63</v>
      </c>
      <c r="V392" s="4">
        <f>IF(ISERROR(VLOOKUP($S$392,'TAR FIN'!$A$1:$O$86,15,0)),0,VLOOKUP($S$392,'TAR FIN'!$A$1:$O$86,15,0))</f>
        <v>0</v>
      </c>
      <c r="W392" s="4">
        <f>IF(ISERROR(VLOOKUP($T$392,'TAR FIN'!$A$1:$O$86,15,0)),0,VLOOKUP($T$392,'TAR FIN'!$A$1:$O$86,15,0))</f>
        <v>410.79</v>
      </c>
      <c r="X392" s="4">
        <f>IF(ISERROR(VLOOKUP($U$392,'TAR FIN'!$A$1:$O$86,15,0)),0,VLOOKUP($U$392,'TAR FIN'!$A$1:$O$86,15,0))</f>
        <v>186.16</v>
      </c>
      <c r="Y392" s="4"/>
      <c r="Z392" s="4">
        <f ca="1">('TUSD BE'!$AM$33+'TUSD BF'!$AM$33+'TUSD CVA'!$AM$33)*(1-CUSTOS!$M$38)</f>
        <v>536.63434130853489</v>
      </c>
      <c r="AA392" s="4">
        <f>('TE BE'!$AB$24+'TE BF'!$AB$24+'TE CVA'!$AB$24)*(1-CUSTOS!$M$38)</f>
        <v>184.7746360391113</v>
      </c>
      <c r="AB392" s="4">
        <f>$K$392*$V$392</f>
        <v>0</v>
      </c>
      <c r="AC392" s="4">
        <f>$M$392*$W$392</f>
        <v>4615.8007560000005</v>
      </c>
      <c r="AD392" s="4">
        <f>$O$392*$X$392</f>
        <v>2091.7682239999999</v>
      </c>
      <c r="AE392" s="4">
        <f>$K$392*$Y$392</f>
        <v>0</v>
      </c>
      <c r="AF392" s="4">
        <f ca="1">$M$392*$Z$392</f>
        <v>6029.838112679221</v>
      </c>
      <c r="AG392" s="4">
        <f>$O$392*$AA$392</f>
        <v>2076.2017203898699</v>
      </c>
    </row>
    <row r="393" spans="1:33" ht="11.25" customHeight="1" x14ac:dyDescent="0.25">
      <c r="A393" s="3" t="s">
        <v>21</v>
      </c>
      <c r="B393" s="3" t="s">
        <v>41</v>
      </c>
      <c r="C393" s="3" t="s">
        <v>23</v>
      </c>
      <c r="D393" s="3" t="s">
        <v>42</v>
      </c>
      <c r="E393" s="3" t="s">
        <v>49</v>
      </c>
      <c r="F393" s="3" t="s">
        <v>51</v>
      </c>
      <c r="G393" s="3" t="s">
        <v>25</v>
      </c>
      <c r="H393" s="3" t="s">
        <v>25</v>
      </c>
      <c r="I393" s="6">
        <v>44621</v>
      </c>
      <c r="J393" s="4">
        <v>0</v>
      </c>
      <c r="K393" s="4">
        <v>0</v>
      </c>
      <c r="L393" s="4">
        <v>22.385999999999999</v>
      </c>
      <c r="M393" s="4">
        <v>8.9543999999999997</v>
      </c>
      <c r="N393" s="4">
        <v>22.385999999999999</v>
      </c>
      <c r="O393" s="4">
        <v>8.9543999999999997</v>
      </c>
      <c r="P393" s="4">
        <v>0</v>
      </c>
      <c r="Q393" s="3" t="s">
        <v>26</v>
      </c>
      <c r="R393" s="3">
        <v>0</v>
      </c>
      <c r="S393" s="4">
        <v>0</v>
      </c>
      <c r="T393" s="4">
        <v>29</v>
      </c>
      <c r="U393" s="4">
        <v>63</v>
      </c>
      <c r="V393" s="4">
        <f>IF(ISERROR(VLOOKUP($S$393,'TAR FIN'!$A$1:$O$86,15,0)),0,VLOOKUP($S$393,'TAR FIN'!$A$1:$O$86,15,0))</f>
        <v>0</v>
      </c>
      <c r="W393" s="4">
        <f>IF(ISERROR(VLOOKUP($T$393,'TAR FIN'!$A$1:$O$86,15,0)),0,VLOOKUP($T$393,'TAR FIN'!$A$1:$O$86,15,0))</f>
        <v>410.79</v>
      </c>
      <c r="X393" s="4">
        <f>IF(ISERROR(VLOOKUP($U$393,'TAR FIN'!$A$1:$O$86,15,0)),0,VLOOKUP($U$393,'TAR FIN'!$A$1:$O$86,15,0))</f>
        <v>186.16</v>
      </c>
      <c r="Y393" s="4"/>
      <c r="Z393" s="4">
        <f ca="1">('TUSD BE'!$AM$33+'TUSD BF'!$AM$33+'TUSD CVA'!$AM$33)*(1-CUSTOS!$M$38)</f>
        <v>536.63434130853489</v>
      </c>
      <c r="AA393" s="4">
        <f>('TE BE'!$AB$24+'TE BF'!$AB$24+'TE CVA'!$AB$24)*(1-CUSTOS!$M$38)</f>
        <v>184.7746360391113</v>
      </c>
      <c r="AB393" s="4">
        <f>$K$393*$V$393</f>
        <v>0</v>
      </c>
      <c r="AC393" s="4">
        <f>$M$393*$W$393</f>
        <v>3678.3779760000002</v>
      </c>
      <c r="AD393" s="4">
        <f>$O$393*$X$393</f>
        <v>1666.951104</v>
      </c>
      <c r="AE393" s="4">
        <f>$K$393*$Y$393</f>
        <v>0</v>
      </c>
      <c r="AF393" s="4">
        <f ca="1">$M$393*$Z$393</f>
        <v>4805.2385458131448</v>
      </c>
      <c r="AG393" s="4">
        <f>$O$393*$AA$393</f>
        <v>1654.5460009486183</v>
      </c>
    </row>
    <row r="394" spans="1:33" ht="11.25" customHeight="1" x14ac:dyDescent="0.25">
      <c r="A394" s="3" t="s">
        <v>21</v>
      </c>
      <c r="B394" s="3" t="s">
        <v>41</v>
      </c>
      <c r="C394" s="3" t="s">
        <v>23</v>
      </c>
      <c r="D394" s="3" t="s">
        <v>42</v>
      </c>
      <c r="E394" s="3" t="s">
        <v>49</v>
      </c>
      <c r="F394" s="3" t="s">
        <v>51</v>
      </c>
      <c r="G394" s="3" t="s">
        <v>25</v>
      </c>
      <c r="H394" s="3" t="s">
        <v>25</v>
      </c>
      <c r="I394" s="6">
        <v>44652</v>
      </c>
      <c r="J394" s="4">
        <v>0</v>
      </c>
      <c r="K394" s="4">
        <v>0</v>
      </c>
      <c r="L394" s="4">
        <v>0.58399999999999996</v>
      </c>
      <c r="M394" s="4">
        <v>0.2336</v>
      </c>
      <c r="N394" s="4">
        <v>0.58399999999999996</v>
      </c>
      <c r="O394" s="4">
        <v>0.2336</v>
      </c>
      <c r="P394" s="4">
        <v>0</v>
      </c>
      <c r="Q394" s="3" t="s">
        <v>26</v>
      </c>
      <c r="R394" s="3">
        <v>0</v>
      </c>
      <c r="S394" s="4">
        <v>0</v>
      </c>
      <c r="T394" s="4">
        <v>29</v>
      </c>
      <c r="U394" s="4">
        <v>63</v>
      </c>
      <c r="V394" s="4">
        <f>IF(ISERROR(VLOOKUP($S$394,'TAR FIN'!$A$1:$O$86,15,0)),0,VLOOKUP($S$394,'TAR FIN'!$A$1:$O$86,15,0))</f>
        <v>0</v>
      </c>
      <c r="W394" s="4">
        <f>IF(ISERROR(VLOOKUP($T$394,'TAR FIN'!$A$1:$O$86,15,0)),0,VLOOKUP($T$394,'TAR FIN'!$A$1:$O$86,15,0))</f>
        <v>410.79</v>
      </c>
      <c r="X394" s="4">
        <f>IF(ISERROR(VLOOKUP($U$394,'TAR FIN'!$A$1:$O$86,15,0)),0,VLOOKUP($U$394,'TAR FIN'!$A$1:$O$86,15,0))</f>
        <v>186.16</v>
      </c>
      <c r="Y394" s="4"/>
      <c r="Z394" s="4">
        <f ca="1">('TUSD BE'!$AM$33+'TUSD BF'!$AM$33+'TUSD CVA'!$AM$33)*(1-CUSTOS!$M$38)</f>
        <v>536.63434130853489</v>
      </c>
      <c r="AA394" s="4">
        <f>('TE BE'!$AB$24+'TE BF'!$AB$24+'TE CVA'!$AB$24)*(1-CUSTOS!$M$38)</f>
        <v>184.7746360391113</v>
      </c>
      <c r="AB394" s="4">
        <f>$K$394*$V$394</f>
        <v>0</v>
      </c>
      <c r="AC394" s="4">
        <f>$M$394*$W$394</f>
        <v>95.960543999999999</v>
      </c>
      <c r="AD394" s="4">
        <f>$O$394*$X$394</f>
        <v>43.486975999999999</v>
      </c>
      <c r="AE394" s="4">
        <f>$K$394*$Y$394</f>
        <v>0</v>
      </c>
      <c r="AF394" s="4">
        <f ca="1">$M$394*$Z$394</f>
        <v>125.35778212967375</v>
      </c>
      <c r="AG394" s="4">
        <f>$O$394*$AA$394</f>
        <v>43.1633549787364</v>
      </c>
    </row>
    <row r="395" spans="1:33" ht="11.25" customHeight="1" x14ac:dyDescent="0.25">
      <c r="A395" s="3" t="s">
        <v>27</v>
      </c>
      <c r="B395" s="3" t="s">
        <v>41</v>
      </c>
      <c r="C395" s="3" t="s">
        <v>23</v>
      </c>
      <c r="D395" s="3" t="s">
        <v>42</v>
      </c>
      <c r="E395" s="3" t="s">
        <v>49</v>
      </c>
      <c r="F395" s="3" t="s">
        <v>51</v>
      </c>
      <c r="G395" s="3" t="s">
        <v>25</v>
      </c>
      <c r="H395" s="3" t="s">
        <v>25</v>
      </c>
      <c r="I395" s="6">
        <v>44652</v>
      </c>
      <c r="J395" s="4">
        <v>0</v>
      </c>
      <c r="K395" s="4">
        <v>0</v>
      </c>
      <c r="L395" s="4">
        <v>-2.7109999999999999</v>
      </c>
      <c r="M395" s="4">
        <v>-1.0844</v>
      </c>
      <c r="N395" s="4">
        <v>-2.7109999999999999</v>
      </c>
      <c r="O395" s="4">
        <v>-1.0844</v>
      </c>
      <c r="P395" s="4">
        <v>0</v>
      </c>
      <c r="Q395" s="3" t="s">
        <v>26</v>
      </c>
      <c r="R395" s="3">
        <v>0</v>
      </c>
      <c r="S395" s="4">
        <v>0</v>
      </c>
      <c r="T395" s="4">
        <v>29</v>
      </c>
      <c r="U395" s="4">
        <v>63</v>
      </c>
      <c r="V395" s="4">
        <f>IF(ISERROR(VLOOKUP($S$395,'TAR FIN'!$A$1:$O$86,15,0)),0,VLOOKUP($S$395,'TAR FIN'!$A$1:$O$86,15,0))</f>
        <v>0</v>
      </c>
      <c r="W395" s="4">
        <f>IF(ISERROR(VLOOKUP($T$395,'TAR FIN'!$A$1:$O$86,15,0)),0,VLOOKUP($T$395,'TAR FIN'!$A$1:$O$86,15,0))</f>
        <v>410.79</v>
      </c>
      <c r="X395" s="4">
        <f>IF(ISERROR(VLOOKUP($U$395,'TAR FIN'!$A$1:$O$86,15,0)),0,VLOOKUP($U$395,'TAR FIN'!$A$1:$O$86,15,0))</f>
        <v>186.16</v>
      </c>
      <c r="Y395" s="4"/>
      <c r="Z395" s="4">
        <f ca="1">('TUSD BE'!$AM$33+'TUSD BF'!$AM$33+'TUSD CVA'!$AM$33)*(1-CUSTOS!$M$38)</f>
        <v>536.63434130853489</v>
      </c>
      <c r="AA395" s="4">
        <f>('TE BE'!$AB$24+'TE BF'!$AB$24+'TE CVA'!$AB$24)*(1-CUSTOS!$M$38)</f>
        <v>184.7746360391113</v>
      </c>
      <c r="AB395" s="4">
        <f>$K$395*$V$395</f>
        <v>0</v>
      </c>
      <c r="AC395" s="4">
        <f>$M$395*$W$395</f>
        <v>-445.46067600000003</v>
      </c>
      <c r="AD395" s="4">
        <f>$O$395*$X$395</f>
        <v>-201.871904</v>
      </c>
      <c r="AE395" s="4">
        <f>$K$395*$Y$395</f>
        <v>0</v>
      </c>
      <c r="AF395" s="4">
        <f ca="1">$M$395*$Z$395</f>
        <v>-581.92627971497529</v>
      </c>
      <c r="AG395" s="4">
        <f>$O$395*$AA$395</f>
        <v>-200.3696153208123</v>
      </c>
    </row>
    <row r="396" spans="1:33" ht="11.25" customHeight="1" x14ac:dyDescent="0.25">
      <c r="A396" s="3" t="s">
        <v>21</v>
      </c>
      <c r="B396" s="3" t="s">
        <v>41</v>
      </c>
      <c r="C396" s="3" t="s">
        <v>23</v>
      </c>
      <c r="D396" s="3" t="s">
        <v>42</v>
      </c>
      <c r="E396" s="3" t="s">
        <v>49</v>
      </c>
      <c r="F396" s="3" t="s">
        <v>51</v>
      </c>
      <c r="G396" s="3" t="s">
        <v>25</v>
      </c>
      <c r="H396" s="3" t="s">
        <v>25</v>
      </c>
      <c r="I396" s="6">
        <v>44682</v>
      </c>
      <c r="J396" s="4">
        <v>0</v>
      </c>
      <c r="K396" s="4">
        <v>0</v>
      </c>
      <c r="L396" s="4">
        <v>0.55700000000000005</v>
      </c>
      <c r="M396" s="4">
        <v>0.2228</v>
      </c>
      <c r="N396" s="4">
        <v>0.55700000000000005</v>
      </c>
      <c r="O396" s="4">
        <v>0.2228</v>
      </c>
      <c r="P396" s="4">
        <v>0</v>
      </c>
      <c r="Q396" s="3" t="s">
        <v>26</v>
      </c>
      <c r="R396" s="3">
        <v>0</v>
      </c>
      <c r="S396" s="4">
        <v>0</v>
      </c>
      <c r="T396" s="4">
        <v>29</v>
      </c>
      <c r="U396" s="4">
        <v>63</v>
      </c>
      <c r="V396" s="4">
        <f>IF(ISERROR(VLOOKUP($S$396,'TAR FIN'!$A$1:$O$86,15,0)),0,VLOOKUP($S$396,'TAR FIN'!$A$1:$O$86,15,0))</f>
        <v>0</v>
      </c>
      <c r="W396" s="4">
        <f>IF(ISERROR(VLOOKUP($T$396,'TAR FIN'!$A$1:$O$86,15,0)),0,VLOOKUP($T$396,'TAR FIN'!$A$1:$O$86,15,0))</f>
        <v>410.79</v>
      </c>
      <c r="X396" s="4">
        <f>IF(ISERROR(VLOOKUP($U$396,'TAR FIN'!$A$1:$O$86,15,0)),0,VLOOKUP($U$396,'TAR FIN'!$A$1:$O$86,15,0))</f>
        <v>186.16</v>
      </c>
      <c r="Y396" s="4"/>
      <c r="Z396" s="4">
        <f ca="1">('TUSD BE'!$AM$33+'TUSD BF'!$AM$33+'TUSD CVA'!$AM$33)*(1-CUSTOS!$M$38)</f>
        <v>536.63434130853489</v>
      </c>
      <c r="AA396" s="4">
        <f>('TE BE'!$AB$24+'TE BF'!$AB$24+'TE CVA'!$AB$24)*(1-CUSTOS!$M$38)</f>
        <v>184.7746360391113</v>
      </c>
      <c r="AB396" s="4">
        <f>$K$396*$V$396</f>
        <v>0</v>
      </c>
      <c r="AC396" s="4">
        <f>$M$396*$W$396</f>
        <v>91.524011999999999</v>
      </c>
      <c r="AD396" s="4">
        <f>$O$396*$X$396</f>
        <v>41.476447999999998</v>
      </c>
      <c r="AE396" s="4">
        <f>$K$396*$Y$396</f>
        <v>0</v>
      </c>
      <c r="AF396" s="4">
        <f ca="1">$M$396*$Z$396</f>
        <v>119.56213124354157</v>
      </c>
      <c r="AG396" s="4">
        <f>$O$396*$AA$396</f>
        <v>41.167788909513995</v>
      </c>
    </row>
    <row r="397" spans="1:33" ht="11.25" customHeight="1" x14ac:dyDescent="0.25">
      <c r="A397" s="3" t="s">
        <v>28</v>
      </c>
      <c r="B397" s="3" t="s">
        <v>41</v>
      </c>
      <c r="C397" s="3" t="s">
        <v>23</v>
      </c>
      <c r="D397" s="3" t="s">
        <v>42</v>
      </c>
      <c r="E397" s="3" t="s">
        <v>49</v>
      </c>
      <c r="F397" s="3" t="s">
        <v>51</v>
      </c>
      <c r="G397" s="3" t="s">
        <v>25</v>
      </c>
      <c r="H397" s="3" t="s">
        <v>25</v>
      </c>
      <c r="I397" s="6">
        <v>44682</v>
      </c>
      <c r="J397" s="4">
        <v>0</v>
      </c>
      <c r="K397" s="4">
        <v>0</v>
      </c>
      <c r="L397" s="4">
        <v>1.9E-2</v>
      </c>
      <c r="M397" s="4">
        <v>1.9E-2</v>
      </c>
      <c r="N397" s="4">
        <v>1.9E-2</v>
      </c>
      <c r="O397" s="4">
        <v>1.9E-2</v>
      </c>
      <c r="P397" s="4">
        <v>0</v>
      </c>
      <c r="Q397" s="3" t="s">
        <v>26</v>
      </c>
      <c r="R397" s="3">
        <v>0</v>
      </c>
      <c r="S397" s="4">
        <v>0</v>
      </c>
      <c r="T397" s="4">
        <v>29</v>
      </c>
      <c r="U397" s="4">
        <v>63</v>
      </c>
      <c r="V397" s="4">
        <f>IF(ISERROR(VLOOKUP($S$397,'TAR FIN'!$A$1:$O$86,15,0)),0,VLOOKUP($S$397,'TAR FIN'!$A$1:$O$86,15,0))</f>
        <v>0</v>
      </c>
      <c r="W397" s="4">
        <f>IF(ISERROR(VLOOKUP($T$397,'TAR FIN'!$A$1:$O$86,15,0)),0,VLOOKUP($T$397,'TAR FIN'!$A$1:$O$86,15,0))</f>
        <v>410.79</v>
      </c>
      <c r="X397" s="4">
        <f>IF(ISERROR(VLOOKUP($U$397,'TAR FIN'!$A$1:$O$86,15,0)),0,VLOOKUP($U$397,'TAR FIN'!$A$1:$O$86,15,0))</f>
        <v>186.16</v>
      </c>
      <c r="Y397" s="4"/>
      <c r="Z397" s="4">
        <f ca="1">('TUSD BE'!$AM$33+'TUSD BF'!$AM$33+'TUSD CVA'!$AM$33)*(1-CUSTOS!$M$38)</f>
        <v>536.63434130853489</v>
      </c>
      <c r="AA397" s="4">
        <f>('TE BE'!$AB$24+'TE BF'!$AB$24+'TE CVA'!$AB$24)*(1-CUSTOS!$M$38)</f>
        <v>184.7746360391113</v>
      </c>
      <c r="AB397" s="4">
        <f>$K$397*$V$397</f>
        <v>0</v>
      </c>
      <c r="AC397" s="4">
        <f>$M$397*$W$397</f>
        <v>7.8050100000000002</v>
      </c>
      <c r="AD397" s="4">
        <f>$O$397*$X$397</f>
        <v>3.5370399999999997</v>
      </c>
      <c r="AE397" s="4">
        <f>$K$397*$Y$397</f>
        <v>0</v>
      </c>
      <c r="AF397" s="4">
        <f ca="1">$M$397*$Z$397</f>
        <v>10.196052484862163</v>
      </c>
      <c r="AG397" s="4">
        <f>$O$397*$AA$397</f>
        <v>3.5107180847431145</v>
      </c>
    </row>
    <row r="398" spans="1:33" ht="11.25" customHeight="1" x14ac:dyDescent="0.25">
      <c r="A398" s="3" t="s">
        <v>21</v>
      </c>
      <c r="B398" s="3" t="s">
        <v>41</v>
      </c>
      <c r="C398" s="3" t="s">
        <v>23</v>
      </c>
      <c r="D398" s="3" t="s">
        <v>42</v>
      </c>
      <c r="E398" s="3" t="s">
        <v>49</v>
      </c>
      <c r="F398" s="3" t="s">
        <v>51</v>
      </c>
      <c r="G398" s="3" t="s">
        <v>25</v>
      </c>
      <c r="H398" s="3" t="s">
        <v>25</v>
      </c>
      <c r="I398" s="6">
        <v>44713</v>
      </c>
      <c r="J398" s="4">
        <v>0</v>
      </c>
      <c r="K398" s="4">
        <v>0</v>
      </c>
      <c r="L398" s="4">
        <v>0.32600000000000001</v>
      </c>
      <c r="M398" s="4">
        <v>0.13039999999999999</v>
      </c>
      <c r="N398" s="4">
        <v>0.32600000000000001</v>
      </c>
      <c r="O398" s="4">
        <v>0.13039999999999999</v>
      </c>
      <c r="P398" s="4">
        <v>0</v>
      </c>
      <c r="Q398" s="3" t="s">
        <v>26</v>
      </c>
      <c r="R398" s="3">
        <v>0</v>
      </c>
      <c r="S398" s="4">
        <v>0</v>
      </c>
      <c r="T398" s="4">
        <v>29</v>
      </c>
      <c r="U398" s="4">
        <v>63</v>
      </c>
      <c r="V398" s="4">
        <f>IF(ISERROR(VLOOKUP($S$398,'TAR FIN'!$A$1:$O$86,15,0)),0,VLOOKUP($S$398,'TAR FIN'!$A$1:$O$86,15,0))</f>
        <v>0</v>
      </c>
      <c r="W398" s="4">
        <f>IF(ISERROR(VLOOKUP($T$398,'TAR FIN'!$A$1:$O$86,15,0)),0,VLOOKUP($T$398,'TAR FIN'!$A$1:$O$86,15,0))</f>
        <v>410.79</v>
      </c>
      <c r="X398" s="4">
        <f>IF(ISERROR(VLOOKUP($U$398,'TAR FIN'!$A$1:$O$86,15,0)),0,VLOOKUP($U$398,'TAR FIN'!$A$1:$O$86,15,0))</f>
        <v>186.16</v>
      </c>
      <c r="Y398" s="4"/>
      <c r="Z398" s="4">
        <f ca="1">('TUSD BE'!$AM$33+'TUSD BF'!$AM$33+'TUSD CVA'!$AM$33)*(1-CUSTOS!$M$38)</f>
        <v>536.63434130853489</v>
      </c>
      <c r="AA398" s="4">
        <f>('TE BE'!$AB$24+'TE BF'!$AB$24+'TE CVA'!$AB$24)*(1-CUSTOS!$M$38)</f>
        <v>184.7746360391113</v>
      </c>
      <c r="AB398" s="4">
        <f>$K$398*$V$398</f>
        <v>0</v>
      </c>
      <c r="AC398" s="4">
        <f>$M$398*$W$398</f>
        <v>53.567015999999995</v>
      </c>
      <c r="AD398" s="4">
        <f>$O$398*$X$398</f>
        <v>24.275263999999996</v>
      </c>
      <c r="AE398" s="4">
        <f>$K$398*$Y$398</f>
        <v>0</v>
      </c>
      <c r="AF398" s="4">
        <f ca="1">$M$398*$Z$398</f>
        <v>69.977118106632943</v>
      </c>
      <c r="AG398" s="4">
        <f>$O$398*$AA$398</f>
        <v>24.094612539500112</v>
      </c>
    </row>
    <row r="399" spans="1:33" ht="11.25" customHeight="1" x14ac:dyDescent="0.25">
      <c r="A399" s="3" t="s">
        <v>21</v>
      </c>
      <c r="B399" s="3" t="s">
        <v>41</v>
      </c>
      <c r="C399" s="3" t="s">
        <v>23</v>
      </c>
      <c r="D399" s="3" t="s">
        <v>42</v>
      </c>
      <c r="E399" s="3" t="s">
        <v>52</v>
      </c>
      <c r="F399" s="3" t="s">
        <v>50</v>
      </c>
      <c r="G399" s="3" t="s">
        <v>25</v>
      </c>
      <c r="H399" s="3" t="s">
        <v>25</v>
      </c>
      <c r="I399" s="6">
        <v>44378</v>
      </c>
      <c r="J399" s="4">
        <v>0</v>
      </c>
      <c r="K399" s="4">
        <v>0</v>
      </c>
      <c r="L399" s="4">
        <v>2.1739999999999999</v>
      </c>
      <c r="M399" s="4">
        <v>2.1739999999999999</v>
      </c>
      <c r="N399" s="4">
        <v>2.1739999999999999</v>
      </c>
      <c r="O399" s="4">
        <v>2.1739999999999999</v>
      </c>
      <c r="P399" s="4">
        <v>0</v>
      </c>
      <c r="Q399" s="3" t="s">
        <v>26</v>
      </c>
      <c r="R399" s="3">
        <v>0</v>
      </c>
      <c r="S399" s="4">
        <v>0</v>
      </c>
      <c r="T399" s="4">
        <v>42</v>
      </c>
      <c r="U399" s="4">
        <v>63</v>
      </c>
      <c r="V399" s="4">
        <f>IF(ISERROR(VLOOKUP($S$399,'TAR FIN'!$A$1:$O$86,15,0)),0,VLOOKUP($S$399,'TAR FIN'!$A$1:$O$86,15,0))</f>
        <v>0</v>
      </c>
      <c r="W399" s="4">
        <f>IF(ISERROR(VLOOKUP($T$399,'TAR FIN'!$A$1:$O$86,15,0)),0,VLOOKUP($T$399,'TAR FIN'!$A$1:$O$86,15,0))</f>
        <v>430.35</v>
      </c>
      <c r="X399" s="4">
        <f>IF(ISERROR(VLOOKUP($U$399,'TAR FIN'!$A$1:$O$86,15,0)),0,VLOOKUP($U$399,'TAR FIN'!$A$1:$O$86,15,0))</f>
        <v>186.16</v>
      </c>
      <c r="Y399" s="4"/>
      <c r="Z399" s="4">
        <f ca="1">('TUSD BE'!$AM$33+'TUSD BF'!$AM$33+'TUSD CVA'!$AM$33)*(1-CUSTOS!$M$38)</f>
        <v>536.63434130853489</v>
      </c>
      <c r="AA399" s="4">
        <f>('TE BE'!$AB$24+'TE BF'!$AB$24+'TE CVA'!$AB$24)*(1-CUSTOS!$M$38)</f>
        <v>184.7746360391113</v>
      </c>
      <c r="AB399" s="4">
        <f>$K$399*$V$399</f>
        <v>0</v>
      </c>
      <c r="AC399" s="4">
        <f>$M$399*$W$399</f>
        <v>935.58090000000004</v>
      </c>
      <c r="AD399" s="4">
        <f>$O$399*$X$399</f>
        <v>404.71184</v>
      </c>
      <c r="AE399" s="4">
        <f>$K$399*$Y$399</f>
        <v>0</v>
      </c>
      <c r="AF399" s="4">
        <f ca="1">$M$399*$Z$399</f>
        <v>1166.6430580047547</v>
      </c>
      <c r="AG399" s="4">
        <f>$O$399*$AA$399</f>
        <v>401.70005874902796</v>
      </c>
    </row>
    <row r="400" spans="1:33" ht="11.25" customHeight="1" x14ac:dyDescent="0.25">
      <c r="A400" s="3" t="s">
        <v>21</v>
      </c>
      <c r="B400" s="3" t="s">
        <v>41</v>
      </c>
      <c r="C400" s="3" t="s">
        <v>23</v>
      </c>
      <c r="D400" s="3" t="s">
        <v>42</v>
      </c>
      <c r="E400" s="3" t="s">
        <v>52</v>
      </c>
      <c r="F400" s="3" t="s">
        <v>50</v>
      </c>
      <c r="G400" s="3" t="s">
        <v>25</v>
      </c>
      <c r="H400" s="3" t="s">
        <v>25</v>
      </c>
      <c r="I400" s="6">
        <v>44409</v>
      </c>
      <c r="J400" s="4">
        <v>0</v>
      </c>
      <c r="K400" s="4">
        <v>0</v>
      </c>
      <c r="L400" s="4">
        <v>1.0649999999999999</v>
      </c>
      <c r="M400" s="4">
        <v>1.0649999999999999</v>
      </c>
      <c r="N400" s="4">
        <v>1.0649999999999999</v>
      </c>
      <c r="O400" s="4">
        <v>1.0649999999999999</v>
      </c>
      <c r="P400" s="4">
        <v>0</v>
      </c>
      <c r="Q400" s="3" t="s">
        <v>26</v>
      </c>
      <c r="R400" s="3">
        <v>0</v>
      </c>
      <c r="S400" s="4">
        <v>0</v>
      </c>
      <c r="T400" s="4">
        <v>42</v>
      </c>
      <c r="U400" s="4">
        <v>63</v>
      </c>
      <c r="V400" s="4">
        <f>IF(ISERROR(VLOOKUP($S$400,'TAR FIN'!$A$1:$O$86,15,0)),0,VLOOKUP($S$400,'TAR FIN'!$A$1:$O$86,15,0))</f>
        <v>0</v>
      </c>
      <c r="W400" s="4">
        <f>IF(ISERROR(VLOOKUP($T$400,'TAR FIN'!$A$1:$O$86,15,0)),0,VLOOKUP($T$400,'TAR FIN'!$A$1:$O$86,15,0))</f>
        <v>430.35</v>
      </c>
      <c r="X400" s="4">
        <f>IF(ISERROR(VLOOKUP($U$400,'TAR FIN'!$A$1:$O$86,15,0)),0,VLOOKUP($U$400,'TAR FIN'!$A$1:$O$86,15,0))</f>
        <v>186.16</v>
      </c>
      <c r="Y400" s="4"/>
      <c r="Z400" s="4">
        <f ca="1">('TUSD BE'!$AM$33+'TUSD BF'!$AM$33+'TUSD CVA'!$AM$33)*(1-CUSTOS!$M$38)</f>
        <v>536.63434130853489</v>
      </c>
      <c r="AA400" s="4">
        <f>('TE BE'!$AB$24+'TE BF'!$AB$24+'TE CVA'!$AB$24)*(1-CUSTOS!$M$38)</f>
        <v>184.7746360391113</v>
      </c>
      <c r="AB400" s="4">
        <f>$K$400*$V$400</f>
        <v>0</v>
      </c>
      <c r="AC400" s="4">
        <f>$M$400*$W$400</f>
        <v>458.32274999999998</v>
      </c>
      <c r="AD400" s="4">
        <f>$O$400*$X$400</f>
        <v>198.26039999999998</v>
      </c>
      <c r="AE400" s="4">
        <f>$K$400*$Y$400</f>
        <v>0</v>
      </c>
      <c r="AF400" s="4">
        <f ca="1">$M$400*$Z$400</f>
        <v>571.51557349358961</v>
      </c>
      <c r="AG400" s="4">
        <f>$O$400*$AA$400</f>
        <v>196.78498738165354</v>
      </c>
    </row>
    <row r="401" spans="1:33" ht="11.25" customHeight="1" x14ac:dyDescent="0.25">
      <c r="A401" s="3" t="s">
        <v>21</v>
      </c>
      <c r="B401" s="3" t="s">
        <v>41</v>
      </c>
      <c r="C401" s="3" t="s">
        <v>23</v>
      </c>
      <c r="D401" s="3" t="s">
        <v>42</v>
      </c>
      <c r="E401" s="3" t="s">
        <v>52</v>
      </c>
      <c r="F401" s="3" t="s">
        <v>50</v>
      </c>
      <c r="G401" s="3" t="s">
        <v>25</v>
      </c>
      <c r="H401" s="3" t="s">
        <v>25</v>
      </c>
      <c r="I401" s="6">
        <v>44440</v>
      </c>
      <c r="J401" s="4">
        <v>0</v>
      </c>
      <c r="K401" s="4">
        <v>0</v>
      </c>
      <c r="L401" s="4">
        <v>0.32900000000000001</v>
      </c>
      <c r="M401" s="4">
        <v>0.32900000000000001</v>
      </c>
      <c r="N401" s="4">
        <v>0.32900000000000001</v>
      </c>
      <c r="O401" s="4">
        <v>0.32900000000000001</v>
      </c>
      <c r="P401" s="4">
        <v>0</v>
      </c>
      <c r="Q401" s="3" t="s">
        <v>26</v>
      </c>
      <c r="R401" s="3">
        <v>0</v>
      </c>
      <c r="S401" s="4">
        <v>0</v>
      </c>
      <c r="T401" s="4">
        <v>42</v>
      </c>
      <c r="U401" s="4">
        <v>63</v>
      </c>
      <c r="V401" s="4">
        <f>IF(ISERROR(VLOOKUP($S$401,'TAR FIN'!$A$1:$O$86,15,0)),0,VLOOKUP($S$401,'TAR FIN'!$A$1:$O$86,15,0))</f>
        <v>0</v>
      </c>
      <c r="W401" s="4">
        <f>IF(ISERROR(VLOOKUP($T$401,'TAR FIN'!$A$1:$O$86,15,0)),0,VLOOKUP($T$401,'TAR FIN'!$A$1:$O$86,15,0))</f>
        <v>430.35</v>
      </c>
      <c r="X401" s="4">
        <f>IF(ISERROR(VLOOKUP($U$401,'TAR FIN'!$A$1:$O$86,15,0)),0,VLOOKUP($U$401,'TAR FIN'!$A$1:$O$86,15,0))</f>
        <v>186.16</v>
      </c>
      <c r="Y401" s="4"/>
      <c r="Z401" s="4">
        <f ca="1">('TUSD BE'!$AM$33+'TUSD BF'!$AM$33+'TUSD CVA'!$AM$33)*(1-CUSTOS!$M$38)</f>
        <v>536.63434130853489</v>
      </c>
      <c r="AA401" s="4">
        <f>('TE BE'!$AB$24+'TE BF'!$AB$24+'TE CVA'!$AB$24)*(1-CUSTOS!$M$38)</f>
        <v>184.7746360391113</v>
      </c>
      <c r="AB401" s="4">
        <f>$K$401*$V$401</f>
        <v>0</v>
      </c>
      <c r="AC401" s="4">
        <f>$M$401*$W$401</f>
        <v>141.58515000000003</v>
      </c>
      <c r="AD401" s="4">
        <f>$O$401*$X$401</f>
        <v>61.246639999999999</v>
      </c>
      <c r="AE401" s="4">
        <f>$K$401*$Y$401</f>
        <v>0</v>
      </c>
      <c r="AF401" s="4">
        <f ca="1">$M$401*$Z$401</f>
        <v>176.55269829050798</v>
      </c>
      <c r="AG401" s="4">
        <f>$O$401*$AA$401</f>
        <v>60.790855256867623</v>
      </c>
    </row>
    <row r="402" spans="1:33" ht="11.25" customHeight="1" x14ac:dyDescent="0.25">
      <c r="A402" s="3" t="s">
        <v>21</v>
      </c>
      <c r="B402" s="3" t="s">
        <v>41</v>
      </c>
      <c r="C402" s="3" t="s">
        <v>23</v>
      </c>
      <c r="D402" s="3" t="s">
        <v>42</v>
      </c>
      <c r="E402" s="3" t="s">
        <v>52</v>
      </c>
      <c r="F402" s="3" t="s">
        <v>50</v>
      </c>
      <c r="G402" s="3" t="s">
        <v>25</v>
      </c>
      <c r="H402" s="3" t="s">
        <v>25</v>
      </c>
      <c r="I402" s="6">
        <v>44470</v>
      </c>
      <c r="J402" s="4">
        <v>0</v>
      </c>
      <c r="K402" s="4">
        <v>0</v>
      </c>
      <c r="L402" s="4">
        <v>0.58799999999999997</v>
      </c>
      <c r="M402" s="4">
        <v>0.58799999999999997</v>
      </c>
      <c r="N402" s="4">
        <v>0.58799999999999997</v>
      </c>
      <c r="O402" s="4">
        <v>0.58799999999999997</v>
      </c>
      <c r="P402" s="4">
        <v>0</v>
      </c>
      <c r="Q402" s="3" t="s">
        <v>26</v>
      </c>
      <c r="R402" s="3">
        <v>0</v>
      </c>
      <c r="S402" s="4">
        <v>0</v>
      </c>
      <c r="T402" s="4">
        <v>42</v>
      </c>
      <c r="U402" s="4">
        <v>63</v>
      </c>
      <c r="V402" s="4">
        <f>IF(ISERROR(VLOOKUP($S$402,'TAR FIN'!$A$1:$O$86,15,0)),0,VLOOKUP($S$402,'TAR FIN'!$A$1:$O$86,15,0))</f>
        <v>0</v>
      </c>
      <c r="W402" s="4">
        <f>IF(ISERROR(VLOOKUP($T$402,'TAR FIN'!$A$1:$O$86,15,0)),0,VLOOKUP($T$402,'TAR FIN'!$A$1:$O$86,15,0))</f>
        <v>430.35</v>
      </c>
      <c r="X402" s="4">
        <f>IF(ISERROR(VLOOKUP($U$402,'TAR FIN'!$A$1:$O$86,15,0)),0,VLOOKUP($U$402,'TAR FIN'!$A$1:$O$86,15,0))</f>
        <v>186.16</v>
      </c>
      <c r="Y402" s="4"/>
      <c r="Z402" s="4">
        <f ca="1">('TUSD BE'!$AM$33+'TUSD BF'!$AM$33+'TUSD CVA'!$AM$33)*(1-CUSTOS!$M$38)</f>
        <v>536.63434130853489</v>
      </c>
      <c r="AA402" s="4">
        <f>('TE BE'!$AB$24+'TE BF'!$AB$24+'TE CVA'!$AB$24)*(1-CUSTOS!$M$38)</f>
        <v>184.7746360391113</v>
      </c>
      <c r="AB402" s="4">
        <f>$K$402*$V$402</f>
        <v>0</v>
      </c>
      <c r="AC402" s="4">
        <f>$M$402*$W$402</f>
        <v>253.04579999999999</v>
      </c>
      <c r="AD402" s="4">
        <f>$O$402*$X$402</f>
        <v>109.46207999999999</v>
      </c>
      <c r="AE402" s="4">
        <f>$K$402*$Y$402</f>
        <v>0</v>
      </c>
      <c r="AF402" s="4">
        <f ca="1">$M$402*$Z$402</f>
        <v>315.54099268941849</v>
      </c>
      <c r="AG402" s="4">
        <f>$O$402*$AA$402</f>
        <v>108.64748599099744</v>
      </c>
    </row>
    <row r="403" spans="1:33" ht="11.25" customHeight="1" x14ac:dyDescent="0.25">
      <c r="A403" s="3" t="s">
        <v>21</v>
      </c>
      <c r="B403" s="3" t="s">
        <v>41</v>
      </c>
      <c r="C403" s="3" t="s">
        <v>23</v>
      </c>
      <c r="D403" s="3" t="s">
        <v>42</v>
      </c>
      <c r="E403" s="3" t="s">
        <v>52</v>
      </c>
      <c r="F403" s="3" t="s">
        <v>50</v>
      </c>
      <c r="G403" s="3" t="s">
        <v>25</v>
      </c>
      <c r="H403" s="3" t="s">
        <v>25</v>
      </c>
      <c r="I403" s="6">
        <v>44501</v>
      </c>
      <c r="J403" s="4">
        <v>0</v>
      </c>
      <c r="K403" s="4">
        <v>0</v>
      </c>
      <c r="L403" s="4">
        <v>0.88300000000000001</v>
      </c>
      <c r="M403" s="4">
        <v>0.88300000000000001</v>
      </c>
      <c r="N403" s="4">
        <v>0.88300000000000001</v>
      </c>
      <c r="O403" s="4">
        <v>0.88300000000000001</v>
      </c>
      <c r="P403" s="4">
        <v>0</v>
      </c>
      <c r="Q403" s="3" t="s">
        <v>26</v>
      </c>
      <c r="R403" s="3">
        <v>0</v>
      </c>
      <c r="S403" s="4">
        <v>0</v>
      </c>
      <c r="T403" s="4">
        <v>42</v>
      </c>
      <c r="U403" s="4">
        <v>63</v>
      </c>
      <c r="V403" s="4">
        <f>IF(ISERROR(VLOOKUP($S$403,'TAR FIN'!$A$1:$O$86,15,0)),0,VLOOKUP($S$403,'TAR FIN'!$A$1:$O$86,15,0))</f>
        <v>0</v>
      </c>
      <c r="W403" s="4">
        <f>IF(ISERROR(VLOOKUP($T$403,'TAR FIN'!$A$1:$O$86,15,0)),0,VLOOKUP($T$403,'TAR FIN'!$A$1:$O$86,15,0))</f>
        <v>430.35</v>
      </c>
      <c r="X403" s="4">
        <f>IF(ISERROR(VLOOKUP($U$403,'TAR FIN'!$A$1:$O$86,15,0)),0,VLOOKUP($U$403,'TAR FIN'!$A$1:$O$86,15,0))</f>
        <v>186.16</v>
      </c>
      <c r="Y403" s="4"/>
      <c r="Z403" s="4">
        <f ca="1">('TUSD BE'!$AM$33+'TUSD BF'!$AM$33+'TUSD CVA'!$AM$33)*(1-CUSTOS!$M$38)</f>
        <v>536.63434130853489</v>
      </c>
      <c r="AA403" s="4">
        <f>('TE BE'!$AB$24+'TE BF'!$AB$24+'TE CVA'!$AB$24)*(1-CUSTOS!$M$38)</f>
        <v>184.7746360391113</v>
      </c>
      <c r="AB403" s="4">
        <f>$K$403*$V$403</f>
        <v>0</v>
      </c>
      <c r="AC403" s="4">
        <f>$M$403*$W$403</f>
        <v>379.99905000000001</v>
      </c>
      <c r="AD403" s="4">
        <f>$O$403*$X$403</f>
        <v>164.37927999999999</v>
      </c>
      <c r="AE403" s="4">
        <f>$K$403*$Y$403</f>
        <v>0</v>
      </c>
      <c r="AF403" s="4">
        <f ca="1">$M$403*$Z$403</f>
        <v>473.84812337543633</v>
      </c>
      <c r="AG403" s="4">
        <f>$O$403*$AA$403</f>
        <v>163.15600362253528</v>
      </c>
    </row>
    <row r="404" spans="1:33" ht="11.25" customHeight="1" x14ac:dyDescent="0.25">
      <c r="A404" s="3" t="s">
        <v>21</v>
      </c>
      <c r="B404" s="3" t="s">
        <v>41</v>
      </c>
      <c r="C404" s="3" t="s">
        <v>23</v>
      </c>
      <c r="D404" s="3" t="s">
        <v>42</v>
      </c>
      <c r="E404" s="3" t="s">
        <v>52</v>
      </c>
      <c r="F404" s="3" t="s">
        <v>50</v>
      </c>
      <c r="G404" s="3" t="s">
        <v>25</v>
      </c>
      <c r="H404" s="3" t="s">
        <v>25</v>
      </c>
      <c r="I404" s="6">
        <v>44531</v>
      </c>
      <c r="J404" s="4">
        <v>0</v>
      </c>
      <c r="K404" s="4">
        <v>0</v>
      </c>
      <c r="L404" s="4">
        <v>0.71299999999999997</v>
      </c>
      <c r="M404" s="4">
        <v>0.71299999999999997</v>
      </c>
      <c r="N404" s="4">
        <v>0.71299999999999997</v>
      </c>
      <c r="O404" s="4">
        <v>0.71299999999999997</v>
      </c>
      <c r="P404" s="4">
        <v>0</v>
      </c>
      <c r="Q404" s="3" t="s">
        <v>26</v>
      </c>
      <c r="R404" s="3">
        <v>0</v>
      </c>
      <c r="S404" s="4">
        <v>0</v>
      </c>
      <c r="T404" s="4">
        <v>42</v>
      </c>
      <c r="U404" s="4">
        <v>63</v>
      </c>
      <c r="V404" s="4">
        <f>IF(ISERROR(VLOOKUP($S$404,'TAR FIN'!$A$1:$O$86,15,0)),0,VLOOKUP($S$404,'TAR FIN'!$A$1:$O$86,15,0))</f>
        <v>0</v>
      </c>
      <c r="W404" s="4">
        <f>IF(ISERROR(VLOOKUP($T$404,'TAR FIN'!$A$1:$O$86,15,0)),0,VLOOKUP($T$404,'TAR FIN'!$A$1:$O$86,15,0))</f>
        <v>430.35</v>
      </c>
      <c r="X404" s="4">
        <f>IF(ISERROR(VLOOKUP($U$404,'TAR FIN'!$A$1:$O$86,15,0)),0,VLOOKUP($U$404,'TAR FIN'!$A$1:$O$86,15,0))</f>
        <v>186.16</v>
      </c>
      <c r="Y404" s="4"/>
      <c r="Z404" s="4">
        <f ca="1">('TUSD BE'!$AM$33+'TUSD BF'!$AM$33+'TUSD CVA'!$AM$33)*(1-CUSTOS!$M$38)</f>
        <v>536.63434130853489</v>
      </c>
      <c r="AA404" s="4">
        <f>('TE BE'!$AB$24+'TE BF'!$AB$24+'TE CVA'!$AB$24)*(1-CUSTOS!$M$38)</f>
        <v>184.7746360391113</v>
      </c>
      <c r="AB404" s="4">
        <f>$K$404*$V$404</f>
        <v>0</v>
      </c>
      <c r="AC404" s="4">
        <f>$M$404*$W$404</f>
        <v>306.83954999999997</v>
      </c>
      <c r="AD404" s="4">
        <f>$O$404*$X$404</f>
        <v>132.73208</v>
      </c>
      <c r="AE404" s="4">
        <f>$K$404*$Y$404</f>
        <v>0</v>
      </c>
      <c r="AF404" s="4">
        <f ca="1">$M$404*$Z$404</f>
        <v>382.62028535298538</v>
      </c>
      <c r="AG404" s="4">
        <f>$O$404*$AA$404</f>
        <v>131.74431549588635</v>
      </c>
    </row>
    <row r="405" spans="1:33" ht="11.25" customHeight="1" x14ac:dyDescent="0.25">
      <c r="A405" s="3" t="s">
        <v>21</v>
      </c>
      <c r="B405" s="3" t="s">
        <v>41</v>
      </c>
      <c r="C405" s="3" t="s">
        <v>23</v>
      </c>
      <c r="D405" s="3" t="s">
        <v>42</v>
      </c>
      <c r="E405" s="3" t="s">
        <v>52</v>
      </c>
      <c r="F405" s="3" t="s">
        <v>50</v>
      </c>
      <c r="G405" s="3" t="s">
        <v>25</v>
      </c>
      <c r="H405" s="3" t="s">
        <v>25</v>
      </c>
      <c r="I405" s="6">
        <v>44562</v>
      </c>
      <c r="J405" s="4">
        <v>0</v>
      </c>
      <c r="K405" s="4">
        <v>0</v>
      </c>
      <c r="L405" s="4">
        <v>1.84</v>
      </c>
      <c r="M405" s="4">
        <v>1.84</v>
      </c>
      <c r="N405" s="4">
        <v>1.84</v>
      </c>
      <c r="O405" s="4">
        <v>1.84</v>
      </c>
      <c r="P405" s="4">
        <v>0</v>
      </c>
      <c r="Q405" s="3" t="s">
        <v>26</v>
      </c>
      <c r="R405" s="3">
        <v>0</v>
      </c>
      <c r="S405" s="4">
        <v>0</v>
      </c>
      <c r="T405" s="4">
        <v>42</v>
      </c>
      <c r="U405" s="4">
        <v>63</v>
      </c>
      <c r="V405" s="4">
        <f>IF(ISERROR(VLOOKUP($S$405,'TAR FIN'!$A$1:$O$86,15,0)),0,VLOOKUP($S$405,'TAR FIN'!$A$1:$O$86,15,0))</f>
        <v>0</v>
      </c>
      <c r="W405" s="4">
        <f>IF(ISERROR(VLOOKUP($T$405,'TAR FIN'!$A$1:$O$86,15,0)),0,VLOOKUP($T$405,'TAR FIN'!$A$1:$O$86,15,0))</f>
        <v>430.35</v>
      </c>
      <c r="X405" s="4">
        <f>IF(ISERROR(VLOOKUP($U$405,'TAR FIN'!$A$1:$O$86,15,0)),0,VLOOKUP($U$405,'TAR FIN'!$A$1:$O$86,15,0))</f>
        <v>186.16</v>
      </c>
      <c r="Y405" s="4"/>
      <c r="Z405" s="4">
        <f ca="1">('TUSD BE'!$AM$33+'TUSD BF'!$AM$33+'TUSD CVA'!$AM$33)*(1-CUSTOS!$M$38)</f>
        <v>536.63434130853489</v>
      </c>
      <c r="AA405" s="4">
        <f>('TE BE'!$AB$24+'TE BF'!$AB$24+'TE CVA'!$AB$24)*(1-CUSTOS!$M$38)</f>
        <v>184.7746360391113</v>
      </c>
      <c r="AB405" s="4">
        <f>$K$405*$V$405</f>
        <v>0</v>
      </c>
      <c r="AC405" s="4">
        <f>$M$405*$W$405</f>
        <v>791.84400000000005</v>
      </c>
      <c r="AD405" s="4">
        <f>$O$405*$X$405</f>
        <v>342.53440000000001</v>
      </c>
      <c r="AE405" s="4">
        <f>$K$405*$Y$405</f>
        <v>0</v>
      </c>
      <c r="AF405" s="4">
        <f ca="1">$M$405*$Z$405</f>
        <v>987.40718800770424</v>
      </c>
      <c r="AG405" s="4">
        <f>$O$405*$AA$405</f>
        <v>339.98533031196479</v>
      </c>
    </row>
    <row r="406" spans="1:33" ht="11.25" customHeight="1" x14ac:dyDescent="0.25">
      <c r="A406" s="3" t="s">
        <v>21</v>
      </c>
      <c r="B406" s="3" t="s">
        <v>41</v>
      </c>
      <c r="C406" s="3" t="s">
        <v>23</v>
      </c>
      <c r="D406" s="3" t="s">
        <v>42</v>
      </c>
      <c r="E406" s="3" t="s">
        <v>52</v>
      </c>
      <c r="F406" s="3" t="s">
        <v>50</v>
      </c>
      <c r="G406" s="3" t="s">
        <v>25</v>
      </c>
      <c r="H406" s="3" t="s">
        <v>25</v>
      </c>
      <c r="I406" s="6">
        <v>44593</v>
      </c>
      <c r="J406" s="4">
        <v>0</v>
      </c>
      <c r="K406" s="4">
        <v>0</v>
      </c>
      <c r="L406" s="4">
        <v>1.581</v>
      </c>
      <c r="M406" s="4">
        <v>1.581</v>
      </c>
      <c r="N406" s="4">
        <v>1.581</v>
      </c>
      <c r="O406" s="4">
        <v>1.581</v>
      </c>
      <c r="P406" s="4">
        <v>0</v>
      </c>
      <c r="Q406" s="3" t="s">
        <v>26</v>
      </c>
      <c r="R406" s="3">
        <v>0</v>
      </c>
      <c r="S406" s="4">
        <v>0</v>
      </c>
      <c r="T406" s="4">
        <v>42</v>
      </c>
      <c r="U406" s="4">
        <v>63</v>
      </c>
      <c r="V406" s="4">
        <f>IF(ISERROR(VLOOKUP($S$406,'TAR FIN'!$A$1:$O$86,15,0)),0,VLOOKUP($S$406,'TAR FIN'!$A$1:$O$86,15,0))</f>
        <v>0</v>
      </c>
      <c r="W406" s="4">
        <f>IF(ISERROR(VLOOKUP($T$406,'TAR FIN'!$A$1:$O$86,15,0)),0,VLOOKUP($T$406,'TAR FIN'!$A$1:$O$86,15,0))</f>
        <v>430.35</v>
      </c>
      <c r="X406" s="4">
        <f>IF(ISERROR(VLOOKUP($U$406,'TAR FIN'!$A$1:$O$86,15,0)),0,VLOOKUP($U$406,'TAR FIN'!$A$1:$O$86,15,0))</f>
        <v>186.16</v>
      </c>
      <c r="Y406" s="4"/>
      <c r="Z406" s="4">
        <f ca="1">('TUSD BE'!$AM$33+'TUSD BF'!$AM$33+'TUSD CVA'!$AM$33)*(1-CUSTOS!$M$38)</f>
        <v>536.63434130853489</v>
      </c>
      <c r="AA406" s="4">
        <f>('TE BE'!$AB$24+'TE BF'!$AB$24+'TE CVA'!$AB$24)*(1-CUSTOS!$M$38)</f>
        <v>184.7746360391113</v>
      </c>
      <c r="AB406" s="4">
        <f>$K$406*$V$406</f>
        <v>0</v>
      </c>
      <c r="AC406" s="4">
        <f>$M$406*$W$406</f>
        <v>680.38335000000006</v>
      </c>
      <c r="AD406" s="4">
        <f>$O$406*$X$406</f>
        <v>294.31896</v>
      </c>
      <c r="AE406" s="4">
        <f>$K$406*$Y$406</f>
        <v>0</v>
      </c>
      <c r="AF406" s="4">
        <f ca="1">$M$406*$Z$406</f>
        <v>848.41889360879361</v>
      </c>
      <c r="AG406" s="4">
        <f>$O$406*$AA$406</f>
        <v>292.12869957783494</v>
      </c>
    </row>
    <row r="407" spans="1:33" ht="11.25" customHeight="1" x14ac:dyDescent="0.25">
      <c r="A407" s="3" t="s">
        <v>21</v>
      </c>
      <c r="B407" s="3" t="s">
        <v>41</v>
      </c>
      <c r="C407" s="3" t="s">
        <v>23</v>
      </c>
      <c r="D407" s="3" t="s">
        <v>42</v>
      </c>
      <c r="E407" s="3" t="s">
        <v>52</v>
      </c>
      <c r="F407" s="3" t="s">
        <v>50</v>
      </c>
      <c r="G407" s="3" t="s">
        <v>25</v>
      </c>
      <c r="H407" s="3" t="s">
        <v>25</v>
      </c>
      <c r="I407" s="6">
        <v>44621</v>
      </c>
      <c r="J407" s="4">
        <v>0</v>
      </c>
      <c r="K407" s="4">
        <v>0</v>
      </c>
      <c r="L407" s="4">
        <v>1.5129999999999999</v>
      </c>
      <c r="M407" s="4">
        <v>1.5129999999999999</v>
      </c>
      <c r="N407" s="4">
        <v>1.5129999999999999</v>
      </c>
      <c r="O407" s="4">
        <v>1.5129999999999999</v>
      </c>
      <c r="P407" s="4">
        <v>0</v>
      </c>
      <c r="Q407" s="3" t="s">
        <v>26</v>
      </c>
      <c r="R407" s="3">
        <v>0</v>
      </c>
      <c r="S407" s="4">
        <v>0</v>
      </c>
      <c r="T407" s="4">
        <v>42</v>
      </c>
      <c r="U407" s="4">
        <v>63</v>
      </c>
      <c r="V407" s="4">
        <f>IF(ISERROR(VLOOKUP($S$407,'TAR FIN'!$A$1:$O$86,15,0)),0,VLOOKUP($S$407,'TAR FIN'!$A$1:$O$86,15,0))</f>
        <v>0</v>
      </c>
      <c r="W407" s="4">
        <f>IF(ISERROR(VLOOKUP($T$407,'TAR FIN'!$A$1:$O$86,15,0)),0,VLOOKUP($T$407,'TAR FIN'!$A$1:$O$86,15,0))</f>
        <v>430.35</v>
      </c>
      <c r="X407" s="4">
        <f>IF(ISERROR(VLOOKUP($U$407,'TAR FIN'!$A$1:$O$86,15,0)),0,VLOOKUP($U$407,'TAR FIN'!$A$1:$O$86,15,0))</f>
        <v>186.16</v>
      </c>
      <c r="Y407" s="4"/>
      <c r="Z407" s="4">
        <f ca="1">('TUSD BE'!$AM$33+'TUSD BF'!$AM$33+'TUSD CVA'!$AM$33)*(1-CUSTOS!$M$38)</f>
        <v>536.63434130853489</v>
      </c>
      <c r="AA407" s="4">
        <f>('TE BE'!$AB$24+'TE BF'!$AB$24+'TE CVA'!$AB$24)*(1-CUSTOS!$M$38)</f>
        <v>184.7746360391113</v>
      </c>
      <c r="AB407" s="4">
        <f>$K$407*$V$407</f>
        <v>0</v>
      </c>
      <c r="AC407" s="4">
        <f>$M$407*$W$407</f>
        <v>651.11955</v>
      </c>
      <c r="AD407" s="4">
        <f>$O$407*$X$407</f>
        <v>281.66007999999999</v>
      </c>
      <c r="AE407" s="4">
        <f>$K$407*$Y$407</f>
        <v>0</v>
      </c>
      <c r="AF407" s="4">
        <f ca="1">$M$407*$Z$407</f>
        <v>811.92775839981323</v>
      </c>
      <c r="AG407" s="4">
        <f>$O$407*$AA$407</f>
        <v>279.56402432717539</v>
      </c>
    </row>
    <row r="408" spans="1:33" ht="11.25" customHeight="1" x14ac:dyDescent="0.25">
      <c r="A408" s="3" t="s">
        <v>21</v>
      </c>
      <c r="B408" s="3" t="s">
        <v>41</v>
      </c>
      <c r="C408" s="3" t="s">
        <v>23</v>
      </c>
      <c r="D408" s="3" t="s">
        <v>42</v>
      </c>
      <c r="E408" s="3" t="s">
        <v>52</v>
      </c>
      <c r="F408" s="3" t="s">
        <v>50</v>
      </c>
      <c r="G408" s="3" t="s">
        <v>25</v>
      </c>
      <c r="H408" s="3" t="s">
        <v>25</v>
      </c>
      <c r="I408" s="6">
        <v>44652</v>
      </c>
      <c r="J408" s="4">
        <v>0</v>
      </c>
      <c r="K408" s="4">
        <v>0</v>
      </c>
      <c r="L408" s="4">
        <v>0.88800000000000001</v>
      </c>
      <c r="M408" s="4">
        <v>0.88800000000000001</v>
      </c>
      <c r="N408" s="4">
        <v>0.88800000000000001</v>
      </c>
      <c r="O408" s="4">
        <v>0.88800000000000001</v>
      </c>
      <c r="P408" s="4">
        <v>0</v>
      </c>
      <c r="Q408" s="3" t="s">
        <v>26</v>
      </c>
      <c r="R408" s="3">
        <v>0</v>
      </c>
      <c r="S408" s="4">
        <v>0</v>
      </c>
      <c r="T408" s="4">
        <v>42</v>
      </c>
      <c r="U408" s="4">
        <v>63</v>
      </c>
      <c r="V408" s="4">
        <f>IF(ISERROR(VLOOKUP($S$408,'TAR FIN'!$A$1:$O$86,15,0)),0,VLOOKUP($S$408,'TAR FIN'!$A$1:$O$86,15,0))</f>
        <v>0</v>
      </c>
      <c r="W408" s="4">
        <f>IF(ISERROR(VLOOKUP($T$408,'TAR FIN'!$A$1:$O$86,15,0)),0,VLOOKUP($T$408,'TAR FIN'!$A$1:$O$86,15,0))</f>
        <v>430.35</v>
      </c>
      <c r="X408" s="4">
        <f>IF(ISERROR(VLOOKUP($U$408,'TAR FIN'!$A$1:$O$86,15,0)),0,VLOOKUP($U$408,'TAR FIN'!$A$1:$O$86,15,0))</f>
        <v>186.16</v>
      </c>
      <c r="Y408" s="4"/>
      <c r="Z408" s="4">
        <f ca="1">('TUSD BE'!$AM$33+'TUSD BF'!$AM$33+'TUSD CVA'!$AM$33)*(1-CUSTOS!$M$38)</f>
        <v>536.63434130853489</v>
      </c>
      <c r="AA408" s="4">
        <f>('TE BE'!$AB$24+'TE BF'!$AB$24+'TE CVA'!$AB$24)*(1-CUSTOS!$M$38)</f>
        <v>184.7746360391113</v>
      </c>
      <c r="AB408" s="4">
        <f>$K$408*$V$408</f>
        <v>0</v>
      </c>
      <c r="AC408" s="4">
        <f>$M$408*$W$408</f>
        <v>382.1508</v>
      </c>
      <c r="AD408" s="4">
        <f>$O$408*$X$408</f>
        <v>165.31008</v>
      </c>
      <c r="AE408" s="4">
        <f>$K$408*$Y$408</f>
        <v>0</v>
      </c>
      <c r="AF408" s="4">
        <f ca="1">$M$408*$Z$408</f>
        <v>476.53129508197901</v>
      </c>
      <c r="AG408" s="4">
        <f>$O$408*$AA$408</f>
        <v>164.07987680273084</v>
      </c>
    </row>
    <row r="409" spans="1:33" ht="11.25" customHeight="1" x14ac:dyDescent="0.25">
      <c r="A409" s="3" t="s">
        <v>21</v>
      </c>
      <c r="B409" s="3" t="s">
        <v>41</v>
      </c>
      <c r="C409" s="3" t="s">
        <v>23</v>
      </c>
      <c r="D409" s="3" t="s">
        <v>42</v>
      </c>
      <c r="E409" s="3" t="s">
        <v>52</v>
      </c>
      <c r="F409" s="3" t="s">
        <v>50</v>
      </c>
      <c r="G409" s="3" t="s">
        <v>25</v>
      </c>
      <c r="H409" s="3" t="s">
        <v>25</v>
      </c>
      <c r="I409" s="6">
        <v>44682</v>
      </c>
      <c r="J409" s="4">
        <v>0</v>
      </c>
      <c r="K409" s="4">
        <v>0</v>
      </c>
      <c r="L409" s="4">
        <v>9.5000000000000001E-2</v>
      </c>
      <c r="M409" s="4">
        <v>9.5000000000000001E-2</v>
      </c>
      <c r="N409" s="4">
        <v>9.5000000000000001E-2</v>
      </c>
      <c r="O409" s="4">
        <v>9.5000000000000001E-2</v>
      </c>
      <c r="P409" s="4">
        <v>0</v>
      </c>
      <c r="Q409" s="3" t="s">
        <v>26</v>
      </c>
      <c r="R409" s="3">
        <v>0</v>
      </c>
      <c r="S409" s="4">
        <v>0</v>
      </c>
      <c r="T409" s="4">
        <v>42</v>
      </c>
      <c r="U409" s="4">
        <v>63</v>
      </c>
      <c r="V409" s="4">
        <f>IF(ISERROR(VLOOKUP($S$409,'TAR FIN'!$A$1:$O$86,15,0)),0,VLOOKUP($S$409,'TAR FIN'!$A$1:$O$86,15,0))</f>
        <v>0</v>
      </c>
      <c r="W409" s="4">
        <f>IF(ISERROR(VLOOKUP($T$409,'TAR FIN'!$A$1:$O$86,15,0)),0,VLOOKUP($T$409,'TAR FIN'!$A$1:$O$86,15,0))</f>
        <v>430.35</v>
      </c>
      <c r="X409" s="4">
        <f>IF(ISERROR(VLOOKUP($U$409,'TAR FIN'!$A$1:$O$86,15,0)),0,VLOOKUP($U$409,'TAR FIN'!$A$1:$O$86,15,0))</f>
        <v>186.16</v>
      </c>
      <c r="Y409" s="4"/>
      <c r="Z409" s="4">
        <f ca="1">('TUSD BE'!$AM$33+'TUSD BF'!$AM$33+'TUSD CVA'!$AM$33)*(1-CUSTOS!$M$38)</f>
        <v>536.63434130853489</v>
      </c>
      <c r="AA409" s="4">
        <f>('TE BE'!$AB$24+'TE BF'!$AB$24+'TE CVA'!$AB$24)*(1-CUSTOS!$M$38)</f>
        <v>184.7746360391113</v>
      </c>
      <c r="AB409" s="4">
        <f>$K$409*$V$409</f>
        <v>0</v>
      </c>
      <c r="AC409" s="4">
        <f>$M$409*$W$409</f>
        <v>40.883250000000004</v>
      </c>
      <c r="AD409" s="4">
        <f>$O$409*$X$409</f>
        <v>17.685199999999998</v>
      </c>
      <c r="AE409" s="4">
        <f>$K$409*$Y$409</f>
        <v>0</v>
      </c>
      <c r="AF409" s="4">
        <f ca="1">$M$409*$Z$409</f>
        <v>50.980262424310816</v>
      </c>
      <c r="AG409" s="4">
        <f>$O$409*$AA$409</f>
        <v>17.553590423715573</v>
      </c>
    </row>
    <row r="410" spans="1:33" ht="11.25" customHeight="1" x14ac:dyDescent="0.25">
      <c r="A410" s="3" t="s">
        <v>21</v>
      </c>
      <c r="B410" s="3" t="s">
        <v>41</v>
      </c>
      <c r="C410" s="3" t="s">
        <v>23</v>
      </c>
      <c r="D410" s="3" t="s">
        <v>42</v>
      </c>
      <c r="E410" s="3" t="s">
        <v>52</v>
      </c>
      <c r="F410" s="3" t="s">
        <v>50</v>
      </c>
      <c r="G410" s="3" t="s">
        <v>25</v>
      </c>
      <c r="H410" s="3" t="s">
        <v>25</v>
      </c>
      <c r="I410" s="6">
        <v>44713</v>
      </c>
      <c r="J410" s="4">
        <v>0</v>
      </c>
      <c r="K410" s="4">
        <v>0</v>
      </c>
      <c r="L410" s="4">
        <v>0.32600000000000001</v>
      </c>
      <c r="M410" s="4">
        <v>0.32600000000000001</v>
      </c>
      <c r="N410" s="4">
        <v>0.32600000000000001</v>
      </c>
      <c r="O410" s="4">
        <v>0.32600000000000001</v>
      </c>
      <c r="P410" s="4">
        <v>0</v>
      </c>
      <c r="Q410" s="3" t="s">
        <v>26</v>
      </c>
      <c r="R410" s="3">
        <v>0</v>
      </c>
      <c r="S410" s="4">
        <v>0</v>
      </c>
      <c r="T410" s="4">
        <v>42</v>
      </c>
      <c r="U410" s="4">
        <v>63</v>
      </c>
      <c r="V410" s="4">
        <f>IF(ISERROR(VLOOKUP($S$410,'TAR FIN'!$A$1:$O$86,15,0)),0,VLOOKUP($S$410,'TAR FIN'!$A$1:$O$86,15,0))</f>
        <v>0</v>
      </c>
      <c r="W410" s="4">
        <f>IF(ISERROR(VLOOKUP($T$410,'TAR FIN'!$A$1:$O$86,15,0)),0,VLOOKUP($T$410,'TAR FIN'!$A$1:$O$86,15,0))</f>
        <v>430.35</v>
      </c>
      <c r="X410" s="4">
        <f>IF(ISERROR(VLOOKUP($U$410,'TAR FIN'!$A$1:$O$86,15,0)),0,VLOOKUP($U$410,'TAR FIN'!$A$1:$O$86,15,0))</f>
        <v>186.16</v>
      </c>
      <c r="Y410" s="4"/>
      <c r="Z410" s="4">
        <f ca="1">('TUSD BE'!$AM$33+'TUSD BF'!$AM$33+'TUSD CVA'!$AM$33)*(1-CUSTOS!$M$38)</f>
        <v>536.63434130853489</v>
      </c>
      <c r="AA410" s="4">
        <f>('TE BE'!$AB$24+'TE BF'!$AB$24+'TE CVA'!$AB$24)*(1-CUSTOS!$M$38)</f>
        <v>184.7746360391113</v>
      </c>
      <c r="AB410" s="4">
        <f>$K$410*$V$410</f>
        <v>0</v>
      </c>
      <c r="AC410" s="4">
        <f>$M$410*$W$410</f>
        <v>140.29410000000001</v>
      </c>
      <c r="AD410" s="4">
        <f>$O$410*$X$410</f>
        <v>60.688160000000003</v>
      </c>
      <c r="AE410" s="4">
        <f>$K$410*$Y$410</f>
        <v>0</v>
      </c>
      <c r="AF410" s="4">
        <f ca="1">$M$410*$Z$410</f>
        <v>174.94279526658238</v>
      </c>
      <c r="AG410" s="4">
        <f>$O$410*$AA$410</f>
        <v>60.236531348750283</v>
      </c>
    </row>
    <row r="411" spans="1:33" ht="11.25" customHeight="1" x14ac:dyDescent="0.25">
      <c r="A411" s="3" t="s">
        <v>21</v>
      </c>
      <c r="B411" s="3" t="s">
        <v>41</v>
      </c>
      <c r="C411" s="3" t="s">
        <v>23</v>
      </c>
      <c r="D411" s="3" t="s">
        <v>42</v>
      </c>
      <c r="E411" s="3" t="s">
        <v>52</v>
      </c>
      <c r="F411" s="3" t="s">
        <v>51</v>
      </c>
      <c r="G411" s="3" t="s">
        <v>25</v>
      </c>
      <c r="H411" s="3" t="s">
        <v>25</v>
      </c>
      <c r="I411" s="6">
        <v>44378</v>
      </c>
      <c r="J411" s="4">
        <v>0</v>
      </c>
      <c r="K411" s="4">
        <v>0</v>
      </c>
      <c r="L411" s="4">
        <v>2.5979999999999999</v>
      </c>
      <c r="M411" s="4">
        <v>1.0391999999999999</v>
      </c>
      <c r="N411" s="4">
        <v>2.5979999999999999</v>
      </c>
      <c r="O411" s="4">
        <v>1.0391999999999999</v>
      </c>
      <c r="P411" s="4">
        <v>0</v>
      </c>
      <c r="Q411" s="3" t="s">
        <v>26</v>
      </c>
      <c r="R411" s="3">
        <v>0</v>
      </c>
      <c r="S411" s="4">
        <v>0</v>
      </c>
      <c r="T411" s="4">
        <v>29</v>
      </c>
      <c r="U411" s="4">
        <v>63</v>
      </c>
      <c r="V411" s="4">
        <f>IF(ISERROR(VLOOKUP($S$411,'TAR FIN'!$A$1:$O$86,15,0)),0,VLOOKUP($S$411,'TAR FIN'!$A$1:$O$86,15,0))</f>
        <v>0</v>
      </c>
      <c r="W411" s="4">
        <f>IF(ISERROR(VLOOKUP($T$411,'TAR FIN'!$A$1:$O$86,15,0)),0,VLOOKUP($T$411,'TAR FIN'!$A$1:$O$86,15,0))</f>
        <v>410.79</v>
      </c>
      <c r="X411" s="4">
        <f>IF(ISERROR(VLOOKUP($U$411,'TAR FIN'!$A$1:$O$86,15,0)),0,VLOOKUP($U$411,'TAR FIN'!$A$1:$O$86,15,0))</f>
        <v>186.16</v>
      </c>
      <c r="Y411" s="4"/>
      <c r="Z411" s="4">
        <f ca="1">('TUSD BE'!$AM$33+'TUSD BF'!$AM$33+'TUSD CVA'!$AM$33)*(1-CUSTOS!$M$38)</f>
        <v>536.63434130853489</v>
      </c>
      <c r="AA411" s="4">
        <f>('TE BE'!$AB$24+'TE BF'!$AB$24+'TE CVA'!$AB$24)*(1-CUSTOS!$M$38)</f>
        <v>184.7746360391113</v>
      </c>
      <c r="AB411" s="4">
        <f>$K$411*$V$411</f>
        <v>0</v>
      </c>
      <c r="AC411" s="4">
        <f>$M$411*$W$411</f>
        <v>426.892968</v>
      </c>
      <c r="AD411" s="4">
        <f>$O$411*$X$411</f>
        <v>193.45747199999997</v>
      </c>
      <c r="AE411" s="4">
        <f>$K$411*$Y$411</f>
        <v>0</v>
      </c>
      <c r="AF411" s="4">
        <f ca="1">$M$411*$Z$411</f>
        <v>557.67040748782938</v>
      </c>
      <c r="AG411" s="4">
        <f>$O$411*$AA$411</f>
        <v>192.01780177184443</v>
      </c>
    </row>
    <row r="412" spans="1:33" ht="11.25" customHeight="1" x14ac:dyDescent="0.25">
      <c r="A412" s="3" t="s">
        <v>21</v>
      </c>
      <c r="B412" s="3" t="s">
        <v>41</v>
      </c>
      <c r="C412" s="3" t="s">
        <v>23</v>
      </c>
      <c r="D412" s="3" t="s">
        <v>42</v>
      </c>
      <c r="E412" s="3" t="s">
        <v>52</v>
      </c>
      <c r="F412" s="3" t="s">
        <v>51</v>
      </c>
      <c r="G412" s="3" t="s">
        <v>25</v>
      </c>
      <c r="H412" s="3" t="s">
        <v>25</v>
      </c>
      <c r="I412" s="6">
        <v>44409</v>
      </c>
      <c r="J412" s="4">
        <v>0</v>
      </c>
      <c r="K412" s="4">
        <v>0</v>
      </c>
      <c r="L412" s="4">
        <v>0.88400000000000001</v>
      </c>
      <c r="M412" s="4">
        <v>0.35360000000000003</v>
      </c>
      <c r="N412" s="4">
        <v>0.88400000000000001</v>
      </c>
      <c r="O412" s="4">
        <v>0.35360000000000003</v>
      </c>
      <c r="P412" s="4">
        <v>0</v>
      </c>
      <c r="Q412" s="3" t="s">
        <v>26</v>
      </c>
      <c r="R412" s="3">
        <v>0</v>
      </c>
      <c r="S412" s="4">
        <v>0</v>
      </c>
      <c r="T412" s="4">
        <v>29</v>
      </c>
      <c r="U412" s="4">
        <v>63</v>
      </c>
      <c r="V412" s="4">
        <f>IF(ISERROR(VLOOKUP($S$412,'TAR FIN'!$A$1:$O$86,15,0)),0,VLOOKUP($S$412,'TAR FIN'!$A$1:$O$86,15,0))</f>
        <v>0</v>
      </c>
      <c r="W412" s="4">
        <f>IF(ISERROR(VLOOKUP($T$412,'TAR FIN'!$A$1:$O$86,15,0)),0,VLOOKUP($T$412,'TAR FIN'!$A$1:$O$86,15,0))</f>
        <v>410.79</v>
      </c>
      <c r="X412" s="4">
        <f>IF(ISERROR(VLOOKUP($U$412,'TAR FIN'!$A$1:$O$86,15,0)),0,VLOOKUP($U$412,'TAR FIN'!$A$1:$O$86,15,0))</f>
        <v>186.16</v>
      </c>
      <c r="Y412" s="4"/>
      <c r="Z412" s="4">
        <f ca="1">('TUSD BE'!$AM$33+'TUSD BF'!$AM$33+'TUSD CVA'!$AM$33)*(1-CUSTOS!$M$38)</f>
        <v>536.63434130853489</v>
      </c>
      <c r="AA412" s="4">
        <f>('TE BE'!$AB$24+'TE BF'!$AB$24+'TE CVA'!$AB$24)*(1-CUSTOS!$M$38)</f>
        <v>184.7746360391113</v>
      </c>
      <c r="AB412" s="4">
        <f>$K$412*$V$412</f>
        <v>0</v>
      </c>
      <c r="AC412" s="4">
        <f>$M$412*$W$412</f>
        <v>145.25534400000001</v>
      </c>
      <c r="AD412" s="4">
        <f>$O$412*$X$412</f>
        <v>65.826176000000004</v>
      </c>
      <c r="AE412" s="4">
        <f>$K$412*$Y$412</f>
        <v>0</v>
      </c>
      <c r="AF412" s="4">
        <f ca="1">$M$412*$Z$412</f>
        <v>189.75390308669796</v>
      </c>
      <c r="AG412" s="4">
        <f>$O$412*$AA$412</f>
        <v>65.336311303429767</v>
      </c>
    </row>
    <row r="413" spans="1:33" ht="11.25" customHeight="1" x14ac:dyDescent="0.25">
      <c r="A413" s="3" t="s">
        <v>21</v>
      </c>
      <c r="B413" s="3" t="s">
        <v>41</v>
      </c>
      <c r="C413" s="3" t="s">
        <v>23</v>
      </c>
      <c r="D413" s="3" t="s">
        <v>42</v>
      </c>
      <c r="E413" s="3" t="s">
        <v>52</v>
      </c>
      <c r="F413" s="3" t="s">
        <v>51</v>
      </c>
      <c r="G413" s="3" t="s">
        <v>25</v>
      </c>
      <c r="H413" s="3" t="s">
        <v>25</v>
      </c>
      <c r="I413" s="6">
        <v>44440</v>
      </c>
      <c r="J413" s="4">
        <v>0</v>
      </c>
      <c r="K413" s="4">
        <v>0</v>
      </c>
      <c r="L413" s="4">
        <v>0.621</v>
      </c>
      <c r="M413" s="4">
        <v>0.24840000000000001</v>
      </c>
      <c r="N413" s="4">
        <v>0.621</v>
      </c>
      <c r="O413" s="4">
        <v>0.24840000000000001</v>
      </c>
      <c r="P413" s="4">
        <v>0</v>
      </c>
      <c r="Q413" s="3" t="s">
        <v>26</v>
      </c>
      <c r="R413" s="3">
        <v>0</v>
      </c>
      <c r="S413" s="4">
        <v>0</v>
      </c>
      <c r="T413" s="4">
        <v>29</v>
      </c>
      <c r="U413" s="4">
        <v>63</v>
      </c>
      <c r="V413" s="4">
        <f>IF(ISERROR(VLOOKUP($S$413,'TAR FIN'!$A$1:$O$86,15,0)),0,VLOOKUP($S$413,'TAR FIN'!$A$1:$O$86,15,0))</f>
        <v>0</v>
      </c>
      <c r="W413" s="4">
        <f>IF(ISERROR(VLOOKUP($T$413,'TAR FIN'!$A$1:$O$86,15,0)),0,VLOOKUP($T$413,'TAR FIN'!$A$1:$O$86,15,0))</f>
        <v>410.79</v>
      </c>
      <c r="X413" s="4">
        <f>IF(ISERROR(VLOOKUP($U$413,'TAR FIN'!$A$1:$O$86,15,0)),0,VLOOKUP($U$413,'TAR FIN'!$A$1:$O$86,15,0))</f>
        <v>186.16</v>
      </c>
      <c r="Y413" s="4"/>
      <c r="Z413" s="4">
        <f ca="1">('TUSD BE'!$AM$33+'TUSD BF'!$AM$33+'TUSD CVA'!$AM$33)*(1-CUSTOS!$M$38)</f>
        <v>536.63434130853489</v>
      </c>
      <c r="AA413" s="4">
        <f>('TE BE'!$AB$24+'TE BF'!$AB$24+'TE CVA'!$AB$24)*(1-CUSTOS!$M$38)</f>
        <v>184.7746360391113</v>
      </c>
      <c r="AB413" s="4">
        <f>$K$413*$V$413</f>
        <v>0</v>
      </c>
      <c r="AC413" s="4">
        <f>$M$413*$W$413</f>
        <v>102.04023600000001</v>
      </c>
      <c r="AD413" s="4">
        <f>$O$413*$X$413</f>
        <v>46.242144000000003</v>
      </c>
      <c r="AE413" s="4">
        <f>$K$413*$Y$413</f>
        <v>0</v>
      </c>
      <c r="AF413" s="4">
        <f ca="1">$M$413*$Z$413</f>
        <v>133.29997038104008</v>
      </c>
      <c r="AG413" s="4">
        <f>$O$413*$AA$413</f>
        <v>45.898019592115247</v>
      </c>
    </row>
    <row r="414" spans="1:33" ht="11.25" customHeight="1" x14ac:dyDescent="0.25">
      <c r="A414" s="3" t="s">
        <v>21</v>
      </c>
      <c r="B414" s="3" t="s">
        <v>41</v>
      </c>
      <c r="C414" s="3" t="s">
        <v>23</v>
      </c>
      <c r="D414" s="3" t="s">
        <v>42</v>
      </c>
      <c r="E414" s="3" t="s">
        <v>52</v>
      </c>
      <c r="F414" s="3" t="s">
        <v>51</v>
      </c>
      <c r="G414" s="3" t="s">
        <v>25</v>
      </c>
      <c r="H414" s="3" t="s">
        <v>25</v>
      </c>
      <c r="I414" s="6">
        <v>44470</v>
      </c>
      <c r="J414" s="4">
        <v>0</v>
      </c>
      <c r="K414" s="4">
        <v>0</v>
      </c>
      <c r="L414" s="4">
        <v>0.85699999999999998</v>
      </c>
      <c r="M414" s="4">
        <v>0.34279999999999999</v>
      </c>
      <c r="N414" s="4">
        <v>0.85699999999999998</v>
      </c>
      <c r="O414" s="4">
        <v>0.34279999999999999</v>
      </c>
      <c r="P414" s="4">
        <v>0</v>
      </c>
      <c r="Q414" s="3" t="s">
        <v>26</v>
      </c>
      <c r="R414" s="3">
        <v>0</v>
      </c>
      <c r="S414" s="4">
        <v>0</v>
      </c>
      <c r="T414" s="4">
        <v>29</v>
      </c>
      <c r="U414" s="4">
        <v>63</v>
      </c>
      <c r="V414" s="4">
        <f>IF(ISERROR(VLOOKUP($S$414,'TAR FIN'!$A$1:$O$86,15,0)),0,VLOOKUP($S$414,'TAR FIN'!$A$1:$O$86,15,0))</f>
        <v>0</v>
      </c>
      <c r="W414" s="4">
        <f>IF(ISERROR(VLOOKUP($T$414,'TAR FIN'!$A$1:$O$86,15,0)),0,VLOOKUP($T$414,'TAR FIN'!$A$1:$O$86,15,0))</f>
        <v>410.79</v>
      </c>
      <c r="X414" s="4">
        <f>IF(ISERROR(VLOOKUP($U$414,'TAR FIN'!$A$1:$O$86,15,0)),0,VLOOKUP($U$414,'TAR FIN'!$A$1:$O$86,15,0))</f>
        <v>186.16</v>
      </c>
      <c r="Y414" s="4"/>
      <c r="Z414" s="4">
        <f ca="1">('TUSD BE'!$AM$33+'TUSD BF'!$AM$33+'TUSD CVA'!$AM$33)*(1-CUSTOS!$M$38)</f>
        <v>536.63434130853489</v>
      </c>
      <c r="AA414" s="4">
        <f>('TE BE'!$AB$24+'TE BF'!$AB$24+'TE CVA'!$AB$24)*(1-CUSTOS!$M$38)</f>
        <v>184.7746360391113</v>
      </c>
      <c r="AB414" s="4">
        <f>$K$414*$V$414</f>
        <v>0</v>
      </c>
      <c r="AC414" s="4">
        <f>$M$414*$W$414</f>
        <v>140.81881200000001</v>
      </c>
      <c r="AD414" s="4">
        <f>$O$414*$X$414</f>
        <v>63.815647999999996</v>
      </c>
      <c r="AE414" s="4">
        <f>$K$414*$Y$414</f>
        <v>0</v>
      </c>
      <c r="AF414" s="4">
        <f ca="1">$M$414*$Z$414</f>
        <v>183.95825220056577</v>
      </c>
      <c r="AG414" s="4">
        <f>$O$414*$AA$414</f>
        <v>63.340745234207354</v>
      </c>
    </row>
    <row r="415" spans="1:33" ht="11.25" customHeight="1" x14ac:dyDescent="0.25">
      <c r="A415" s="3" t="s">
        <v>21</v>
      </c>
      <c r="B415" s="3" t="s">
        <v>41</v>
      </c>
      <c r="C415" s="3" t="s">
        <v>23</v>
      </c>
      <c r="D415" s="3" t="s">
        <v>42</v>
      </c>
      <c r="E415" s="3" t="s">
        <v>52</v>
      </c>
      <c r="F415" s="3" t="s">
        <v>51</v>
      </c>
      <c r="G415" s="3" t="s">
        <v>25</v>
      </c>
      <c r="H415" s="3" t="s">
        <v>25</v>
      </c>
      <c r="I415" s="6">
        <v>44501</v>
      </c>
      <c r="J415" s="4">
        <v>0</v>
      </c>
      <c r="K415" s="4">
        <v>0</v>
      </c>
      <c r="L415" s="4">
        <v>1.806</v>
      </c>
      <c r="M415" s="4">
        <v>0.72240000000000004</v>
      </c>
      <c r="N415" s="4">
        <v>1.806</v>
      </c>
      <c r="O415" s="4">
        <v>0.72240000000000004</v>
      </c>
      <c r="P415" s="4">
        <v>0</v>
      </c>
      <c r="Q415" s="3" t="s">
        <v>26</v>
      </c>
      <c r="R415" s="3">
        <v>0</v>
      </c>
      <c r="S415" s="4">
        <v>0</v>
      </c>
      <c r="T415" s="4">
        <v>29</v>
      </c>
      <c r="U415" s="4">
        <v>63</v>
      </c>
      <c r="V415" s="4">
        <f>IF(ISERROR(VLOOKUP($S$415,'TAR FIN'!$A$1:$O$86,15,0)),0,VLOOKUP($S$415,'TAR FIN'!$A$1:$O$86,15,0))</f>
        <v>0</v>
      </c>
      <c r="W415" s="4">
        <f>IF(ISERROR(VLOOKUP($T$415,'TAR FIN'!$A$1:$O$86,15,0)),0,VLOOKUP($T$415,'TAR FIN'!$A$1:$O$86,15,0))</f>
        <v>410.79</v>
      </c>
      <c r="X415" s="4">
        <f>IF(ISERROR(VLOOKUP($U$415,'TAR FIN'!$A$1:$O$86,15,0)),0,VLOOKUP($U$415,'TAR FIN'!$A$1:$O$86,15,0))</f>
        <v>186.16</v>
      </c>
      <c r="Y415" s="4"/>
      <c r="Z415" s="4">
        <f ca="1">('TUSD BE'!$AM$33+'TUSD BF'!$AM$33+'TUSD CVA'!$AM$33)*(1-CUSTOS!$M$38)</f>
        <v>536.63434130853489</v>
      </c>
      <c r="AA415" s="4">
        <f>('TE BE'!$AB$24+'TE BF'!$AB$24+'TE CVA'!$AB$24)*(1-CUSTOS!$M$38)</f>
        <v>184.7746360391113</v>
      </c>
      <c r="AB415" s="4">
        <f>$K$415*$V$415</f>
        <v>0</v>
      </c>
      <c r="AC415" s="4">
        <f>$M$415*$W$415</f>
        <v>296.75469600000002</v>
      </c>
      <c r="AD415" s="4">
        <f>$O$415*$X$415</f>
        <v>134.48198400000001</v>
      </c>
      <c r="AE415" s="4">
        <f>$K$415*$Y$415</f>
        <v>0</v>
      </c>
      <c r="AF415" s="4">
        <f ca="1">$M$415*$Z$415</f>
        <v>387.66464816128564</v>
      </c>
      <c r="AG415" s="4">
        <f>$O$415*$AA$415</f>
        <v>133.48119707465401</v>
      </c>
    </row>
    <row r="416" spans="1:33" ht="11.25" customHeight="1" x14ac:dyDescent="0.25">
      <c r="A416" s="3" t="s">
        <v>21</v>
      </c>
      <c r="B416" s="3" t="s">
        <v>41</v>
      </c>
      <c r="C416" s="3" t="s">
        <v>23</v>
      </c>
      <c r="D416" s="3" t="s">
        <v>42</v>
      </c>
      <c r="E416" s="3" t="s">
        <v>52</v>
      </c>
      <c r="F416" s="3" t="s">
        <v>51</v>
      </c>
      <c r="G416" s="3" t="s">
        <v>25</v>
      </c>
      <c r="H416" s="3" t="s">
        <v>25</v>
      </c>
      <c r="I416" s="6">
        <v>44531</v>
      </c>
      <c r="J416" s="4">
        <v>0</v>
      </c>
      <c r="K416" s="4">
        <v>0</v>
      </c>
      <c r="L416" s="4">
        <v>2.024</v>
      </c>
      <c r="M416" s="4">
        <v>0.80959999999999999</v>
      </c>
      <c r="N416" s="4">
        <v>2.024</v>
      </c>
      <c r="O416" s="4">
        <v>0.80959999999999999</v>
      </c>
      <c r="P416" s="4">
        <v>0</v>
      </c>
      <c r="Q416" s="3" t="s">
        <v>26</v>
      </c>
      <c r="R416" s="3">
        <v>0</v>
      </c>
      <c r="S416" s="4">
        <v>0</v>
      </c>
      <c r="T416" s="4">
        <v>29</v>
      </c>
      <c r="U416" s="4">
        <v>63</v>
      </c>
      <c r="V416" s="4">
        <f>IF(ISERROR(VLOOKUP($S$416,'TAR FIN'!$A$1:$O$86,15,0)),0,VLOOKUP($S$416,'TAR FIN'!$A$1:$O$86,15,0))</f>
        <v>0</v>
      </c>
      <c r="W416" s="4">
        <f>IF(ISERROR(VLOOKUP($T$416,'TAR FIN'!$A$1:$O$86,15,0)),0,VLOOKUP($T$416,'TAR FIN'!$A$1:$O$86,15,0))</f>
        <v>410.79</v>
      </c>
      <c r="X416" s="4">
        <f>IF(ISERROR(VLOOKUP($U$416,'TAR FIN'!$A$1:$O$86,15,0)),0,VLOOKUP($U$416,'TAR FIN'!$A$1:$O$86,15,0))</f>
        <v>186.16</v>
      </c>
      <c r="Y416" s="4"/>
      <c r="Z416" s="4">
        <f ca="1">('TUSD BE'!$AM$33+'TUSD BF'!$AM$33+'TUSD CVA'!$AM$33)*(1-CUSTOS!$M$38)</f>
        <v>536.63434130853489</v>
      </c>
      <c r="AA416" s="4">
        <f>('TE BE'!$AB$24+'TE BF'!$AB$24+'TE CVA'!$AB$24)*(1-CUSTOS!$M$38)</f>
        <v>184.7746360391113</v>
      </c>
      <c r="AB416" s="4">
        <f>$K$416*$V$416</f>
        <v>0</v>
      </c>
      <c r="AC416" s="4">
        <f>$M$416*$W$416</f>
        <v>332.57558399999999</v>
      </c>
      <c r="AD416" s="4">
        <f>$O$416*$X$416</f>
        <v>150.715136</v>
      </c>
      <c r="AE416" s="4">
        <f>$K$416*$Y$416</f>
        <v>0</v>
      </c>
      <c r="AF416" s="4">
        <f ca="1">$M$416*$Z$416</f>
        <v>434.45916272338985</v>
      </c>
      <c r="AG416" s="4">
        <f>$O$416*$AA$416</f>
        <v>149.59354533726452</v>
      </c>
    </row>
    <row r="417" spans="1:33" ht="11.25" customHeight="1" x14ac:dyDescent="0.25">
      <c r="A417" s="3" t="s">
        <v>21</v>
      </c>
      <c r="B417" s="3" t="s">
        <v>41</v>
      </c>
      <c r="C417" s="3" t="s">
        <v>23</v>
      </c>
      <c r="D417" s="3" t="s">
        <v>42</v>
      </c>
      <c r="E417" s="3" t="s">
        <v>52</v>
      </c>
      <c r="F417" s="3" t="s">
        <v>51</v>
      </c>
      <c r="G417" s="3" t="s">
        <v>25</v>
      </c>
      <c r="H417" s="3" t="s">
        <v>25</v>
      </c>
      <c r="I417" s="6">
        <v>44562</v>
      </c>
      <c r="J417" s="4">
        <v>0</v>
      </c>
      <c r="K417" s="4">
        <v>0</v>
      </c>
      <c r="L417" s="4">
        <v>1.6990000000000001</v>
      </c>
      <c r="M417" s="4">
        <v>0.67959999999999998</v>
      </c>
      <c r="N417" s="4">
        <v>1.6990000000000001</v>
      </c>
      <c r="O417" s="4">
        <v>0.67959999999999998</v>
      </c>
      <c r="P417" s="4">
        <v>0</v>
      </c>
      <c r="Q417" s="3" t="s">
        <v>26</v>
      </c>
      <c r="R417" s="3">
        <v>0</v>
      </c>
      <c r="S417" s="4">
        <v>0</v>
      </c>
      <c r="T417" s="4">
        <v>29</v>
      </c>
      <c r="U417" s="4">
        <v>63</v>
      </c>
      <c r="V417" s="4">
        <f>IF(ISERROR(VLOOKUP($S$417,'TAR FIN'!$A$1:$O$86,15,0)),0,VLOOKUP($S$417,'TAR FIN'!$A$1:$O$86,15,0))</f>
        <v>0</v>
      </c>
      <c r="W417" s="4">
        <f>IF(ISERROR(VLOOKUP($T$417,'TAR FIN'!$A$1:$O$86,15,0)),0,VLOOKUP($T$417,'TAR FIN'!$A$1:$O$86,15,0))</f>
        <v>410.79</v>
      </c>
      <c r="X417" s="4">
        <f>IF(ISERROR(VLOOKUP($U$417,'TAR FIN'!$A$1:$O$86,15,0)),0,VLOOKUP($U$417,'TAR FIN'!$A$1:$O$86,15,0))</f>
        <v>186.16</v>
      </c>
      <c r="Y417" s="4"/>
      <c r="Z417" s="4">
        <f ca="1">('TUSD BE'!$AM$33+'TUSD BF'!$AM$33+'TUSD CVA'!$AM$33)*(1-CUSTOS!$M$38)</f>
        <v>536.63434130853489</v>
      </c>
      <c r="AA417" s="4">
        <f>('TE BE'!$AB$24+'TE BF'!$AB$24+'TE CVA'!$AB$24)*(1-CUSTOS!$M$38)</f>
        <v>184.7746360391113</v>
      </c>
      <c r="AB417" s="4">
        <f>$K$417*$V$417</f>
        <v>0</v>
      </c>
      <c r="AC417" s="4">
        <f>$M$417*$W$417</f>
        <v>279.17288400000001</v>
      </c>
      <c r="AD417" s="4">
        <f>$O$417*$X$417</f>
        <v>126.514336</v>
      </c>
      <c r="AE417" s="4">
        <f>$K$417*$Y$417</f>
        <v>0</v>
      </c>
      <c r="AF417" s="4">
        <f ca="1">$M$417*$Z$417</f>
        <v>364.69669835328028</v>
      </c>
      <c r="AG417" s="4">
        <f>$O$417*$AA$417</f>
        <v>125.57284265218004</v>
      </c>
    </row>
    <row r="418" spans="1:33" ht="11.25" customHeight="1" x14ac:dyDescent="0.25">
      <c r="A418" s="3" t="s">
        <v>21</v>
      </c>
      <c r="B418" s="3" t="s">
        <v>41</v>
      </c>
      <c r="C418" s="3" t="s">
        <v>23</v>
      </c>
      <c r="D418" s="3" t="s">
        <v>42</v>
      </c>
      <c r="E418" s="3" t="s">
        <v>52</v>
      </c>
      <c r="F418" s="3" t="s">
        <v>51</v>
      </c>
      <c r="G418" s="3" t="s">
        <v>25</v>
      </c>
      <c r="H418" s="3" t="s">
        <v>25</v>
      </c>
      <c r="I418" s="6">
        <v>44593</v>
      </c>
      <c r="J418" s="4">
        <v>0</v>
      </c>
      <c r="K418" s="4">
        <v>0</v>
      </c>
      <c r="L418" s="4">
        <v>3.52</v>
      </c>
      <c r="M418" s="4">
        <v>1.4079999999999999</v>
      </c>
      <c r="N418" s="4">
        <v>3.52</v>
      </c>
      <c r="O418" s="4">
        <v>1.4079999999999999</v>
      </c>
      <c r="P418" s="4">
        <v>0</v>
      </c>
      <c r="Q418" s="3" t="s">
        <v>26</v>
      </c>
      <c r="R418" s="3">
        <v>0</v>
      </c>
      <c r="S418" s="4">
        <v>0</v>
      </c>
      <c r="T418" s="4">
        <v>29</v>
      </c>
      <c r="U418" s="4">
        <v>63</v>
      </c>
      <c r="V418" s="4">
        <f>IF(ISERROR(VLOOKUP($S$418,'TAR FIN'!$A$1:$O$86,15,0)),0,VLOOKUP($S$418,'TAR FIN'!$A$1:$O$86,15,0))</f>
        <v>0</v>
      </c>
      <c r="W418" s="4">
        <f>IF(ISERROR(VLOOKUP($T$418,'TAR FIN'!$A$1:$O$86,15,0)),0,VLOOKUP($T$418,'TAR FIN'!$A$1:$O$86,15,0))</f>
        <v>410.79</v>
      </c>
      <c r="X418" s="4">
        <f>IF(ISERROR(VLOOKUP($U$418,'TAR FIN'!$A$1:$O$86,15,0)),0,VLOOKUP($U$418,'TAR FIN'!$A$1:$O$86,15,0))</f>
        <v>186.16</v>
      </c>
      <c r="Y418" s="4"/>
      <c r="Z418" s="4">
        <f ca="1">('TUSD BE'!$AM$33+'TUSD BF'!$AM$33+'TUSD CVA'!$AM$33)*(1-CUSTOS!$M$38)</f>
        <v>536.63434130853489</v>
      </c>
      <c r="AA418" s="4">
        <f>('TE BE'!$AB$24+'TE BF'!$AB$24+'TE CVA'!$AB$24)*(1-CUSTOS!$M$38)</f>
        <v>184.7746360391113</v>
      </c>
      <c r="AB418" s="4">
        <f>$K$418*$V$418</f>
        <v>0</v>
      </c>
      <c r="AC418" s="4">
        <f>$M$418*$W$418</f>
        <v>578.39232000000004</v>
      </c>
      <c r="AD418" s="4">
        <f>$O$418*$X$418</f>
        <v>262.11327999999997</v>
      </c>
      <c r="AE418" s="4">
        <f>$K$418*$Y$418</f>
        <v>0</v>
      </c>
      <c r="AF418" s="4">
        <f ca="1">$M$418*$Z$418</f>
        <v>755.58115256241706</v>
      </c>
      <c r="AG418" s="4">
        <f>$O$418*$AA$418</f>
        <v>260.16268754306867</v>
      </c>
    </row>
    <row r="419" spans="1:33" ht="11.25" customHeight="1" x14ac:dyDescent="0.25">
      <c r="A419" s="3" t="s">
        <v>21</v>
      </c>
      <c r="B419" s="3" t="s">
        <v>41</v>
      </c>
      <c r="C419" s="3" t="s">
        <v>23</v>
      </c>
      <c r="D419" s="3" t="s">
        <v>42</v>
      </c>
      <c r="E419" s="3" t="s">
        <v>52</v>
      </c>
      <c r="F419" s="3" t="s">
        <v>51</v>
      </c>
      <c r="G419" s="3" t="s">
        <v>25</v>
      </c>
      <c r="H419" s="3" t="s">
        <v>25</v>
      </c>
      <c r="I419" s="6">
        <v>44621</v>
      </c>
      <c r="J419" s="4">
        <v>0</v>
      </c>
      <c r="K419" s="4">
        <v>0</v>
      </c>
      <c r="L419" s="4">
        <v>1.5629999999999999</v>
      </c>
      <c r="M419" s="4">
        <v>0.62519999999999998</v>
      </c>
      <c r="N419" s="4">
        <v>1.5629999999999999</v>
      </c>
      <c r="O419" s="4">
        <v>0.62519999999999998</v>
      </c>
      <c r="P419" s="4">
        <v>0</v>
      </c>
      <c r="Q419" s="3" t="s">
        <v>26</v>
      </c>
      <c r="R419" s="3">
        <v>0</v>
      </c>
      <c r="S419" s="4">
        <v>0</v>
      </c>
      <c r="T419" s="4">
        <v>29</v>
      </c>
      <c r="U419" s="4">
        <v>63</v>
      </c>
      <c r="V419" s="4">
        <f>IF(ISERROR(VLOOKUP($S$419,'TAR FIN'!$A$1:$O$86,15,0)),0,VLOOKUP($S$419,'TAR FIN'!$A$1:$O$86,15,0))</f>
        <v>0</v>
      </c>
      <c r="W419" s="4">
        <f>IF(ISERROR(VLOOKUP($T$419,'TAR FIN'!$A$1:$O$86,15,0)),0,VLOOKUP($T$419,'TAR FIN'!$A$1:$O$86,15,0))</f>
        <v>410.79</v>
      </c>
      <c r="X419" s="4">
        <f>IF(ISERROR(VLOOKUP($U$419,'TAR FIN'!$A$1:$O$86,15,0)),0,VLOOKUP($U$419,'TAR FIN'!$A$1:$O$86,15,0))</f>
        <v>186.16</v>
      </c>
      <c r="Y419" s="4"/>
      <c r="Z419" s="4">
        <f ca="1">('TUSD BE'!$AM$33+'TUSD BF'!$AM$33+'TUSD CVA'!$AM$33)*(1-CUSTOS!$M$38)</f>
        <v>536.63434130853489</v>
      </c>
      <c r="AA419" s="4">
        <f>('TE BE'!$AB$24+'TE BF'!$AB$24+'TE CVA'!$AB$24)*(1-CUSTOS!$M$38)</f>
        <v>184.7746360391113</v>
      </c>
      <c r="AB419" s="4">
        <f>$K$419*$V$419</f>
        <v>0</v>
      </c>
      <c r="AC419" s="4">
        <f>$M$419*$W$419</f>
        <v>256.82590800000003</v>
      </c>
      <c r="AD419" s="4">
        <f>$O$419*$X$419</f>
        <v>116.387232</v>
      </c>
      <c r="AE419" s="4">
        <f>$K$419*$Y$419</f>
        <v>0</v>
      </c>
      <c r="AF419" s="4">
        <f ca="1">$M$419*$Z$419</f>
        <v>335.50379018609601</v>
      </c>
      <c r="AG419" s="4">
        <f>$O$419*$AA$419</f>
        <v>115.52110245165238</v>
      </c>
    </row>
    <row r="420" spans="1:33" ht="11.25" customHeight="1" x14ac:dyDescent="0.25">
      <c r="A420" s="3" t="s">
        <v>21</v>
      </c>
      <c r="B420" s="3" t="s">
        <v>41</v>
      </c>
      <c r="C420" s="3" t="s">
        <v>23</v>
      </c>
      <c r="D420" s="3" t="s">
        <v>42</v>
      </c>
      <c r="E420" s="3" t="s">
        <v>52</v>
      </c>
      <c r="F420" s="3" t="s">
        <v>51</v>
      </c>
      <c r="G420" s="3" t="s">
        <v>25</v>
      </c>
      <c r="H420" s="3" t="s">
        <v>25</v>
      </c>
      <c r="I420" s="6">
        <v>44652</v>
      </c>
      <c r="J420" s="4">
        <v>0</v>
      </c>
      <c r="K420" s="4">
        <v>0</v>
      </c>
      <c r="L420" s="4">
        <v>0.68300000000000005</v>
      </c>
      <c r="M420" s="4">
        <v>0.2732</v>
      </c>
      <c r="N420" s="4">
        <v>0.68300000000000005</v>
      </c>
      <c r="O420" s="4">
        <v>0.2732</v>
      </c>
      <c r="P420" s="4">
        <v>0</v>
      </c>
      <c r="Q420" s="3" t="s">
        <v>26</v>
      </c>
      <c r="R420" s="3">
        <v>0</v>
      </c>
      <c r="S420" s="4">
        <v>0</v>
      </c>
      <c r="T420" s="4">
        <v>29</v>
      </c>
      <c r="U420" s="4">
        <v>63</v>
      </c>
      <c r="V420" s="4">
        <f>IF(ISERROR(VLOOKUP($S$420,'TAR FIN'!$A$1:$O$86,15,0)),0,VLOOKUP($S$420,'TAR FIN'!$A$1:$O$86,15,0))</f>
        <v>0</v>
      </c>
      <c r="W420" s="4">
        <f>IF(ISERROR(VLOOKUP($T$420,'TAR FIN'!$A$1:$O$86,15,0)),0,VLOOKUP($T$420,'TAR FIN'!$A$1:$O$86,15,0))</f>
        <v>410.79</v>
      </c>
      <c r="X420" s="4">
        <f>IF(ISERROR(VLOOKUP($U$420,'TAR FIN'!$A$1:$O$86,15,0)),0,VLOOKUP($U$420,'TAR FIN'!$A$1:$O$86,15,0))</f>
        <v>186.16</v>
      </c>
      <c r="Y420" s="4"/>
      <c r="Z420" s="4">
        <f ca="1">('TUSD BE'!$AM$33+'TUSD BF'!$AM$33+'TUSD CVA'!$AM$33)*(1-CUSTOS!$M$38)</f>
        <v>536.63434130853489</v>
      </c>
      <c r="AA420" s="4">
        <f>('TE BE'!$AB$24+'TE BF'!$AB$24+'TE CVA'!$AB$24)*(1-CUSTOS!$M$38)</f>
        <v>184.7746360391113</v>
      </c>
      <c r="AB420" s="4">
        <f>$K$420*$V$420</f>
        <v>0</v>
      </c>
      <c r="AC420" s="4">
        <f>$M$420*$W$420</f>
        <v>112.227828</v>
      </c>
      <c r="AD420" s="4">
        <f>$O$420*$X$420</f>
        <v>50.858911999999997</v>
      </c>
      <c r="AE420" s="4">
        <f>$K$420*$Y$420</f>
        <v>0</v>
      </c>
      <c r="AF420" s="4">
        <f ca="1">$M$420*$Z$420</f>
        <v>146.60850204549172</v>
      </c>
      <c r="AG420" s="4">
        <f>$O$420*$AA$420</f>
        <v>50.480430565885207</v>
      </c>
    </row>
    <row r="421" spans="1:33" ht="11.25" customHeight="1" x14ac:dyDescent="0.25">
      <c r="A421" s="3" t="s">
        <v>21</v>
      </c>
      <c r="B421" s="3" t="s">
        <v>41</v>
      </c>
      <c r="C421" s="3" t="s">
        <v>23</v>
      </c>
      <c r="D421" s="3" t="s">
        <v>42</v>
      </c>
      <c r="E421" s="3" t="s">
        <v>52</v>
      </c>
      <c r="F421" s="3" t="s">
        <v>51</v>
      </c>
      <c r="G421" s="3" t="s">
        <v>25</v>
      </c>
      <c r="H421" s="3" t="s">
        <v>25</v>
      </c>
      <c r="I421" s="6">
        <v>44682</v>
      </c>
      <c r="J421" s="4">
        <v>0</v>
      </c>
      <c r="K421" s="4">
        <v>0</v>
      </c>
      <c r="L421" s="4">
        <v>8.7999999999999995E-2</v>
      </c>
      <c r="M421" s="4">
        <v>3.5200000000000002E-2</v>
      </c>
      <c r="N421" s="4">
        <v>8.7999999999999995E-2</v>
      </c>
      <c r="O421" s="4">
        <v>3.5200000000000002E-2</v>
      </c>
      <c r="P421" s="4">
        <v>0</v>
      </c>
      <c r="Q421" s="3" t="s">
        <v>26</v>
      </c>
      <c r="R421" s="3">
        <v>0</v>
      </c>
      <c r="S421" s="4">
        <v>0</v>
      </c>
      <c r="T421" s="4">
        <v>29</v>
      </c>
      <c r="U421" s="4">
        <v>63</v>
      </c>
      <c r="V421" s="4">
        <f>IF(ISERROR(VLOOKUP($S$421,'TAR FIN'!$A$1:$O$86,15,0)),0,VLOOKUP($S$421,'TAR FIN'!$A$1:$O$86,15,0))</f>
        <v>0</v>
      </c>
      <c r="W421" s="4">
        <f>IF(ISERROR(VLOOKUP($T$421,'TAR FIN'!$A$1:$O$86,15,0)),0,VLOOKUP($T$421,'TAR FIN'!$A$1:$O$86,15,0))</f>
        <v>410.79</v>
      </c>
      <c r="X421" s="4">
        <f>IF(ISERROR(VLOOKUP($U$421,'TAR FIN'!$A$1:$O$86,15,0)),0,VLOOKUP($U$421,'TAR FIN'!$A$1:$O$86,15,0))</f>
        <v>186.16</v>
      </c>
      <c r="Y421" s="4"/>
      <c r="Z421" s="4">
        <f ca="1">('TUSD BE'!$AM$33+'TUSD BF'!$AM$33+'TUSD CVA'!$AM$33)*(1-CUSTOS!$M$38)</f>
        <v>536.63434130853489</v>
      </c>
      <c r="AA421" s="4">
        <f>('TE BE'!$AB$24+'TE BF'!$AB$24+'TE CVA'!$AB$24)*(1-CUSTOS!$M$38)</f>
        <v>184.7746360391113</v>
      </c>
      <c r="AB421" s="4">
        <f>$K$421*$V$421</f>
        <v>0</v>
      </c>
      <c r="AC421" s="4">
        <f>$M$421*$W$421</f>
        <v>14.459808000000002</v>
      </c>
      <c r="AD421" s="4">
        <f>$O$421*$X$421</f>
        <v>6.5528320000000004</v>
      </c>
      <c r="AE421" s="4">
        <f>$K$421*$Y$421</f>
        <v>0</v>
      </c>
      <c r="AF421" s="4">
        <f ca="1">$M$421*$Z$421</f>
        <v>18.88952881406043</v>
      </c>
      <c r="AG421" s="4">
        <f>$O$421*$AA$421</f>
        <v>6.5040671885767178</v>
      </c>
    </row>
    <row r="422" spans="1:33" ht="11.25" customHeight="1" x14ac:dyDescent="0.25">
      <c r="A422" s="3" t="s">
        <v>21</v>
      </c>
      <c r="B422" s="3" t="s">
        <v>41</v>
      </c>
      <c r="C422" s="3" t="s">
        <v>23</v>
      </c>
      <c r="D422" s="3" t="s">
        <v>42</v>
      </c>
      <c r="E422" s="3" t="s">
        <v>52</v>
      </c>
      <c r="F422" s="3" t="s">
        <v>51</v>
      </c>
      <c r="G422" s="3" t="s">
        <v>25</v>
      </c>
      <c r="H422" s="3" t="s">
        <v>25</v>
      </c>
      <c r="I422" s="6">
        <v>44713</v>
      </c>
      <c r="J422" s="4">
        <v>0</v>
      </c>
      <c r="K422" s="4">
        <v>0</v>
      </c>
      <c r="L422" s="4">
        <v>0.16900000000000001</v>
      </c>
      <c r="M422" s="4">
        <v>6.7599999999999993E-2</v>
      </c>
      <c r="N422" s="4">
        <v>0.16900000000000001</v>
      </c>
      <c r="O422" s="4">
        <v>6.7599999999999993E-2</v>
      </c>
      <c r="P422" s="4">
        <v>0</v>
      </c>
      <c r="Q422" s="3" t="s">
        <v>26</v>
      </c>
      <c r="R422" s="3">
        <v>0</v>
      </c>
      <c r="S422" s="4">
        <v>0</v>
      </c>
      <c r="T422" s="4">
        <v>29</v>
      </c>
      <c r="U422" s="4">
        <v>63</v>
      </c>
      <c r="V422" s="4">
        <f>IF(ISERROR(VLOOKUP($S$422,'TAR FIN'!$A$1:$O$86,15,0)),0,VLOOKUP($S$422,'TAR FIN'!$A$1:$O$86,15,0))</f>
        <v>0</v>
      </c>
      <c r="W422" s="4">
        <f>IF(ISERROR(VLOOKUP($T$422,'TAR FIN'!$A$1:$O$86,15,0)),0,VLOOKUP($T$422,'TAR FIN'!$A$1:$O$86,15,0))</f>
        <v>410.79</v>
      </c>
      <c r="X422" s="4">
        <f>IF(ISERROR(VLOOKUP($U$422,'TAR FIN'!$A$1:$O$86,15,0)),0,VLOOKUP($U$422,'TAR FIN'!$A$1:$O$86,15,0))</f>
        <v>186.16</v>
      </c>
      <c r="Y422" s="4"/>
      <c r="Z422" s="4">
        <f ca="1">('TUSD BE'!$AM$33+'TUSD BF'!$AM$33+'TUSD CVA'!$AM$33)*(1-CUSTOS!$M$38)</f>
        <v>536.63434130853489</v>
      </c>
      <c r="AA422" s="4">
        <f>('TE BE'!$AB$24+'TE BF'!$AB$24+'TE CVA'!$AB$24)*(1-CUSTOS!$M$38)</f>
        <v>184.7746360391113</v>
      </c>
      <c r="AB422" s="4">
        <f>$K$422*$V$422</f>
        <v>0</v>
      </c>
      <c r="AC422" s="4">
        <f>$M$422*$W$422</f>
        <v>27.769403999999998</v>
      </c>
      <c r="AD422" s="4">
        <f>$O$422*$X$422</f>
        <v>12.584415999999999</v>
      </c>
      <c r="AE422" s="4">
        <f>$K$422*$Y$422</f>
        <v>0</v>
      </c>
      <c r="AF422" s="4">
        <f ca="1">$M$422*$Z$422</f>
        <v>36.276481472456958</v>
      </c>
      <c r="AG422" s="4">
        <f>$O$422*$AA$422</f>
        <v>12.490765396243923</v>
      </c>
    </row>
    <row r="423" spans="1:33" ht="11.25" customHeight="1" x14ac:dyDescent="0.25">
      <c r="A423" s="3" t="s">
        <v>21</v>
      </c>
      <c r="B423" s="3" t="s">
        <v>41</v>
      </c>
      <c r="C423" s="3" t="s">
        <v>23</v>
      </c>
      <c r="D423" s="3" t="s">
        <v>42</v>
      </c>
      <c r="E423" s="3" t="s">
        <v>25</v>
      </c>
      <c r="F423" s="3" t="s">
        <v>25</v>
      </c>
      <c r="G423" s="3" t="s">
        <v>25</v>
      </c>
      <c r="H423" s="3" t="s">
        <v>25</v>
      </c>
      <c r="I423" s="6">
        <v>44378</v>
      </c>
      <c r="J423" s="4">
        <v>0</v>
      </c>
      <c r="K423" s="4">
        <v>0</v>
      </c>
      <c r="L423" s="4">
        <v>1474.364</v>
      </c>
      <c r="M423" s="4">
        <v>1474.364</v>
      </c>
      <c r="N423" s="4">
        <v>1474.364</v>
      </c>
      <c r="O423" s="4">
        <v>1474.364</v>
      </c>
      <c r="P423" s="4">
        <v>4633</v>
      </c>
      <c r="Q423" s="3" t="s">
        <v>26</v>
      </c>
      <c r="R423" s="3">
        <v>0</v>
      </c>
      <c r="S423" s="4">
        <v>0</v>
      </c>
      <c r="T423" s="4">
        <v>42</v>
      </c>
      <c r="U423" s="4">
        <v>63</v>
      </c>
      <c r="V423" s="4">
        <f>IF(ISERROR(VLOOKUP($S$423,'TAR FIN'!$A$1:$O$86,15,0)),0,VLOOKUP($S$423,'TAR FIN'!$A$1:$O$86,15,0))</f>
        <v>0</v>
      </c>
      <c r="W423" s="4">
        <f>IF(ISERROR(VLOOKUP($T$423,'TAR FIN'!$A$1:$O$86,15,0)),0,VLOOKUP($T$423,'TAR FIN'!$A$1:$O$86,15,0))</f>
        <v>430.35</v>
      </c>
      <c r="X423" s="4">
        <f>IF(ISERROR(VLOOKUP($U$423,'TAR FIN'!$A$1:$O$86,15,0)),0,VLOOKUP($U$423,'TAR FIN'!$A$1:$O$86,15,0))</f>
        <v>186.16</v>
      </c>
      <c r="Y423" s="4"/>
      <c r="Z423" s="4">
        <f ca="1">('TUSD BE'!$AM$33+'TUSD BF'!$AM$33+'TUSD CVA'!$AM$33)*(1-CUSTOS!$M$38)</f>
        <v>536.63434130853489</v>
      </c>
      <c r="AA423" s="4">
        <f>('TE BE'!$AB$24+'TE BF'!$AB$24+'TE CVA'!$AB$24)*(1-CUSTOS!$M$38)</f>
        <v>184.7746360391113</v>
      </c>
      <c r="AB423" s="4">
        <f>$K$423*$V$423</f>
        <v>0</v>
      </c>
      <c r="AC423" s="4">
        <f>$M$423*$W$423</f>
        <v>634492.54740000004</v>
      </c>
      <c r="AD423" s="4">
        <f>$O$423*$X$423</f>
        <v>274467.60223999998</v>
      </c>
      <c r="AE423" s="4">
        <f>$K$423*$Y$423</f>
        <v>0</v>
      </c>
      <c r="AF423" s="4">
        <f ca="1">$M$423*$Z$423</f>
        <v>791194.35398901673</v>
      </c>
      <c r="AG423" s="4">
        <f>$O$423*$AA$423</f>
        <v>272425.07148916827</v>
      </c>
    </row>
    <row r="424" spans="1:33" ht="11.25" customHeight="1" x14ac:dyDescent="0.25">
      <c r="A424" s="3" t="s">
        <v>27</v>
      </c>
      <c r="B424" s="3" t="s">
        <v>41</v>
      </c>
      <c r="C424" s="3" t="s">
        <v>23</v>
      </c>
      <c r="D424" s="3" t="s">
        <v>42</v>
      </c>
      <c r="E424" s="3" t="s">
        <v>25</v>
      </c>
      <c r="F424" s="3" t="s">
        <v>25</v>
      </c>
      <c r="G424" s="3" t="s">
        <v>25</v>
      </c>
      <c r="H424" s="3" t="s">
        <v>25</v>
      </c>
      <c r="I424" s="6">
        <v>44378</v>
      </c>
      <c r="J424" s="4">
        <v>0</v>
      </c>
      <c r="K424" s="4">
        <v>0</v>
      </c>
      <c r="L424" s="4">
        <v>-1.758</v>
      </c>
      <c r="M424" s="4">
        <v>-1.758</v>
      </c>
      <c r="N424" s="4">
        <v>-1.758</v>
      </c>
      <c r="O424" s="4">
        <v>-1.758</v>
      </c>
      <c r="P424" s="4">
        <v>0</v>
      </c>
      <c r="Q424" s="3" t="s">
        <v>26</v>
      </c>
      <c r="R424" s="3">
        <v>0</v>
      </c>
      <c r="S424" s="4">
        <v>0</v>
      </c>
      <c r="T424" s="4">
        <v>42</v>
      </c>
      <c r="U424" s="4">
        <v>63</v>
      </c>
      <c r="V424" s="4">
        <f>IF(ISERROR(VLOOKUP($S$424,'TAR FIN'!$A$1:$O$86,15,0)),0,VLOOKUP($S$424,'TAR FIN'!$A$1:$O$86,15,0))</f>
        <v>0</v>
      </c>
      <c r="W424" s="4">
        <f>IF(ISERROR(VLOOKUP($T$424,'TAR FIN'!$A$1:$O$86,15,0)),0,VLOOKUP($T$424,'TAR FIN'!$A$1:$O$86,15,0))</f>
        <v>430.35</v>
      </c>
      <c r="X424" s="4">
        <f>IF(ISERROR(VLOOKUP($U$424,'TAR FIN'!$A$1:$O$86,15,0)),0,VLOOKUP($U$424,'TAR FIN'!$A$1:$O$86,15,0))</f>
        <v>186.16</v>
      </c>
      <c r="Y424" s="4"/>
      <c r="Z424" s="4">
        <f ca="1">('TUSD BE'!$AM$33+'TUSD BF'!$AM$33+'TUSD CVA'!$AM$33)*(1-CUSTOS!$M$38)</f>
        <v>536.63434130853489</v>
      </c>
      <c r="AA424" s="4">
        <f>('TE BE'!$AB$24+'TE BF'!$AB$24+'TE CVA'!$AB$24)*(1-CUSTOS!$M$38)</f>
        <v>184.7746360391113</v>
      </c>
      <c r="AB424" s="4">
        <f>$K$424*$V$424</f>
        <v>0</v>
      </c>
      <c r="AC424" s="4">
        <f>$M$424*$W$424</f>
        <v>-756.55529999999999</v>
      </c>
      <c r="AD424" s="4">
        <f>$O$424*$X$424</f>
        <v>-327.26927999999998</v>
      </c>
      <c r="AE424" s="4">
        <f>$K$424*$Y$424</f>
        <v>0</v>
      </c>
      <c r="AF424" s="4">
        <f ca="1">$M$424*$Z$424</f>
        <v>-943.40317202040433</v>
      </c>
      <c r="AG424" s="4">
        <f>$O$424*$AA$424</f>
        <v>-324.83381015675769</v>
      </c>
    </row>
    <row r="425" spans="1:33" ht="11.25" customHeight="1" x14ac:dyDescent="0.25">
      <c r="A425" s="3" t="s">
        <v>28</v>
      </c>
      <c r="B425" s="3" t="s">
        <v>41</v>
      </c>
      <c r="C425" s="3" t="s">
        <v>23</v>
      </c>
      <c r="D425" s="3" t="s">
        <v>42</v>
      </c>
      <c r="E425" s="3" t="s">
        <v>25</v>
      </c>
      <c r="F425" s="3" t="s">
        <v>25</v>
      </c>
      <c r="G425" s="3" t="s">
        <v>25</v>
      </c>
      <c r="H425" s="3" t="s">
        <v>25</v>
      </c>
      <c r="I425" s="6">
        <v>44378</v>
      </c>
      <c r="J425" s="4">
        <v>0</v>
      </c>
      <c r="K425" s="4">
        <v>0</v>
      </c>
      <c r="L425" s="4">
        <v>125.97199999999999</v>
      </c>
      <c r="M425" s="4">
        <v>125.97199999999999</v>
      </c>
      <c r="N425" s="4">
        <v>125.97199999999999</v>
      </c>
      <c r="O425" s="4">
        <v>125.97199999999999</v>
      </c>
      <c r="P425" s="4">
        <v>126</v>
      </c>
      <c r="Q425" s="3" t="s">
        <v>26</v>
      </c>
      <c r="R425" s="3">
        <v>0</v>
      </c>
      <c r="S425" s="4">
        <v>0</v>
      </c>
      <c r="T425" s="4">
        <v>42</v>
      </c>
      <c r="U425" s="4">
        <v>63</v>
      </c>
      <c r="V425" s="4">
        <f>IF(ISERROR(VLOOKUP($S$425,'TAR FIN'!$A$1:$O$86,15,0)),0,VLOOKUP($S$425,'TAR FIN'!$A$1:$O$86,15,0))</f>
        <v>0</v>
      </c>
      <c r="W425" s="4">
        <f>IF(ISERROR(VLOOKUP($T$425,'TAR FIN'!$A$1:$O$86,15,0)),0,VLOOKUP($T$425,'TAR FIN'!$A$1:$O$86,15,0))</f>
        <v>430.35</v>
      </c>
      <c r="X425" s="4">
        <f>IF(ISERROR(VLOOKUP($U$425,'TAR FIN'!$A$1:$O$86,15,0)),0,VLOOKUP($U$425,'TAR FIN'!$A$1:$O$86,15,0))</f>
        <v>186.16</v>
      </c>
      <c r="Y425" s="4"/>
      <c r="Z425" s="4">
        <f ca="1">('TUSD BE'!$AM$33+'TUSD BF'!$AM$33+'TUSD CVA'!$AM$33)*(1-CUSTOS!$M$38)</f>
        <v>536.63434130853489</v>
      </c>
      <c r="AA425" s="4">
        <f>('TE BE'!$AB$24+'TE BF'!$AB$24+'TE CVA'!$AB$24)*(1-CUSTOS!$M$38)</f>
        <v>184.7746360391113</v>
      </c>
      <c r="AB425" s="4">
        <f>$K$425*$V$425</f>
        <v>0</v>
      </c>
      <c r="AC425" s="4">
        <f>$M$425*$W$425</f>
        <v>54212.050199999998</v>
      </c>
      <c r="AD425" s="4">
        <f>$O$425*$X$425</f>
        <v>23450.947519999998</v>
      </c>
      <c r="AE425" s="4">
        <f>$K$425*$Y$425</f>
        <v>0</v>
      </c>
      <c r="AF425" s="4">
        <f ca="1">$M$425*$Z$425</f>
        <v>67600.90124331876</v>
      </c>
      <c r="AG425" s="4">
        <f>$O$425*$AA$425</f>
        <v>23276.430451118929</v>
      </c>
    </row>
    <row r="426" spans="1:33" ht="11.25" customHeight="1" x14ac:dyDescent="0.25">
      <c r="A426" s="3" t="s">
        <v>21</v>
      </c>
      <c r="B426" s="3" t="s">
        <v>41</v>
      </c>
      <c r="C426" s="3" t="s">
        <v>23</v>
      </c>
      <c r="D426" s="3" t="s">
        <v>42</v>
      </c>
      <c r="E426" s="3" t="s">
        <v>25</v>
      </c>
      <c r="F426" s="3" t="s">
        <v>25</v>
      </c>
      <c r="G426" s="3" t="s">
        <v>25</v>
      </c>
      <c r="H426" s="3" t="s">
        <v>25</v>
      </c>
      <c r="I426" s="6">
        <v>44409</v>
      </c>
      <c r="J426" s="4">
        <v>0</v>
      </c>
      <c r="K426" s="4">
        <v>0</v>
      </c>
      <c r="L426" s="4">
        <v>1562.838</v>
      </c>
      <c r="M426" s="4">
        <v>1562.838</v>
      </c>
      <c r="N426" s="4">
        <v>1562.838</v>
      </c>
      <c r="O426" s="4">
        <v>1562.838</v>
      </c>
      <c r="P426" s="4">
        <v>4613</v>
      </c>
      <c r="Q426" s="3" t="s">
        <v>26</v>
      </c>
      <c r="R426" s="3">
        <v>0</v>
      </c>
      <c r="S426" s="4">
        <v>0</v>
      </c>
      <c r="T426" s="4">
        <v>42</v>
      </c>
      <c r="U426" s="4">
        <v>63</v>
      </c>
      <c r="V426" s="4">
        <f>IF(ISERROR(VLOOKUP($S$426,'TAR FIN'!$A$1:$O$86,15,0)),0,VLOOKUP($S$426,'TAR FIN'!$A$1:$O$86,15,0))</f>
        <v>0</v>
      </c>
      <c r="W426" s="4">
        <f>IF(ISERROR(VLOOKUP($T$426,'TAR FIN'!$A$1:$O$86,15,0)),0,VLOOKUP($T$426,'TAR FIN'!$A$1:$O$86,15,0))</f>
        <v>430.35</v>
      </c>
      <c r="X426" s="4">
        <f>IF(ISERROR(VLOOKUP($U$426,'TAR FIN'!$A$1:$O$86,15,0)),0,VLOOKUP($U$426,'TAR FIN'!$A$1:$O$86,15,0))</f>
        <v>186.16</v>
      </c>
      <c r="Y426" s="4"/>
      <c r="Z426" s="4">
        <f ca="1">('TUSD BE'!$AM$33+'TUSD BF'!$AM$33+'TUSD CVA'!$AM$33)*(1-CUSTOS!$M$38)</f>
        <v>536.63434130853489</v>
      </c>
      <c r="AA426" s="4">
        <f>('TE BE'!$AB$24+'TE BF'!$AB$24+'TE CVA'!$AB$24)*(1-CUSTOS!$M$38)</f>
        <v>184.7746360391113</v>
      </c>
      <c r="AB426" s="4">
        <f>$K$426*$V$426</f>
        <v>0</v>
      </c>
      <c r="AC426" s="4">
        <f>$M$426*$W$426</f>
        <v>672567.33330000006</v>
      </c>
      <c r="AD426" s="4">
        <f>$O$426*$X$426</f>
        <v>290937.92207999999</v>
      </c>
      <c r="AE426" s="4">
        <f>$K$426*$Y$426</f>
        <v>0</v>
      </c>
      <c r="AF426" s="4">
        <f ca="1">$M$426*$Z$426</f>
        <v>838672.54070194799</v>
      </c>
      <c r="AG426" s="4">
        <f>$O$426*$AA$426</f>
        <v>288772.82263809262</v>
      </c>
    </row>
    <row r="427" spans="1:33" ht="11.25" customHeight="1" x14ac:dyDescent="0.25">
      <c r="A427" s="3" t="s">
        <v>27</v>
      </c>
      <c r="B427" s="3" t="s">
        <v>41</v>
      </c>
      <c r="C427" s="3" t="s">
        <v>23</v>
      </c>
      <c r="D427" s="3" t="s">
        <v>42</v>
      </c>
      <c r="E427" s="3" t="s">
        <v>25</v>
      </c>
      <c r="F427" s="3" t="s">
        <v>25</v>
      </c>
      <c r="G427" s="3" t="s">
        <v>25</v>
      </c>
      <c r="H427" s="3" t="s">
        <v>25</v>
      </c>
      <c r="I427" s="6">
        <v>44409</v>
      </c>
      <c r="J427" s="4">
        <v>0</v>
      </c>
      <c r="K427" s="4">
        <v>0</v>
      </c>
      <c r="L427" s="4">
        <v>-9.1920000000000002</v>
      </c>
      <c r="M427" s="4">
        <v>-9.1920000000000002</v>
      </c>
      <c r="N427" s="4">
        <v>-9.1920000000000002</v>
      </c>
      <c r="O427" s="4">
        <v>-9.1920000000000002</v>
      </c>
      <c r="P427" s="4">
        <v>0</v>
      </c>
      <c r="Q427" s="3" t="s">
        <v>26</v>
      </c>
      <c r="R427" s="3">
        <v>0</v>
      </c>
      <c r="S427" s="4">
        <v>0</v>
      </c>
      <c r="T427" s="4">
        <v>42</v>
      </c>
      <c r="U427" s="4">
        <v>63</v>
      </c>
      <c r="V427" s="4">
        <f>IF(ISERROR(VLOOKUP($S$427,'TAR FIN'!$A$1:$O$86,15,0)),0,VLOOKUP($S$427,'TAR FIN'!$A$1:$O$86,15,0))</f>
        <v>0</v>
      </c>
      <c r="W427" s="4">
        <f>IF(ISERROR(VLOOKUP($T$427,'TAR FIN'!$A$1:$O$86,15,0)),0,VLOOKUP($T$427,'TAR FIN'!$A$1:$O$86,15,0))</f>
        <v>430.35</v>
      </c>
      <c r="X427" s="4">
        <f>IF(ISERROR(VLOOKUP($U$427,'TAR FIN'!$A$1:$O$86,15,0)),0,VLOOKUP($U$427,'TAR FIN'!$A$1:$O$86,15,0))</f>
        <v>186.16</v>
      </c>
      <c r="Y427" s="4"/>
      <c r="Z427" s="4">
        <f ca="1">('TUSD BE'!$AM$33+'TUSD BF'!$AM$33+'TUSD CVA'!$AM$33)*(1-CUSTOS!$M$38)</f>
        <v>536.63434130853489</v>
      </c>
      <c r="AA427" s="4">
        <f>('TE BE'!$AB$24+'TE BF'!$AB$24+'TE CVA'!$AB$24)*(1-CUSTOS!$M$38)</f>
        <v>184.7746360391113</v>
      </c>
      <c r="AB427" s="4">
        <f>$K$427*$V$427</f>
        <v>0</v>
      </c>
      <c r="AC427" s="4">
        <f>$M$427*$W$427</f>
        <v>-3955.7772000000004</v>
      </c>
      <c r="AD427" s="4">
        <f>$O$427*$X$427</f>
        <v>-1711.18272</v>
      </c>
      <c r="AE427" s="4">
        <f>$K$427*$Y$427</f>
        <v>0</v>
      </c>
      <c r="AF427" s="4">
        <f ca="1">$M$427*$Z$427</f>
        <v>-4932.7428653080524</v>
      </c>
      <c r="AG427" s="4">
        <f>$O$427*$AA$427</f>
        <v>-1698.448454471511</v>
      </c>
    </row>
    <row r="428" spans="1:33" ht="11.25" customHeight="1" x14ac:dyDescent="0.25">
      <c r="A428" s="3" t="s">
        <v>21</v>
      </c>
      <c r="B428" s="3" t="s">
        <v>41</v>
      </c>
      <c r="C428" s="3" t="s">
        <v>23</v>
      </c>
      <c r="D428" s="3" t="s">
        <v>42</v>
      </c>
      <c r="E428" s="3" t="s">
        <v>25</v>
      </c>
      <c r="F428" s="3" t="s">
        <v>25</v>
      </c>
      <c r="G428" s="3" t="s">
        <v>25</v>
      </c>
      <c r="H428" s="3" t="s">
        <v>25</v>
      </c>
      <c r="I428" s="6">
        <v>44440</v>
      </c>
      <c r="J428" s="4">
        <v>0</v>
      </c>
      <c r="K428" s="4">
        <v>0</v>
      </c>
      <c r="L428" s="4">
        <v>1585.94</v>
      </c>
      <c r="M428" s="4">
        <v>1585.94</v>
      </c>
      <c r="N428" s="4">
        <v>1585.94</v>
      </c>
      <c r="O428" s="4">
        <v>1585.94</v>
      </c>
      <c r="P428" s="4">
        <v>4622</v>
      </c>
      <c r="Q428" s="3" t="s">
        <v>26</v>
      </c>
      <c r="R428" s="3">
        <v>0</v>
      </c>
      <c r="S428" s="4">
        <v>0</v>
      </c>
      <c r="T428" s="4">
        <v>42</v>
      </c>
      <c r="U428" s="4">
        <v>63</v>
      </c>
      <c r="V428" s="4">
        <f>IF(ISERROR(VLOOKUP($S$428,'TAR FIN'!$A$1:$O$86,15,0)),0,VLOOKUP($S$428,'TAR FIN'!$A$1:$O$86,15,0))</f>
        <v>0</v>
      </c>
      <c r="W428" s="4">
        <f>IF(ISERROR(VLOOKUP($T$428,'TAR FIN'!$A$1:$O$86,15,0)),0,VLOOKUP($T$428,'TAR FIN'!$A$1:$O$86,15,0))</f>
        <v>430.35</v>
      </c>
      <c r="X428" s="4">
        <f>IF(ISERROR(VLOOKUP($U$428,'TAR FIN'!$A$1:$O$86,15,0)),0,VLOOKUP($U$428,'TAR FIN'!$A$1:$O$86,15,0))</f>
        <v>186.16</v>
      </c>
      <c r="Y428" s="4"/>
      <c r="Z428" s="4">
        <f ca="1">('TUSD BE'!$AM$33+'TUSD BF'!$AM$33+'TUSD CVA'!$AM$33)*(1-CUSTOS!$M$38)</f>
        <v>536.63434130853489</v>
      </c>
      <c r="AA428" s="4">
        <f>('TE BE'!$AB$24+'TE BF'!$AB$24+'TE CVA'!$AB$24)*(1-CUSTOS!$M$38)</f>
        <v>184.7746360391113</v>
      </c>
      <c r="AB428" s="4">
        <f>$K$428*$V$428</f>
        <v>0</v>
      </c>
      <c r="AC428" s="4">
        <f>$M$428*$W$428</f>
        <v>682509.2790000001</v>
      </c>
      <c r="AD428" s="4">
        <f>$O$428*$X$428</f>
        <v>295238.59039999999</v>
      </c>
      <c r="AE428" s="4">
        <f>$K$428*$Y$428</f>
        <v>0</v>
      </c>
      <c r="AF428" s="4">
        <f ca="1">$M$428*$Z$428</f>
        <v>851069.86725485779</v>
      </c>
      <c r="AG428" s="4">
        <f>$O$428*$AA$428</f>
        <v>293041.48627986817</v>
      </c>
    </row>
    <row r="429" spans="1:33" ht="11.25" customHeight="1" x14ac:dyDescent="0.25">
      <c r="A429" s="3" t="s">
        <v>27</v>
      </c>
      <c r="B429" s="3" t="s">
        <v>41</v>
      </c>
      <c r="C429" s="3" t="s">
        <v>23</v>
      </c>
      <c r="D429" s="3" t="s">
        <v>42</v>
      </c>
      <c r="E429" s="3" t="s">
        <v>25</v>
      </c>
      <c r="F429" s="3" t="s">
        <v>25</v>
      </c>
      <c r="G429" s="3" t="s">
        <v>25</v>
      </c>
      <c r="H429" s="3" t="s">
        <v>25</v>
      </c>
      <c r="I429" s="6">
        <v>44440</v>
      </c>
      <c r="J429" s="4">
        <v>0</v>
      </c>
      <c r="K429" s="4">
        <v>0</v>
      </c>
      <c r="L429" s="4">
        <v>-6.4260000000000002</v>
      </c>
      <c r="M429" s="4">
        <v>-6.4260000000000002</v>
      </c>
      <c r="N429" s="4">
        <v>-6.4260000000000002</v>
      </c>
      <c r="O429" s="4">
        <v>-6.4260000000000002</v>
      </c>
      <c r="P429" s="4">
        <v>0</v>
      </c>
      <c r="Q429" s="3" t="s">
        <v>26</v>
      </c>
      <c r="R429" s="3">
        <v>0</v>
      </c>
      <c r="S429" s="4">
        <v>0</v>
      </c>
      <c r="T429" s="4">
        <v>42</v>
      </c>
      <c r="U429" s="4">
        <v>63</v>
      </c>
      <c r="V429" s="4">
        <f>IF(ISERROR(VLOOKUP($S$429,'TAR FIN'!$A$1:$O$86,15,0)),0,VLOOKUP($S$429,'TAR FIN'!$A$1:$O$86,15,0))</f>
        <v>0</v>
      </c>
      <c r="W429" s="4">
        <f>IF(ISERROR(VLOOKUP($T$429,'TAR FIN'!$A$1:$O$86,15,0)),0,VLOOKUP($T$429,'TAR FIN'!$A$1:$O$86,15,0))</f>
        <v>430.35</v>
      </c>
      <c r="X429" s="4">
        <f>IF(ISERROR(VLOOKUP($U$429,'TAR FIN'!$A$1:$O$86,15,0)),0,VLOOKUP($U$429,'TAR FIN'!$A$1:$O$86,15,0))</f>
        <v>186.16</v>
      </c>
      <c r="Y429" s="4"/>
      <c r="Z429" s="4">
        <f ca="1">('TUSD BE'!$AM$33+'TUSD BF'!$AM$33+'TUSD CVA'!$AM$33)*(1-CUSTOS!$M$38)</f>
        <v>536.63434130853489</v>
      </c>
      <c r="AA429" s="4">
        <f>('TE BE'!$AB$24+'TE BF'!$AB$24+'TE CVA'!$AB$24)*(1-CUSTOS!$M$38)</f>
        <v>184.7746360391113</v>
      </c>
      <c r="AB429" s="4">
        <f>$K$429*$V$429</f>
        <v>0</v>
      </c>
      <c r="AC429" s="4">
        <f>$M$429*$W$429</f>
        <v>-2765.4291000000003</v>
      </c>
      <c r="AD429" s="4">
        <f>$O$429*$X$429</f>
        <v>-1196.2641599999999</v>
      </c>
      <c r="AE429" s="4">
        <f>$K$429*$Y$429</f>
        <v>0</v>
      </c>
      <c r="AF429" s="4">
        <f ca="1">$M$429*$Z$429</f>
        <v>-3448.4122772486453</v>
      </c>
      <c r="AG429" s="4">
        <f>$O$429*$AA$429</f>
        <v>-1187.3618111873293</v>
      </c>
    </row>
    <row r="430" spans="1:33" ht="11.25" customHeight="1" x14ac:dyDescent="0.25">
      <c r="A430" s="3" t="s">
        <v>28</v>
      </c>
      <c r="B430" s="3" t="s">
        <v>41</v>
      </c>
      <c r="C430" s="3" t="s">
        <v>23</v>
      </c>
      <c r="D430" s="3" t="s">
        <v>42</v>
      </c>
      <c r="E430" s="3" t="s">
        <v>25</v>
      </c>
      <c r="F430" s="3" t="s">
        <v>25</v>
      </c>
      <c r="G430" s="3" t="s">
        <v>25</v>
      </c>
      <c r="H430" s="3" t="s">
        <v>25</v>
      </c>
      <c r="I430" s="6">
        <v>44440</v>
      </c>
      <c r="J430" s="4">
        <v>0</v>
      </c>
      <c r="K430" s="4">
        <v>0</v>
      </c>
      <c r="L430" s="4">
        <v>78.552999999999997</v>
      </c>
      <c r="M430" s="4">
        <v>78.552999999999997</v>
      </c>
      <c r="N430" s="4">
        <v>78.552999999999997</v>
      </c>
      <c r="O430" s="4">
        <v>78.552999999999997</v>
      </c>
      <c r="P430" s="4">
        <v>131</v>
      </c>
      <c r="Q430" s="3" t="s">
        <v>26</v>
      </c>
      <c r="R430" s="3">
        <v>0</v>
      </c>
      <c r="S430" s="4">
        <v>0</v>
      </c>
      <c r="T430" s="4">
        <v>42</v>
      </c>
      <c r="U430" s="4">
        <v>63</v>
      </c>
      <c r="V430" s="4">
        <f>IF(ISERROR(VLOOKUP($S$430,'TAR FIN'!$A$1:$O$86,15,0)),0,VLOOKUP($S$430,'TAR FIN'!$A$1:$O$86,15,0))</f>
        <v>0</v>
      </c>
      <c r="W430" s="4">
        <f>IF(ISERROR(VLOOKUP($T$430,'TAR FIN'!$A$1:$O$86,15,0)),0,VLOOKUP($T$430,'TAR FIN'!$A$1:$O$86,15,0))</f>
        <v>430.35</v>
      </c>
      <c r="X430" s="4">
        <f>IF(ISERROR(VLOOKUP($U$430,'TAR FIN'!$A$1:$O$86,15,0)),0,VLOOKUP($U$430,'TAR FIN'!$A$1:$O$86,15,0))</f>
        <v>186.16</v>
      </c>
      <c r="Y430" s="4"/>
      <c r="Z430" s="4">
        <f ca="1">('TUSD BE'!$AM$33+'TUSD BF'!$AM$33+'TUSD CVA'!$AM$33)*(1-CUSTOS!$M$38)</f>
        <v>536.63434130853489</v>
      </c>
      <c r="AA430" s="4">
        <f>('TE BE'!$AB$24+'TE BF'!$AB$24+'TE CVA'!$AB$24)*(1-CUSTOS!$M$38)</f>
        <v>184.7746360391113</v>
      </c>
      <c r="AB430" s="4">
        <f>$K$430*$V$430</f>
        <v>0</v>
      </c>
      <c r="AC430" s="4">
        <f>$M$430*$W$430</f>
        <v>33805.28355</v>
      </c>
      <c r="AD430" s="4">
        <f>$O$430*$X$430</f>
        <v>14623.42648</v>
      </c>
      <c r="AE430" s="4">
        <f>$K$430*$Y$430</f>
        <v>0</v>
      </c>
      <c r="AF430" s="4">
        <f ca="1">$M$430*$Z$430</f>
        <v>42154.237412809336</v>
      </c>
      <c r="AG430" s="4">
        <f>$O$430*$AA$430</f>
        <v>14514.601984780309</v>
      </c>
    </row>
    <row r="431" spans="1:33" ht="11.25" customHeight="1" x14ac:dyDescent="0.25">
      <c r="A431" s="3" t="s">
        <v>21</v>
      </c>
      <c r="B431" s="3" t="s">
        <v>41</v>
      </c>
      <c r="C431" s="3" t="s">
        <v>23</v>
      </c>
      <c r="D431" s="3" t="s">
        <v>42</v>
      </c>
      <c r="E431" s="3" t="s">
        <v>25</v>
      </c>
      <c r="F431" s="3" t="s">
        <v>25</v>
      </c>
      <c r="G431" s="3" t="s">
        <v>25</v>
      </c>
      <c r="H431" s="3" t="s">
        <v>25</v>
      </c>
      <c r="I431" s="6">
        <v>44470</v>
      </c>
      <c r="J431" s="4">
        <v>0</v>
      </c>
      <c r="K431" s="4">
        <v>0</v>
      </c>
      <c r="L431" s="4">
        <v>1566.079</v>
      </c>
      <c r="M431" s="4">
        <v>1566.079</v>
      </c>
      <c r="N431" s="4">
        <v>1566.079</v>
      </c>
      <c r="O431" s="4">
        <v>1566.079</v>
      </c>
      <c r="P431" s="4">
        <v>4616</v>
      </c>
      <c r="Q431" s="3" t="s">
        <v>26</v>
      </c>
      <c r="R431" s="3">
        <v>0</v>
      </c>
      <c r="S431" s="4">
        <v>0</v>
      </c>
      <c r="T431" s="4">
        <v>42</v>
      </c>
      <c r="U431" s="4">
        <v>63</v>
      </c>
      <c r="V431" s="4">
        <f>IF(ISERROR(VLOOKUP($S$431,'TAR FIN'!$A$1:$O$86,15,0)),0,VLOOKUP($S$431,'TAR FIN'!$A$1:$O$86,15,0))</f>
        <v>0</v>
      </c>
      <c r="W431" s="4">
        <f>IF(ISERROR(VLOOKUP($T$431,'TAR FIN'!$A$1:$O$86,15,0)),0,VLOOKUP($T$431,'TAR FIN'!$A$1:$O$86,15,0))</f>
        <v>430.35</v>
      </c>
      <c r="X431" s="4">
        <f>IF(ISERROR(VLOOKUP($U$431,'TAR FIN'!$A$1:$O$86,15,0)),0,VLOOKUP($U$431,'TAR FIN'!$A$1:$O$86,15,0))</f>
        <v>186.16</v>
      </c>
      <c r="Y431" s="4"/>
      <c r="Z431" s="4">
        <f ca="1">('TUSD BE'!$AM$33+'TUSD BF'!$AM$33+'TUSD CVA'!$AM$33)*(1-CUSTOS!$M$38)</f>
        <v>536.63434130853489</v>
      </c>
      <c r="AA431" s="4">
        <f>('TE BE'!$AB$24+'TE BF'!$AB$24+'TE CVA'!$AB$24)*(1-CUSTOS!$M$38)</f>
        <v>184.7746360391113</v>
      </c>
      <c r="AB431" s="4">
        <f>$K$431*$V$431</f>
        <v>0</v>
      </c>
      <c r="AC431" s="4">
        <f>$M$431*$W$431</f>
        <v>673962.09765000001</v>
      </c>
      <c r="AD431" s="4">
        <f>$O$431*$X$431</f>
        <v>291541.26663999999</v>
      </c>
      <c r="AE431" s="4">
        <f>$K$431*$Y$431</f>
        <v>0</v>
      </c>
      <c r="AF431" s="4">
        <f ca="1">$M$431*$Z$431</f>
        <v>840411.77260212903</v>
      </c>
      <c r="AG431" s="4">
        <f>$O$431*$AA$431</f>
        <v>289371.6772334954</v>
      </c>
    </row>
    <row r="432" spans="1:33" ht="11.25" customHeight="1" x14ac:dyDescent="0.25">
      <c r="A432" s="3" t="s">
        <v>27</v>
      </c>
      <c r="B432" s="3" t="s">
        <v>41</v>
      </c>
      <c r="C432" s="3" t="s">
        <v>23</v>
      </c>
      <c r="D432" s="3" t="s">
        <v>42</v>
      </c>
      <c r="E432" s="3" t="s">
        <v>25</v>
      </c>
      <c r="F432" s="3" t="s">
        <v>25</v>
      </c>
      <c r="G432" s="3" t="s">
        <v>25</v>
      </c>
      <c r="H432" s="3" t="s">
        <v>25</v>
      </c>
      <c r="I432" s="6">
        <v>44470</v>
      </c>
      <c r="J432" s="4">
        <v>0</v>
      </c>
      <c r="K432" s="4">
        <v>0</v>
      </c>
      <c r="L432" s="4">
        <v>-6.51</v>
      </c>
      <c r="M432" s="4">
        <v>-6.51</v>
      </c>
      <c r="N432" s="4">
        <v>-6.51</v>
      </c>
      <c r="O432" s="4">
        <v>-6.51</v>
      </c>
      <c r="P432" s="4">
        <v>0</v>
      </c>
      <c r="Q432" s="3" t="s">
        <v>26</v>
      </c>
      <c r="R432" s="3">
        <v>0</v>
      </c>
      <c r="S432" s="4">
        <v>0</v>
      </c>
      <c r="T432" s="4">
        <v>42</v>
      </c>
      <c r="U432" s="4">
        <v>63</v>
      </c>
      <c r="V432" s="4">
        <f>IF(ISERROR(VLOOKUP($S$432,'TAR FIN'!$A$1:$O$86,15,0)),0,VLOOKUP($S$432,'TAR FIN'!$A$1:$O$86,15,0))</f>
        <v>0</v>
      </c>
      <c r="W432" s="4">
        <f>IF(ISERROR(VLOOKUP($T$432,'TAR FIN'!$A$1:$O$86,15,0)),0,VLOOKUP($T$432,'TAR FIN'!$A$1:$O$86,15,0))</f>
        <v>430.35</v>
      </c>
      <c r="X432" s="4">
        <f>IF(ISERROR(VLOOKUP($U$432,'TAR FIN'!$A$1:$O$86,15,0)),0,VLOOKUP($U$432,'TAR FIN'!$A$1:$O$86,15,0))</f>
        <v>186.16</v>
      </c>
      <c r="Y432" s="4"/>
      <c r="Z432" s="4">
        <f ca="1">('TUSD BE'!$AM$33+'TUSD BF'!$AM$33+'TUSD CVA'!$AM$33)*(1-CUSTOS!$M$38)</f>
        <v>536.63434130853489</v>
      </c>
      <c r="AA432" s="4">
        <f>('TE BE'!$AB$24+'TE BF'!$AB$24+'TE CVA'!$AB$24)*(1-CUSTOS!$M$38)</f>
        <v>184.7746360391113</v>
      </c>
      <c r="AB432" s="4">
        <f>$K$432*$V$432</f>
        <v>0</v>
      </c>
      <c r="AC432" s="4">
        <f>$M$432*$W$432</f>
        <v>-2801.5785000000001</v>
      </c>
      <c r="AD432" s="4">
        <f>$O$432*$X$432</f>
        <v>-1211.9015999999999</v>
      </c>
      <c r="AE432" s="4">
        <f>$K$432*$Y$432</f>
        <v>0</v>
      </c>
      <c r="AF432" s="4">
        <f ca="1">$M$432*$Z$432</f>
        <v>-3493.4895619185618</v>
      </c>
      <c r="AG432" s="4">
        <f>$O$432*$AA$432</f>
        <v>-1202.8828806146146</v>
      </c>
    </row>
    <row r="433" spans="1:33" ht="11.25" customHeight="1" x14ac:dyDescent="0.25">
      <c r="A433" s="3" t="s">
        <v>28</v>
      </c>
      <c r="B433" s="3" t="s">
        <v>41</v>
      </c>
      <c r="C433" s="3" t="s">
        <v>23</v>
      </c>
      <c r="D433" s="3" t="s">
        <v>42</v>
      </c>
      <c r="E433" s="3" t="s">
        <v>25</v>
      </c>
      <c r="F433" s="3" t="s">
        <v>25</v>
      </c>
      <c r="G433" s="3" t="s">
        <v>25</v>
      </c>
      <c r="H433" s="3" t="s">
        <v>25</v>
      </c>
      <c r="I433" s="6">
        <v>44470</v>
      </c>
      <c r="J433" s="4">
        <v>0</v>
      </c>
      <c r="K433" s="4">
        <v>0</v>
      </c>
      <c r="L433" s="4">
        <v>90.212000000000003</v>
      </c>
      <c r="M433" s="4">
        <v>90.212000000000003</v>
      </c>
      <c r="N433" s="4">
        <v>90.212000000000003</v>
      </c>
      <c r="O433" s="4">
        <v>90.212000000000003</v>
      </c>
      <c r="P433" s="4">
        <v>136</v>
      </c>
      <c r="Q433" s="3" t="s">
        <v>26</v>
      </c>
      <c r="R433" s="3">
        <v>0</v>
      </c>
      <c r="S433" s="4">
        <v>0</v>
      </c>
      <c r="T433" s="4">
        <v>42</v>
      </c>
      <c r="U433" s="4">
        <v>63</v>
      </c>
      <c r="V433" s="4">
        <f>IF(ISERROR(VLOOKUP($S$433,'TAR FIN'!$A$1:$O$86,15,0)),0,VLOOKUP($S$433,'TAR FIN'!$A$1:$O$86,15,0))</f>
        <v>0</v>
      </c>
      <c r="W433" s="4">
        <f>IF(ISERROR(VLOOKUP($T$433,'TAR FIN'!$A$1:$O$86,15,0)),0,VLOOKUP($T$433,'TAR FIN'!$A$1:$O$86,15,0))</f>
        <v>430.35</v>
      </c>
      <c r="X433" s="4">
        <f>IF(ISERROR(VLOOKUP($U$433,'TAR FIN'!$A$1:$O$86,15,0)),0,VLOOKUP($U$433,'TAR FIN'!$A$1:$O$86,15,0))</f>
        <v>186.16</v>
      </c>
      <c r="Y433" s="4"/>
      <c r="Z433" s="4">
        <f ca="1">('TUSD BE'!$AM$33+'TUSD BF'!$AM$33+'TUSD CVA'!$AM$33)*(1-CUSTOS!$M$38)</f>
        <v>536.63434130853489</v>
      </c>
      <c r="AA433" s="4">
        <f>('TE BE'!$AB$24+'TE BF'!$AB$24+'TE CVA'!$AB$24)*(1-CUSTOS!$M$38)</f>
        <v>184.7746360391113</v>
      </c>
      <c r="AB433" s="4">
        <f>$K$433*$V$433</f>
        <v>0</v>
      </c>
      <c r="AC433" s="4">
        <f>$M$433*$W$433</f>
        <v>38822.734200000006</v>
      </c>
      <c r="AD433" s="4">
        <f>$O$433*$X$433</f>
        <v>16793.86592</v>
      </c>
      <c r="AE433" s="4">
        <f>$K$433*$Y$433</f>
        <v>0</v>
      </c>
      <c r="AF433" s="4">
        <f ca="1">$M$433*$Z$433</f>
        <v>48410.857198125552</v>
      </c>
      <c r="AG433" s="4">
        <f>$O$433*$AA$433</f>
        <v>16668.88946636031</v>
      </c>
    </row>
    <row r="434" spans="1:33" ht="11.25" customHeight="1" x14ac:dyDescent="0.25">
      <c r="A434" s="3" t="s">
        <v>21</v>
      </c>
      <c r="B434" s="3" t="s">
        <v>41</v>
      </c>
      <c r="C434" s="3" t="s">
        <v>23</v>
      </c>
      <c r="D434" s="3" t="s">
        <v>42</v>
      </c>
      <c r="E434" s="3" t="s">
        <v>25</v>
      </c>
      <c r="F434" s="3" t="s">
        <v>25</v>
      </c>
      <c r="G434" s="3" t="s">
        <v>25</v>
      </c>
      <c r="H434" s="3" t="s">
        <v>25</v>
      </c>
      <c r="I434" s="6">
        <v>44501</v>
      </c>
      <c r="J434" s="4">
        <v>0</v>
      </c>
      <c r="K434" s="4">
        <v>0</v>
      </c>
      <c r="L434" s="4">
        <v>1656.521</v>
      </c>
      <c r="M434" s="4">
        <v>1656.521</v>
      </c>
      <c r="N434" s="4">
        <v>1656.521</v>
      </c>
      <c r="O434" s="4">
        <v>1656.521</v>
      </c>
      <c r="P434" s="4">
        <v>4603</v>
      </c>
      <c r="Q434" s="3" t="s">
        <v>26</v>
      </c>
      <c r="R434" s="3">
        <v>0</v>
      </c>
      <c r="S434" s="4">
        <v>0</v>
      </c>
      <c r="T434" s="4">
        <v>42</v>
      </c>
      <c r="U434" s="4">
        <v>63</v>
      </c>
      <c r="V434" s="4">
        <f>IF(ISERROR(VLOOKUP($S$434,'TAR FIN'!$A$1:$O$86,15,0)),0,VLOOKUP($S$434,'TAR FIN'!$A$1:$O$86,15,0))</f>
        <v>0</v>
      </c>
      <c r="W434" s="4">
        <f>IF(ISERROR(VLOOKUP($T$434,'TAR FIN'!$A$1:$O$86,15,0)),0,VLOOKUP($T$434,'TAR FIN'!$A$1:$O$86,15,0))</f>
        <v>430.35</v>
      </c>
      <c r="X434" s="4">
        <f>IF(ISERROR(VLOOKUP($U$434,'TAR FIN'!$A$1:$O$86,15,0)),0,VLOOKUP($U$434,'TAR FIN'!$A$1:$O$86,15,0))</f>
        <v>186.16</v>
      </c>
      <c r="Y434" s="4"/>
      <c r="Z434" s="4">
        <f ca="1">('TUSD BE'!$AM$33+'TUSD BF'!$AM$33+'TUSD CVA'!$AM$33)*(1-CUSTOS!$M$38)</f>
        <v>536.63434130853489</v>
      </c>
      <c r="AA434" s="4">
        <f>('TE BE'!$AB$24+'TE BF'!$AB$24+'TE CVA'!$AB$24)*(1-CUSTOS!$M$38)</f>
        <v>184.7746360391113</v>
      </c>
      <c r="AB434" s="4">
        <f>$K$434*$V$434</f>
        <v>0</v>
      </c>
      <c r="AC434" s="4">
        <f>$M$434*$W$434</f>
        <v>712883.81235000002</v>
      </c>
      <c r="AD434" s="4">
        <f>$O$434*$X$434</f>
        <v>308377.94935999997</v>
      </c>
      <c r="AE434" s="4">
        <f>$K$434*$Y$434</f>
        <v>0</v>
      </c>
      <c r="AF434" s="4">
        <f ca="1">$M$434*$Z$434</f>
        <v>888946.05569875555</v>
      </c>
      <c r="AG434" s="4">
        <f>$O$434*$AA$434</f>
        <v>306083.06486614468</v>
      </c>
    </row>
    <row r="435" spans="1:33" ht="11.25" customHeight="1" x14ac:dyDescent="0.25">
      <c r="A435" s="3" t="s">
        <v>27</v>
      </c>
      <c r="B435" s="3" t="s">
        <v>41</v>
      </c>
      <c r="C435" s="3" t="s">
        <v>23</v>
      </c>
      <c r="D435" s="3" t="s">
        <v>42</v>
      </c>
      <c r="E435" s="3" t="s">
        <v>25</v>
      </c>
      <c r="F435" s="3" t="s">
        <v>25</v>
      </c>
      <c r="G435" s="3" t="s">
        <v>25</v>
      </c>
      <c r="H435" s="3" t="s">
        <v>25</v>
      </c>
      <c r="I435" s="6">
        <v>44501</v>
      </c>
      <c r="J435" s="4">
        <v>0</v>
      </c>
      <c r="K435" s="4">
        <v>0</v>
      </c>
      <c r="L435" s="4">
        <v>-2.605</v>
      </c>
      <c r="M435" s="4">
        <v>-2.605</v>
      </c>
      <c r="N435" s="4">
        <v>-2.605</v>
      </c>
      <c r="O435" s="4">
        <v>-2.605</v>
      </c>
      <c r="P435" s="4">
        <v>0</v>
      </c>
      <c r="Q435" s="3" t="s">
        <v>26</v>
      </c>
      <c r="R435" s="3">
        <v>0</v>
      </c>
      <c r="S435" s="4">
        <v>0</v>
      </c>
      <c r="T435" s="4">
        <v>42</v>
      </c>
      <c r="U435" s="4">
        <v>63</v>
      </c>
      <c r="V435" s="4">
        <f>IF(ISERROR(VLOOKUP($S$435,'TAR FIN'!$A$1:$O$86,15,0)),0,VLOOKUP($S$435,'TAR FIN'!$A$1:$O$86,15,0))</f>
        <v>0</v>
      </c>
      <c r="W435" s="4">
        <f>IF(ISERROR(VLOOKUP($T$435,'TAR FIN'!$A$1:$O$86,15,0)),0,VLOOKUP($T$435,'TAR FIN'!$A$1:$O$86,15,0))</f>
        <v>430.35</v>
      </c>
      <c r="X435" s="4">
        <f>IF(ISERROR(VLOOKUP($U$435,'TAR FIN'!$A$1:$O$86,15,0)),0,VLOOKUP($U$435,'TAR FIN'!$A$1:$O$86,15,0))</f>
        <v>186.16</v>
      </c>
      <c r="Y435" s="4"/>
      <c r="Z435" s="4">
        <f ca="1">('TUSD BE'!$AM$33+'TUSD BF'!$AM$33+'TUSD CVA'!$AM$33)*(1-CUSTOS!$M$38)</f>
        <v>536.63434130853489</v>
      </c>
      <c r="AA435" s="4">
        <f>('TE BE'!$AB$24+'TE BF'!$AB$24+'TE CVA'!$AB$24)*(1-CUSTOS!$M$38)</f>
        <v>184.7746360391113</v>
      </c>
      <c r="AB435" s="4">
        <f>$K$435*$V$435</f>
        <v>0</v>
      </c>
      <c r="AC435" s="4">
        <f>$M$435*$W$435</f>
        <v>-1121.0617500000001</v>
      </c>
      <c r="AD435" s="4">
        <f>$O$435*$X$435</f>
        <v>-484.9468</v>
      </c>
      <c r="AE435" s="4">
        <f>$K$435*$Y$435</f>
        <v>0</v>
      </c>
      <c r="AF435" s="4">
        <f ca="1">$M$435*$Z$435</f>
        <v>-1397.9324591087334</v>
      </c>
      <c r="AG435" s="4">
        <f>$O$435*$AA$435</f>
        <v>-481.33792688188493</v>
      </c>
    </row>
    <row r="436" spans="1:33" ht="11.25" customHeight="1" x14ac:dyDescent="0.25">
      <c r="A436" s="3" t="s">
        <v>28</v>
      </c>
      <c r="B436" s="3" t="s">
        <v>41</v>
      </c>
      <c r="C436" s="3" t="s">
        <v>23</v>
      </c>
      <c r="D436" s="3" t="s">
        <v>42</v>
      </c>
      <c r="E436" s="3" t="s">
        <v>25</v>
      </c>
      <c r="F436" s="3" t="s">
        <v>25</v>
      </c>
      <c r="G436" s="3" t="s">
        <v>25</v>
      </c>
      <c r="H436" s="3" t="s">
        <v>25</v>
      </c>
      <c r="I436" s="6">
        <v>44501</v>
      </c>
      <c r="J436" s="4">
        <v>0</v>
      </c>
      <c r="K436" s="4">
        <v>0</v>
      </c>
      <c r="L436" s="4">
        <v>59.811999999999998</v>
      </c>
      <c r="M436" s="4">
        <v>59.811999999999998</v>
      </c>
      <c r="N436" s="4">
        <v>59.811999999999998</v>
      </c>
      <c r="O436" s="4">
        <v>59.811999999999998</v>
      </c>
      <c r="P436" s="4">
        <v>0</v>
      </c>
      <c r="Q436" s="3" t="s">
        <v>26</v>
      </c>
      <c r="R436" s="3">
        <v>0</v>
      </c>
      <c r="S436" s="4">
        <v>0</v>
      </c>
      <c r="T436" s="4">
        <v>42</v>
      </c>
      <c r="U436" s="4">
        <v>63</v>
      </c>
      <c r="V436" s="4">
        <f>IF(ISERROR(VLOOKUP($S$436,'TAR FIN'!$A$1:$O$86,15,0)),0,VLOOKUP($S$436,'TAR FIN'!$A$1:$O$86,15,0))</f>
        <v>0</v>
      </c>
      <c r="W436" s="4">
        <f>IF(ISERROR(VLOOKUP($T$436,'TAR FIN'!$A$1:$O$86,15,0)),0,VLOOKUP($T$436,'TAR FIN'!$A$1:$O$86,15,0))</f>
        <v>430.35</v>
      </c>
      <c r="X436" s="4">
        <f>IF(ISERROR(VLOOKUP($U$436,'TAR FIN'!$A$1:$O$86,15,0)),0,VLOOKUP($U$436,'TAR FIN'!$A$1:$O$86,15,0))</f>
        <v>186.16</v>
      </c>
      <c r="Y436" s="4"/>
      <c r="Z436" s="4">
        <f ca="1">('TUSD BE'!$AM$33+'TUSD BF'!$AM$33+'TUSD CVA'!$AM$33)*(1-CUSTOS!$M$38)</f>
        <v>536.63434130853489</v>
      </c>
      <c r="AA436" s="4">
        <f>('TE BE'!$AB$24+'TE BF'!$AB$24+'TE CVA'!$AB$24)*(1-CUSTOS!$M$38)</f>
        <v>184.7746360391113</v>
      </c>
      <c r="AB436" s="4">
        <f>$K$436*$V$436</f>
        <v>0</v>
      </c>
      <c r="AC436" s="4">
        <f>$M$436*$W$436</f>
        <v>25740.0942</v>
      </c>
      <c r="AD436" s="4">
        <f>$O$436*$X$436</f>
        <v>11134.601919999999</v>
      </c>
      <c r="AE436" s="4">
        <f>$K$436*$Y$436</f>
        <v>0</v>
      </c>
      <c r="AF436" s="4">
        <f ca="1">$M$436*$Z$436</f>
        <v>32097.173222346086</v>
      </c>
      <c r="AG436" s="4">
        <f>$O$436*$AA$436</f>
        <v>11051.740530771325</v>
      </c>
    </row>
    <row r="437" spans="1:33" ht="11.25" customHeight="1" x14ac:dyDescent="0.25">
      <c r="A437" s="3" t="s">
        <v>21</v>
      </c>
      <c r="B437" s="3" t="s">
        <v>41</v>
      </c>
      <c r="C437" s="3" t="s">
        <v>23</v>
      </c>
      <c r="D437" s="3" t="s">
        <v>42</v>
      </c>
      <c r="E437" s="3" t="s">
        <v>25</v>
      </c>
      <c r="F437" s="3" t="s">
        <v>25</v>
      </c>
      <c r="G437" s="3" t="s">
        <v>25</v>
      </c>
      <c r="H437" s="3" t="s">
        <v>25</v>
      </c>
      <c r="I437" s="6">
        <v>44531</v>
      </c>
      <c r="J437" s="4">
        <v>0</v>
      </c>
      <c r="K437" s="4">
        <v>0</v>
      </c>
      <c r="L437" s="4">
        <v>1717.56</v>
      </c>
      <c r="M437" s="4">
        <v>1717.56</v>
      </c>
      <c r="N437" s="4">
        <v>1717.56</v>
      </c>
      <c r="O437" s="4">
        <v>1717.56</v>
      </c>
      <c r="P437" s="4">
        <v>4543</v>
      </c>
      <c r="Q437" s="3" t="s">
        <v>26</v>
      </c>
      <c r="R437" s="3">
        <v>0</v>
      </c>
      <c r="S437" s="4">
        <v>0</v>
      </c>
      <c r="T437" s="4">
        <v>42</v>
      </c>
      <c r="U437" s="4">
        <v>63</v>
      </c>
      <c r="V437" s="4">
        <f>IF(ISERROR(VLOOKUP($S$437,'TAR FIN'!$A$1:$O$86,15,0)),0,VLOOKUP($S$437,'TAR FIN'!$A$1:$O$86,15,0))</f>
        <v>0</v>
      </c>
      <c r="W437" s="4">
        <f>IF(ISERROR(VLOOKUP($T$437,'TAR FIN'!$A$1:$O$86,15,0)),0,VLOOKUP($T$437,'TAR FIN'!$A$1:$O$86,15,0))</f>
        <v>430.35</v>
      </c>
      <c r="X437" s="4">
        <f>IF(ISERROR(VLOOKUP($U$437,'TAR FIN'!$A$1:$O$86,15,0)),0,VLOOKUP($U$437,'TAR FIN'!$A$1:$O$86,15,0))</f>
        <v>186.16</v>
      </c>
      <c r="Y437" s="4"/>
      <c r="Z437" s="4">
        <f ca="1">('TUSD BE'!$AM$33+'TUSD BF'!$AM$33+'TUSD CVA'!$AM$33)*(1-CUSTOS!$M$38)</f>
        <v>536.63434130853489</v>
      </c>
      <c r="AA437" s="4">
        <f>('TE BE'!$AB$24+'TE BF'!$AB$24+'TE CVA'!$AB$24)*(1-CUSTOS!$M$38)</f>
        <v>184.7746360391113</v>
      </c>
      <c r="AB437" s="4">
        <f>$K$437*$V$437</f>
        <v>0</v>
      </c>
      <c r="AC437" s="4">
        <f>$M$437*$W$437</f>
        <v>739151.946</v>
      </c>
      <c r="AD437" s="4">
        <f>$O$437*$X$437</f>
        <v>319740.96960000001</v>
      </c>
      <c r="AE437" s="4">
        <f>$K$437*$Y$437</f>
        <v>0</v>
      </c>
      <c r="AF437" s="4">
        <f ca="1">$M$437*$Z$437</f>
        <v>921701.67925788718</v>
      </c>
      <c r="AG437" s="4">
        <f>$O$437*$AA$437</f>
        <v>317361.52387533599</v>
      </c>
    </row>
    <row r="438" spans="1:33" ht="11.25" customHeight="1" x14ac:dyDescent="0.25">
      <c r="A438" s="3" t="s">
        <v>27</v>
      </c>
      <c r="B438" s="3" t="s">
        <v>41</v>
      </c>
      <c r="C438" s="3" t="s">
        <v>23</v>
      </c>
      <c r="D438" s="3" t="s">
        <v>42</v>
      </c>
      <c r="E438" s="3" t="s">
        <v>25</v>
      </c>
      <c r="F438" s="3" t="s">
        <v>25</v>
      </c>
      <c r="G438" s="3" t="s">
        <v>25</v>
      </c>
      <c r="H438" s="3" t="s">
        <v>25</v>
      </c>
      <c r="I438" s="6">
        <v>44531</v>
      </c>
      <c r="J438" s="4">
        <v>0</v>
      </c>
      <c r="K438" s="4">
        <v>0</v>
      </c>
      <c r="L438" s="4">
        <v>-6.2789999999999999</v>
      </c>
      <c r="M438" s="4">
        <v>-6.2789999999999999</v>
      </c>
      <c r="N438" s="4">
        <v>-6.2789999999999999</v>
      </c>
      <c r="O438" s="4">
        <v>-6.2789999999999999</v>
      </c>
      <c r="P438" s="4">
        <v>0</v>
      </c>
      <c r="Q438" s="3" t="s">
        <v>26</v>
      </c>
      <c r="R438" s="3">
        <v>0</v>
      </c>
      <c r="S438" s="4">
        <v>0</v>
      </c>
      <c r="T438" s="4">
        <v>42</v>
      </c>
      <c r="U438" s="4">
        <v>63</v>
      </c>
      <c r="V438" s="4">
        <f>IF(ISERROR(VLOOKUP($S$438,'TAR FIN'!$A$1:$O$86,15,0)),0,VLOOKUP($S$438,'TAR FIN'!$A$1:$O$86,15,0))</f>
        <v>0</v>
      </c>
      <c r="W438" s="4">
        <f>IF(ISERROR(VLOOKUP($T$438,'TAR FIN'!$A$1:$O$86,15,0)),0,VLOOKUP($T$438,'TAR FIN'!$A$1:$O$86,15,0))</f>
        <v>430.35</v>
      </c>
      <c r="X438" s="4">
        <f>IF(ISERROR(VLOOKUP($U$438,'TAR FIN'!$A$1:$O$86,15,0)),0,VLOOKUP($U$438,'TAR FIN'!$A$1:$O$86,15,0))</f>
        <v>186.16</v>
      </c>
      <c r="Y438" s="4"/>
      <c r="Z438" s="4">
        <f ca="1">('TUSD BE'!$AM$33+'TUSD BF'!$AM$33+'TUSD CVA'!$AM$33)*(1-CUSTOS!$M$38)</f>
        <v>536.63434130853489</v>
      </c>
      <c r="AA438" s="4">
        <f>('TE BE'!$AB$24+'TE BF'!$AB$24+'TE CVA'!$AB$24)*(1-CUSTOS!$M$38)</f>
        <v>184.7746360391113</v>
      </c>
      <c r="AB438" s="4">
        <f>$K$438*$V$438</f>
        <v>0</v>
      </c>
      <c r="AC438" s="4">
        <f>$M$438*$W$438</f>
        <v>-2702.1676500000003</v>
      </c>
      <c r="AD438" s="4">
        <f>$O$438*$X$438</f>
        <v>-1168.8986399999999</v>
      </c>
      <c r="AE438" s="4">
        <f>$K$438*$Y$438</f>
        <v>0</v>
      </c>
      <c r="AF438" s="4">
        <f ca="1">$M$438*$Z$438</f>
        <v>-3369.5270290762905</v>
      </c>
      <c r="AG438" s="4">
        <f>$O$438*$AA$438</f>
        <v>-1160.1999396895799</v>
      </c>
    </row>
    <row r="439" spans="1:33" ht="11.25" customHeight="1" x14ac:dyDescent="0.25">
      <c r="A439" s="3" t="s">
        <v>28</v>
      </c>
      <c r="B439" s="3" t="s">
        <v>41</v>
      </c>
      <c r="C439" s="3" t="s">
        <v>23</v>
      </c>
      <c r="D439" s="3" t="s">
        <v>42</v>
      </c>
      <c r="E439" s="3" t="s">
        <v>25</v>
      </c>
      <c r="F439" s="3" t="s">
        <v>25</v>
      </c>
      <c r="G439" s="3" t="s">
        <v>25</v>
      </c>
      <c r="H439" s="3" t="s">
        <v>25</v>
      </c>
      <c r="I439" s="6">
        <v>44531</v>
      </c>
      <c r="J439" s="4">
        <v>0</v>
      </c>
      <c r="K439" s="4">
        <v>0</v>
      </c>
      <c r="L439" s="4">
        <v>101.895</v>
      </c>
      <c r="M439" s="4">
        <v>101.895</v>
      </c>
      <c r="N439" s="4">
        <v>101.895</v>
      </c>
      <c r="O439" s="4">
        <v>101.895</v>
      </c>
      <c r="P439" s="4">
        <v>147</v>
      </c>
      <c r="Q439" s="3" t="s">
        <v>26</v>
      </c>
      <c r="R439" s="3">
        <v>0</v>
      </c>
      <c r="S439" s="4">
        <v>0</v>
      </c>
      <c r="T439" s="4">
        <v>42</v>
      </c>
      <c r="U439" s="4">
        <v>63</v>
      </c>
      <c r="V439" s="4">
        <f>IF(ISERROR(VLOOKUP($S$439,'TAR FIN'!$A$1:$O$86,15,0)),0,VLOOKUP($S$439,'TAR FIN'!$A$1:$O$86,15,0))</f>
        <v>0</v>
      </c>
      <c r="W439" s="4">
        <f>IF(ISERROR(VLOOKUP($T$439,'TAR FIN'!$A$1:$O$86,15,0)),0,VLOOKUP($T$439,'TAR FIN'!$A$1:$O$86,15,0))</f>
        <v>430.35</v>
      </c>
      <c r="X439" s="4">
        <f>IF(ISERROR(VLOOKUP($U$439,'TAR FIN'!$A$1:$O$86,15,0)),0,VLOOKUP($U$439,'TAR FIN'!$A$1:$O$86,15,0))</f>
        <v>186.16</v>
      </c>
      <c r="Y439" s="4"/>
      <c r="Z439" s="4">
        <f ca="1">('TUSD BE'!$AM$33+'TUSD BF'!$AM$33+'TUSD CVA'!$AM$33)*(1-CUSTOS!$M$38)</f>
        <v>536.63434130853489</v>
      </c>
      <c r="AA439" s="4">
        <f>('TE BE'!$AB$24+'TE BF'!$AB$24+'TE CVA'!$AB$24)*(1-CUSTOS!$M$38)</f>
        <v>184.7746360391113</v>
      </c>
      <c r="AB439" s="4">
        <f>$K$439*$V$439</f>
        <v>0</v>
      </c>
      <c r="AC439" s="4">
        <f>$M$439*$W$439</f>
        <v>43850.513250000004</v>
      </c>
      <c r="AD439" s="4">
        <f>$O$439*$X$439</f>
        <v>18968.7732</v>
      </c>
      <c r="AE439" s="4">
        <f>$K$439*$Y$439</f>
        <v>0</v>
      </c>
      <c r="AF439" s="4">
        <f ca="1">$M$439*$Z$439</f>
        <v>54680.356207633158</v>
      </c>
      <c r="AG439" s="4">
        <f>$O$439*$AA$439</f>
        <v>18827.611539205245</v>
      </c>
    </row>
    <row r="440" spans="1:33" ht="11.25" customHeight="1" x14ac:dyDescent="0.25">
      <c r="A440" s="3" t="s">
        <v>21</v>
      </c>
      <c r="B440" s="3" t="s">
        <v>41</v>
      </c>
      <c r="C440" s="3" t="s">
        <v>23</v>
      </c>
      <c r="D440" s="3" t="s">
        <v>42</v>
      </c>
      <c r="E440" s="3" t="s">
        <v>25</v>
      </c>
      <c r="F440" s="3" t="s">
        <v>25</v>
      </c>
      <c r="G440" s="3" t="s">
        <v>25</v>
      </c>
      <c r="H440" s="3" t="s">
        <v>25</v>
      </c>
      <c r="I440" s="6">
        <v>44562</v>
      </c>
      <c r="J440" s="4">
        <v>0</v>
      </c>
      <c r="K440" s="4">
        <v>0</v>
      </c>
      <c r="L440" s="4">
        <v>1907.8</v>
      </c>
      <c r="M440" s="4">
        <v>1907.8</v>
      </c>
      <c r="N440" s="4">
        <v>1907.8</v>
      </c>
      <c r="O440" s="4">
        <v>1907.8</v>
      </c>
      <c r="P440" s="4">
        <v>4550</v>
      </c>
      <c r="Q440" s="3" t="s">
        <v>26</v>
      </c>
      <c r="R440" s="3">
        <v>0</v>
      </c>
      <c r="S440" s="4">
        <v>0</v>
      </c>
      <c r="T440" s="4">
        <v>42</v>
      </c>
      <c r="U440" s="4">
        <v>63</v>
      </c>
      <c r="V440" s="4">
        <f>IF(ISERROR(VLOOKUP($S$440,'TAR FIN'!$A$1:$O$86,15,0)),0,VLOOKUP($S$440,'TAR FIN'!$A$1:$O$86,15,0))</f>
        <v>0</v>
      </c>
      <c r="W440" s="4">
        <f>IF(ISERROR(VLOOKUP($T$440,'TAR FIN'!$A$1:$O$86,15,0)),0,VLOOKUP($T$440,'TAR FIN'!$A$1:$O$86,15,0))</f>
        <v>430.35</v>
      </c>
      <c r="X440" s="4">
        <f>IF(ISERROR(VLOOKUP($U$440,'TAR FIN'!$A$1:$O$86,15,0)),0,VLOOKUP($U$440,'TAR FIN'!$A$1:$O$86,15,0))</f>
        <v>186.16</v>
      </c>
      <c r="Y440" s="4"/>
      <c r="Z440" s="4">
        <f ca="1">('TUSD BE'!$AM$33+'TUSD BF'!$AM$33+'TUSD CVA'!$AM$33)*(1-CUSTOS!$M$38)</f>
        <v>536.63434130853489</v>
      </c>
      <c r="AA440" s="4">
        <f>('TE BE'!$AB$24+'TE BF'!$AB$24+'TE CVA'!$AB$24)*(1-CUSTOS!$M$38)</f>
        <v>184.7746360391113</v>
      </c>
      <c r="AB440" s="4">
        <f>$K$440*$V$440</f>
        <v>0</v>
      </c>
      <c r="AC440" s="4">
        <f>$M$440*$W$440</f>
        <v>821021.73</v>
      </c>
      <c r="AD440" s="4">
        <f>$O$440*$X$440</f>
        <v>355156.04800000001</v>
      </c>
      <c r="AE440" s="4">
        <f>$K$440*$Y$440</f>
        <v>0</v>
      </c>
      <c r="AF440" s="4">
        <f ca="1">$M$440*$Z$440</f>
        <v>1023790.9963484228</v>
      </c>
      <c r="AG440" s="4">
        <f>$O$440*$AA$440</f>
        <v>352513.05063541653</v>
      </c>
    </row>
    <row r="441" spans="1:33" ht="11.25" customHeight="1" x14ac:dyDescent="0.25">
      <c r="A441" s="3" t="s">
        <v>27</v>
      </c>
      <c r="B441" s="3" t="s">
        <v>41</v>
      </c>
      <c r="C441" s="3" t="s">
        <v>23</v>
      </c>
      <c r="D441" s="3" t="s">
        <v>42</v>
      </c>
      <c r="E441" s="3" t="s">
        <v>25</v>
      </c>
      <c r="F441" s="3" t="s">
        <v>25</v>
      </c>
      <c r="G441" s="3" t="s">
        <v>25</v>
      </c>
      <c r="H441" s="3" t="s">
        <v>25</v>
      </c>
      <c r="I441" s="6">
        <v>44562</v>
      </c>
      <c r="J441" s="4">
        <v>0</v>
      </c>
      <c r="K441" s="4">
        <v>0</v>
      </c>
      <c r="L441" s="4">
        <v>-8.6609999999999996</v>
      </c>
      <c r="M441" s="4">
        <v>-8.6609999999999996</v>
      </c>
      <c r="N441" s="4">
        <v>-8.6609999999999996</v>
      </c>
      <c r="O441" s="4">
        <v>-8.6609999999999996</v>
      </c>
      <c r="P441" s="4">
        <v>0</v>
      </c>
      <c r="Q441" s="3" t="s">
        <v>26</v>
      </c>
      <c r="R441" s="3">
        <v>0</v>
      </c>
      <c r="S441" s="4">
        <v>0</v>
      </c>
      <c r="T441" s="4">
        <v>42</v>
      </c>
      <c r="U441" s="4">
        <v>63</v>
      </c>
      <c r="V441" s="4">
        <f>IF(ISERROR(VLOOKUP($S$441,'TAR FIN'!$A$1:$O$86,15,0)),0,VLOOKUP($S$441,'TAR FIN'!$A$1:$O$86,15,0))</f>
        <v>0</v>
      </c>
      <c r="W441" s="4">
        <f>IF(ISERROR(VLOOKUP($T$441,'TAR FIN'!$A$1:$O$86,15,0)),0,VLOOKUP($T$441,'TAR FIN'!$A$1:$O$86,15,0))</f>
        <v>430.35</v>
      </c>
      <c r="X441" s="4">
        <f>IF(ISERROR(VLOOKUP($U$441,'TAR FIN'!$A$1:$O$86,15,0)),0,VLOOKUP($U$441,'TAR FIN'!$A$1:$O$86,15,0))</f>
        <v>186.16</v>
      </c>
      <c r="Y441" s="4"/>
      <c r="Z441" s="4">
        <f ca="1">('TUSD BE'!$AM$33+'TUSD BF'!$AM$33+'TUSD CVA'!$AM$33)*(1-CUSTOS!$M$38)</f>
        <v>536.63434130853489</v>
      </c>
      <c r="AA441" s="4">
        <f>('TE BE'!$AB$24+'TE BF'!$AB$24+'TE CVA'!$AB$24)*(1-CUSTOS!$M$38)</f>
        <v>184.7746360391113</v>
      </c>
      <c r="AB441" s="4">
        <f>$K$441*$V$441</f>
        <v>0</v>
      </c>
      <c r="AC441" s="4">
        <f>$M$441*$W$441</f>
        <v>-3727.2613500000002</v>
      </c>
      <c r="AD441" s="4">
        <f>$O$441*$X$441</f>
        <v>-1612.3317599999998</v>
      </c>
      <c r="AE441" s="4">
        <f>$K$441*$Y$441</f>
        <v>0</v>
      </c>
      <c r="AF441" s="4">
        <f ca="1">$M$441*$Z$441</f>
        <v>-4647.7900300732208</v>
      </c>
      <c r="AG441" s="4">
        <f>$O$441*$AA$441</f>
        <v>-1600.3331227347428</v>
      </c>
    </row>
    <row r="442" spans="1:33" ht="11.25" customHeight="1" x14ac:dyDescent="0.25">
      <c r="A442" s="3" t="s">
        <v>28</v>
      </c>
      <c r="B442" s="3" t="s">
        <v>41</v>
      </c>
      <c r="C442" s="3" t="s">
        <v>23</v>
      </c>
      <c r="D442" s="3" t="s">
        <v>42</v>
      </c>
      <c r="E442" s="3" t="s">
        <v>25</v>
      </c>
      <c r="F442" s="3" t="s">
        <v>25</v>
      </c>
      <c r="G442" s="3" t="s">
        <v>25</v>
      </c>
      <c r="H442" s="3" t="s">
        <v>25</v>
      </c>
      <c r="I442" s="6">
        <v>44562</v>
      </c>
      <c r="J442" s="4">
        <v>0</v>
      </c>
      <c r="K442" s="4">
        <v>0</v>
      </c>
      <c r="L442" s="4">
        <v>67.525999999999996</v>
      </c>
      <c r="M442" s="4">
        <v>67.525999999999996</v>
      </c>
      <c r="N442" s="4">
        <v>67.525999999999996</v>
      </c>
      <c r="O442" s="4">
        <v>67.525999999999996</v>
      </c>
      <c r="P442" s="4">
        <v>149</v>
      </c>
      <c r="Q442" s="3" t="s">
        <v>26</v>
      </c>
      <c r="R442" s="3">
        <v>0</v>
      </c>
      <c r="S442" s="4">
        <v>0</v>
      </c>
      <c r="T442" s="4">
        <v>42</v>
      </c>
      <c r="U442" s="4">
        <v>63</v>
      </c>
      <c r="V442" s="4">
        <f>IF(ISERROR(VLOOKUP($S$442,'TAR FIN'!$A$1:$O$86,15,0)),0,VLOOKUP($S$442,'TAR FIN'!$A$1:$O$86,15,0))</f>
        <v>0</v>
      </c>
      <c r="W442" s="4">
        <f>IF(ISERROR(VLOOKUP($T$442,'TAR FIN'!$A$1:$O$86,15,0)),0,VLOOKUP($T$442,'TAR FIN'!$A$1:$O$86,15,0))</f>
        <v>430.35</v>
      </c>
      <c r="X442" s="4">
        <f>IF(ISERROR(VLOOKUP($U$442,'TAR FIN'!$A$1:$O$86,15,0)),0,VLOOKUP($U$442,'TAR FIN'!$A$1:$O$86,15,0))</f>
        <v>186.16</v>
      </c>
      <c r="Y442" s="4"/>
      <c r="Z442" s="4">
        <f ca="1">('TUSD BE'!$AM$33+'TUSD BF'!$AM$33+'TUSD CVA'!$AM$33)*(1-CUSTOS!$M$38)</f>
        <v>536.63434130853489</v>
      </c>
      <c r="AA442" s="4">
        <f>('TE BE'!$AB$24+'TE BF'!$AB$24+'TE CVA'!$AB$24)*(1-CUSTOS!$M$38)</f>
        <v>184.7746360391113</v>
      </c>
      <c r="AB442" s="4">
        <f>$K$442*$V$442</f>
        <v>0</v>
      </c>
      <c r="AC442" s="4">
        <f>$M$442*$W$442</f>
        <v>29059.8141</v>
      </c>
      <c r="AD442" s="4">
        <f>$O$442*$X$442</f>
        <v>12570.640159999999</v>
      </c>
      <c r="AE442" s="4">
        <f>$K$442*$Y$442</f>
        <v>0</v>
      </c>
      <c r="AF442" s="4">
        <f ca="1">$M$442*$Z$442</f>
        <v>36236.770531200127</v>
      </c>
      <c r="AG442" s="4">
        <f>$O$442*$AA$442</f>
        <v>12477.092073177029</v>
      </c>
    </row>
    <row r="443" spans="1:33" ht="11.25" customHeight="1" x14ac:dyDescent="0.25">
      <c r="A443" s="3" t="s">
        <v>21</v>
      </c>
      <c r="B443" s="3" t="s">
        <v>41</v>
      </c>
      <c r="C443" s="3" t="s">
        <v>23</v>
      </c>
      <c r="D443" s="3" t="s">
        <v>42</v>
      </c>
      <c r="E443" s="3" t="s">
        <v>25</v>
      </c>
      <c r="F443" s="3" t="s">
        <v>25</v>
      </c>
      <c r="G443" s="3" t="s">
        <v>25</v>
      </c>
      <c r="H443" s="3" t="s">
        <v>25</v>
      </c>
      <c r="I443" s="6">
        <v>44593</v>
      </c>
      <c r="J443" s="4">
        <v>0</v>
      </c>
      <c r="K443" s="4">
        <v>0</v>
      </c>
      <c r="L443" s="4">
        <v>1891.9839999999999</v>
      </c>
      <c r="M443" s="4">
        <v>1891.9839999999999</v>
      </c>
      <c r="N443" s="4">
        <v>1891.9839999999999</v>
      </c>
      <c r="O443" s="4">
        <v>1891.9839999999999</v>
      </c>
      <c r="P443" s="4">
        <v>4553</v>
      </c>
      <c r="Q443" s="3" t="s">
        <v>26</v>
      </c>
      <c r="R443" s="3">
        <v>0</v>
      </c>
      <c r="S443" s="4">
        <v>0</v>
      </c>
      <c r="T443" s="4">
        <v>42</v>
      </c>
      <c r="U443" s="4">
        <v>63</v>
      </c>
      <c r="V443" s="4">
        <f>IF(ISERROR(VLOOKUP($S$443,'TAR FIN'!$A$1:$O$86,15,0)),0,VLOOKUP($S$443,'TAR FIN'!$A$1:$O$86,15,0))</f>
        <v>0</v>
      </c>
      <c r="W443" s="4">
        <f>IF(ISERROR(VLOOKUP($T$443,'TAR FIN'!$A$1:$O$86,15,0)),0,VLOOKUP($T$443,'TAR FIN'!$A$1:$O$86,15,0))</f>
        <v>430.35</v>
      </c>
      <c r="X443" s="4">
        <f>IF(ISERROR(VLOOKUP($U$443,'TAR FIN'!$A$1:$O$86,15,0)),0,VLOOKUP($U$443,'TAR FIN'!$A$1:$O$86,15,0))</f>
        <v>186.16</v>
      </c>
      <c r="Y443" s="4"/>
      <c r="Z443" s="4">
        <f ca="1">('TUSD BE'!$AM$33+'TUSD BF'!$AM$33+'TUSD CVA'!$AM$33)*(1-CUSTOS!$M$38)</f>
        <v>536.63434130853489</v>
      </c>
      <c r="AA443" s="4">
        <f>('TE BE'!$AB$24+'TE BF'!$AB$24+'TE CVA'!$AB$24)*(1-CUSTOS!$M$38)</f>
        <v>184.7746360391113</v>
      </c>
      <c r="AB443" s="4">
        <f>$K$443*$V$443</f>
        <v>0</v>
      </c>
      <c r="AC443" s="4">
        <f>$M$443*$W$443</f>
        <v>814215.31440000003</v>
      </c>
      <c r="AD443" s="4">
        <f>$O$443*$X$443</f>
        <v>352211.74143999995</v>
      </c>
      <c r="AE443" s="4">
        <f>$K$443*$Y$443</f>
        <v>0</v>
      </c>
      <c r="AF443" s="4">
        <f ca="1">$M$443*$Z$443</f>
        <v>1015303.587606287</v>
      </c>
      <c r="AG443" s="4">
        <f>$O$443*$AA$443</f>
        <v>349590.65499182197</v>
      </c>
    </row>
    <row r="444" spans="1:33" ht="11.25" customHeight="1" x14ac:dyDescent="0.25">
      <c r="A444" s="3" t="s">
        <v>27</v>
      </c>
      <c r="B444" s="3" t="s">
        <v>41</v>
      </c>
      <c r="C444" s="3" t="s">
        <v>23</v>
      </c>
      <c r="D444" s="3" t="s">
        <v>42</v>
      </c>
      <c r="E444" s="3" t="s">
        <v>25</v>
      </c>
      <c r="F444" s="3" t="s">
        <v>25</v>
      </c>
      <c r="G444" s="3" t="s">
        <v>25</v>
      </c>
      <c r="H444" s="3" t="s">
        <v>25</v>
      </c>
      <c r="I444" s="6">
        <v>44593</v>
      </c>
      <c r="J444" s="4">
        <v>0</v>
      </c>
      <c r="K444" s="4">
        <v>0</v>
      </c>
      <c r="L444" s="4">
        <v>-3.4660000000000002</v>
      </c>
      <c r="M444" s="4">
        <v>-3.4660000000000002</v>
      </c>
      <c r="N444" s="4">
        <v>-3.4660000000000002</v>
      </c>
      <c r="O444" s="4">
        <v>-3.4660000000000002</v>
      </c>
      <c r="P444" s="4">
        <v>0</v>
      </c>
      <c r="Q444" s="3" t="s">
        <v>26</v>
      </c>
      <c r="R444" s="3">
        <v>0</v>
      </c>
      <c r="S444" s="4">
        <v>0</v>
      </c>
      <c r="T444" s="4">
        <v>42</v>
      </c>
      <c r="U444" s="4">
        <v>63</v>
      </c>
      <c r="V444" s="4">
        <f>IF(ISERROR(VLOOKUP($S$444,'TAR FIN'!$A$1:$O$86,15,0)),0,VLOOKUP($S$444,'TAR FIN'!$A$1:$O$86,15,0))</f>
        <v>0</v>
      </c>
      <c r="W444" s="4">
        <f>IF(ISERROR(VLOOKUP($T$444,'TAR FIN'!$A$1:$O$86,15,0)),0,VLOOKUP($T$444,'TAR FIN'!$A$1:$O$86,15,0))</f>
        <v>430.35</v>
      </c>
      <c r="X444" s="4">
        <f>IF(ISERROR(VLOOKUP($U$444,'TAR FIN'!$A$1:$O$86,15,0)),0,VLOOKUP($U$444,'TAR FIN'!$A$1:$O$86,15,0))</f>
        <v>186.16</v>
      </c>
      <c r="Y444" s="4"/>
      <c r="Z444" s="4">
        <f ca="1">('TUSD BE'!$AM$33+'TUSD BF'!$AM$33+'TUSD CVA'!$AM$33)*(1-CUSTOS!$M$38)</f>
        <v>536.63434130853489</v>
      </c>
      <c r="AA444" s="4">
        <f>('TE BE'!$AB$24+'TE BF'!$AB$24+'TE CVA'!$AB$24)*(1-CUSTOS!$M$38)</f>
        <v>184.7746360391113</v>
      </c>
      <c r="AB444" s="4">
        <f>$K$444*$V$444</f>
        <v>0</v>
      </c>
      <c r="AC444" s="4">
        <f>$M$444*$W$444</f>
        <v>-1491.5931</v>
      </c>
      <c r="AD444" s="4">
        <f>$O$444*$X$444</f>
        <v>-645.23055999999997</v>
      </c>
      <c r="AE444" s="4">
        <f>$K$444*$Y$444</f>
        <v>0</v>
      </c>
      <c r="AF444" s="4">
        <f ca="1">$M$444*$Z$444</f>
        <v>-1859.9746269753821</v>
      </c>
      <c r="AG444" s="4">
        <f>$O$444*$AA$444</f>
        <v>-640.42888851155976</v>
      </c>
    </row>
    <row r="445" spans="1:33" ht="11.25" customHeight="1" x14ac:dyDescent="0.25">
      <c r="A445" s="3" t="s">
        <v>28</v>
      </c>
      <c r="B445" s="3" t="s">
        <v>41</v>
      </c>
      <c r="C445" s="3" t="s">
        <v>23</v>
      </c>
      <c r="D445" s="3" t="s">
        <v>42</v>
      </c>
      <c r="E445" s="3" t="s">
        <v>25</v>
      </c>
      <c r="F445" s="3" t="s">
        <v>25</v>
      </c>
      <c r="G445" s="3" t="s">
        <v>25</v>
      </c>
      <c r="H445" s="3" t="s">
        <v>25</v>
      </c>
      <c r="I445" s="6">
        <v>44593</v>
      </c>
      <c r="J445" s="4">
        <v>0</v>
      </c>
      <c r="K445" s="4">
        <v>0</v>
      </c>
      <c r="L445" s="4">
        <v>89.018000000000001</v>
      </c>
      <c r="M445" s="4">
        <v>89.018000000000001</v>
      </c>
      <c r="N445" s="4">
        <v>89.018000000000001</v>
      </c>
      <c r="O445" s="4">
        <v>89.018000000000001</v>
      </c>
      <c r="P445" s="4">
        <v>153</v>
      </c>
      <c r="Q445" s="3" t="s">
        <v>26</v>
      </c>
      <c r="R445" s="3">
        <v>0</v>
      </c>
      <c r="S445" s="4">
        <v>0</v>
      </c>
      <c r="T445" s="4">
        <v>42</v>
      </c>
      <c r="U445" s="4">
        <v>63</v>
      </c>
      <c r="V445" s="4">
        <f>IF(ISERROR(VLOOKUP($S$445,'TAR FIN'!$A$1:$O$86,15,0)),0,VLOOKUP($S$445,'TAR FIN'!$A$1:$O$86,15,0))</f>
        <v>0</v>
      </c>
      <c r="W445" s="4">
        <f>IF(ISERROR(VLOOKUP($T$445,'TAR FIN'!$A$1:$O$86,15,0)),0,VLOOKUP($T$445,'TAR FIN'!$A$1:$O$86,15,0))</f>
        <v>430.35</v>
      </c>
      <c r="X445" s="4">
        <f>IF(ISERROR(VLOOKUP($U$445,'TAR FIN'!$A$1:$O$86,15,0)),0,VLOOKUP($U$445,'TAR FIN'!$A$1:$O$86,15,0))</f>
        <v>186.16</v>
      </c>
      <c r="Y445" s="4"/>
      <c r="Z445" s="4">
        <f ca="1">('TUSD BE'!$AM$33+'TUSD BF'!$AM$33+'TUSD CVA'!$AM$33)*(1-CUSTOS!$M$38)</f>
        <v>536.63434130853489</v>
      </c>
      <c r="AA445" s="4">
        <f>('TE BE'!$AB$24+'TE BF'!$AB$24+'TE CVA'!$AB$24)*(1-CUSTOS!$M$38)</f>
        <v>184.7746360391113</v>
      </c>
      <c r="AB445" s="4">
        <f>$K$445*$V$445</f>
        <v>0</v>
      </c>
      <c r="AC445" s="4">
        <f>$M$445*$W$445</f>
        <v>38308.8963</v>
      </c>
      <c r="AD445" s="4">
        <f>$O$445*$X$445</f>
        <v>16571.59088</v>
      </c>
      <c r="AE445" s="4">
        <f>$K$445*$Y$445</f>
        <v>0</v>
      </c>
      <c r="AF445" s="4">
        <f ca="1">$M$445*$Z$445</f>
        <v>47770.11579460316</v>
      </c>
      <c r="AG445" s="4">
        <f>$O$445*$AA$445</f>
        <v>16448.26855092961</v>
      </c>
    </row>
    <row r="446" spans="1:33" ht="11.25" customHeight="1" x14ac:dyDescent="0.25">
      <c r="A446" s="3" t="s">
        <v>21</v>
      </c>
      <c r="B446" s="3" t="s">
        <v>41</v>
      </c>
      <c r="C446" s="3" t="s">
        <v>23</v>
      </c>
      <c r="D446" s="3" t="s">
        <v>42</v>
      </c>
      <c r="E446" s="3" t="s">
        <v>25</v>
      </c>
      <c r="F446" s="3" t="s">
        <v>25</v>
      </c>
      <c r="G446" s="3" t="s">
        <v>25</v>
      </c>
      <c r="H446" s="3" t="s">
        <v>25</v>
      </c>
      <c r="I446" s="6">
        <v>44621</v>
      </c>
      <c r="J446" s="4">
        <v>0</v>
      </c>
      <c r="K446" s="4">
        <v>0</v>
      </c>
      <c r="L446" s="4">
        <v>1770.356</v>
      </c>
      <c r="M446" s="4">
        <v>1770.356</v>
      </c>
      <c r="N446" s="4">
        <v>1770.356</v>
      </c>
      <c r="O446" s="4">
        <v>1770.356</v>
      </c>
      <c r="P446" s="4">
        <v>4545</v>
      </c>
      <c r="Q446" s="3" t="s">
        <v>26</v>
      </c>
      <c r="R446" s="3">
        <v>0</v>
      </c>
      <c r="S446" s="4">
        <v>0</v>
      </c>
      <c r="T446" s="4">
        <v>42</v>
      </c>
      <c r="U446" s="4">
        <v>63</v>
      </c>
      <c r="V446" s="4">
        <f>IF(ISERROR(VLOOKUP($S$446,'TAR FIN'!$A$1:$O$86,15,0)),0,VLOOKUP($S$446,'TAR FIN'!$A$1:$O$86,15,0))</f>
        <v>0</v>
      </c>
      <c r="W446" s="4">
        <f>IF(ISERROR(VLOOKUP($T$446,'TAR FIN'!$A$1:$O$86,15,0)),0,VLOOKUP($T$446,'TAR FIN'!$A$1:$O$86,15,0))</f>
        <v>430.35</v>
      </c>
      <c r="X446" s="4">
        <f>IF(ISERROR(VLOOKUP($U$446,'TAR FIN'!$A$1:$O$86,15,0)),0,VLOOKUP($U$446,'TAR FIN'!$A$1:$O$86,15,0))</f>
        <v>186.16</v>
      </c>
      <c r="Y446" s="4"/>
      <c r="Z446" s="4">
        <f ca="1">('TUSD BE'!$AM$33+'TUSD BF'!$AM$33+'TUSD CVA'!$AM$33)*(1-CUSTOS!$M$38)</f>
        <v>536.63434130853489</v>
      </c>
      <c r="AA446" s="4">
        <f>('TE BE'!$AB$24+'TE BF'!$AB$24+'TE CVA'!$AB$24)*(1-CUSTOS!$M$38)</f>
        <v>184.7746360391113</v>
      </c>
      <c r="AB446" s="4">
        <f>$K$446*$V$446</f>
        <v>0</v>
      </c>
      <c r="AC446" s="4">
        <f>$M$446*$W$446</f>
        <v>761872.70460000006</v>
      </c>
      <c r="AD446" s="4">
        <f>$O$446*$X$446</f>
        <v>329569.47295999998</v>
      </c>
      <c r="AE446" s="4">
        <f>$K$446*$Y$446</f>
        <v>0</v>
      </c>
      <c r="AF446" s="4">
        <f ca="1">$M$446*$Z$446</f>
        <v>950033.82594161259</v>
      </c>
      <c r="AG446" s="4">
        <f>$O$446*$AA$446</f>
        <v>327116.88555965695</v>
      </c>
    </row>
    <row r="447" spans="1:33" ht="11.25" customHeight="1" x14ac:dyDescent="0.25">
      <c r="A447" s="3" t="s">
        <v>27</v>
      </c>
      <c r="B447" s="3" t="s">
        <v>41</v>
      </c>
      <c r="C447" s="3" t="s">
        <v>23</v>
      </c>
      <c r="D447" s="3" t="s">
        <v>42</v>
      </c>
      <c r="E447" s="3" t="s">
        <v>25</v>
      </c>
      <c r="F447" s="3" t="s">
        <v>25</v>
      </c>
      <c r="G447" s="3" t="s">
        <v>25</v>
      </c>
      <c r="H447" s="3" t="s">
        <v>25</v>
      </c>
      <c r="I447" s="6">
        <v>44621</v>
      </c>
      <c r="J447" s="4">
        <v>0</v>
      </c>
      <c r="K447" s="4">
        <v>0</v>
      </c>
      <c r="L447" s="4">
        <v>-0.95899999999999996</v>
      </c>
      <c r="M447" s="4">
        <v>-0.95899999999999996</v>
      </c>
      <c r="N447" s="4">
        <v>-0.95899999999999996</v>
      </c>
      <c r="O447" s="4">
        <v>-0.95899999999999996</v>
      </c>
      <c r="P447" s="4">
        <v>0</v>
      </c>
      <c r="Q447" s="3" t="s">
        <v>26</v>
      </c>
      <c r="R447" s="3">
        <v>0</v>
      </c>
      <c r="S447" s="4">
        <v>0</v>
      </c>
      <c r="T447" s="4">
        <v>42</v>
      </c>
      <c r="U447" s="4">
        <v>63</v>
      </c>
      <c r="V447" s="4">
        <f>IF(ISERROR(VLOOKUP($S$447,'TAR FIN'!$A$1:$O$86,15,0)),0,VLOOKUP($S$447,'TAR FIN'!$A$1:$O$86,15,0))</f>
        <v>0</v>
      </c>
      <c r="W447" s="4">
        <f>IF(ISERROR(VLOOKUP($T$447,'TAR FIN'!$A$1:$O$86,15,0)),0,VLOOKUP($T$447,'TAR FIN'!$A$1:$O$86,15,0))</f>
        <v>430.35</v>
      </c>
      <c r="X447" s="4">
        <f>IF(ISERROR(VLOOKUP($U$447,'TAR FIN'!$A$1:$O$86,15,0)),0,VLOOKUP($U$447,'TAR FIN'!$A$1:$O$86,15,0))</f>
        <v>186.16</v>
      </c>
      <c r="Y447" s="4"/>
      <c r="Z447" s="4">
        <f ca="1">('TUSD BE'!$AM$33+'TUSD BF'!$AM$33+'TUSD CVA'!$AM$33)*(1-CUSTOS!$M$38)</f>
        <v>536.63434130853489</v>
      </c>
      <c r="AA447" s="4">
        <f>('TE BE'!$AB$24+'TE BF'!$AB$24+'TE CVA'!$AB$24)*(1-CUSTOS!$M$38)</f>
        <v>184.7746360391113</v>
      </c>
      <c r="AB447" s="4">
        <f>$K$447*$V$447</f>
        <v>0</v>
      </c>
      <c r="AC447" s="4">
        <f>$M$447*$W$447</f>
        <v>-412.70564999999999</v>
      </c>
      <c r="AD447" s="4">
        <f>$O$447*$X$447</f>
        <v>-178.52743999999998</v>
      </c>
      <c r="AE447" s="4">
        <f>$K$447*$Y$447</f>
        <v>0</v>
      </c>
      <c r="AF447" s="4">
        <f ca="1">$M$447*$Z$447</f>
        <v>-514.63233331488493</v>
      </c>
      <c r="AG447" s="4">
        <f>$O$447*$AA$447</f>
        <v>-177.19887596150772</v>
      </c>
    </row>
    <row r="448" spans="1:33" ht="11.25" customHeight="1" x14ac:dyDescent="0.25">
      <c r="A448" s="3" t="s">
        <v>28</v>
      </c>
      <c r="B448" s="3" t="s">
        <v>41</v>
      </c>
      <c r="C448" s="3" t="s">
        <v>23</v>
      </c>
      <c r="D448" s="3" t="s">
        <v>42</v>
      </c>
      <c r="E448" s="3" t="s">
        <v>25</v>
      </c>
      <c r="F448" s="3" t="s">
        <v>25</v>
      </c>
      <c r="G448" s="3" t="s">
        <v>25</v>
      </c>
      <c r="H448" s="3" t="s">
        <v>25</v>
      </c>
      <c r="I448" s="6">
        <v>44621</v>
      </c>
      <c r="J448" s="4">
        <v>0</v>
      </c>
      <c r="K448" s="4">
        <v>0</v>
      </c>
      <c r="L448" s="4">
        <v>123.34399999999999</v>
      </c>
      <c r="M448" s="4">
        <v>123.34399999999999</v>
      </c>
      <c r="N448" s="4">
        <v>123.34399999999999</v>
      </c>
      <c r="O448" s="4">
        <v>123.34399999999999</v>
      </c>
      <c r="P448" s="4">
        <v>154</v>
      </c>
      <c r="Q448" s="3" t="s">
        <v>26</v>
      </c>
      <c r="R448" s="3">
        <v>0</v>
      </c>
      <c r="S448" s="4">
        <v>0</v>
      </c>
      <c r="T448" s="4">
        <v>42</v>
      </c>
      <c r="U448" s="4">
        <v>63</v>
      </c>
      <c r="V448" s="4">
        <f>IF(ISERROR(VLOOKUP($S$448,'TAR FIN'!$A$1:$O$86,15,0)),0,VLOOKUP($S$448,'TAR FIN'!$A$1:$O$86,15,0))</f>
        <v>0</v>
      </c>
      <c r="W448" s="4">
        <f>IF(ISERROR(VLOOKUP($T$448,'TAR FIN'!$A$1:$O$86,15,0)),0,VLOOKUP($T$448,'TAR FIN'!$A$1:$O$86,15,0))</f>
        <v>430.35</v>
      </c>
      <c r="X448" s="4">
        <f>IF(ISERROR(VLOOKUP($U$448,'TAR FIN'!$A$1:$O$86,15,0)),0,VLOOKUP($U$448,'TAR FIN'!$A$1:$O$86,15,0))</f>
        <v>186.16</v>
      </c>
      <c r="Y448" s="4"/>
      <c r="Z448" s="4">
        <f ca="1">('TUSD BE'!$AM$33+'TUSD BF'!$AM$33+'TUSD CVA'!$AM$33)*(1-CUSTOS!$M$38)</f>
        <v>536.63434130853489</v>
      </c>
      <c r="AA448" s="4">
        <f>('TE BE'!$AB$24+'TE BF'!$AB$24+'TE CVA'!$AB$24)*(1-CUSTOS!$M$38)</f>
        <v>184.7746360391113</v>
      </c>
      <c r="AB448" s="4">
        <f>$K$448*$V$448</f>
        <v>0</v>
      </c>
      <c r="AC448" s="4">
        <f>$M$448*$W$448</f>
        <v>53081.090400000001</v>
      </c>
      <c r="AD448" s="4">
        <f>$O$448*$X$448</f>
        <v>22961.71904</v>
      </c>
      <c r="AE448" s="4">
        <f>$K$448*$Y$448</f>
        <v>0</v>
      </c>
      <c r="AF448" s="4">
        <f ca="1">$M$448*$Z$448</f>
        <v>66190.626194359924</v>
      </c>
      <c r="AG448" s="4">
        <f>$O$448*$AA$448</f>
        <v>22790.842707608143</v>
      </c>
    </row>
    <row r="449" spans="1:33" ht="11.25" customHeight="1" x14ac:dyDescent="0.25">
      <c r="A449" s="3" t="s">
        <v>21</v>
      </c>
      <c r="B449" s="3" t="s">
        <v>41</v>
      </c>
      <c r="C449" s="3" t="s">
        <v>23</v>
      </c>
      <c r="D449" s="3" t="s">
        <v>42</v>
      </c>
      <c r="E449" s="3" t="s">
        <v>25</v>
      </c>
      <c r="F449" s="3" t="s">
        <v>25</v>
      </c>
      <c r="G449" s="3" t="s">
        <v>25</v>
      </c>
      <c r="H449" s="3" t="s">
        <v>25</v>
      </c>
      <c r="I449" s="6">
        <v>44652</v>
      </c>
      <c r="J449" s="4">
        <v>0</v>
      </c>
      <c r="K449" s="4">
        <v>0</v>
      </c>
      <c r="L449" s="4">
        <v>1604.8910000000001</v>
      </c>
      <c r="M449" s="4">
        <v>1604.8910000000001</v>
      </c>
      <c r="N449" s="4">
        <v>1604.8910000000001</v>
      </c>
      <c r="O449" s="4">
        <v>1604.8910000000001</v>
      </c>
      <c r="P449" s="4">
        <v>4522</v>
      </c>
      <c r="Q449" s="3" t="s">
        <v>26</v>
      </c>
      <c r="R449" s="3">
        <v>0</v>
      </c>
      <c r="S449" s="4">
        <v>0</v>
      </c>
      <c r="T449" s="4">
        <v>42</v>
      </c>
      <c r="U449" s="4">
        <v>63</v>
      </c>
      <c r="V449" s="4">
        <f>IF(ISERROR(VLOOKUP($S$449,'TAR FIN'!$A$1:$O$86,15,0)),0,VLOOKUP($S$449,'TAR FIN'!$A$1:$O$86,15,0))</f>
        <v>0</v>
      </c>
      <c r="W449" s="4">
        <f>IF(ISERROR(VLOOKUP($T$449,'TAR FIN'!$A$1:$O$86,15,0)),0,VLOOKUP($T$449,'TAR FIN'!$A$1:$O$86,15,0))</f>
        <v>430.35</v>
      </c>
      <c r="X449" s="4">
        <f>IF(ISERROR(VLOOKUP($U$449,'TAR FIN'!$A$1:$O$86,15,0)),0,VLOOKUP($U$449,'TAR FIN'!$A$1:$O$86,15,0))</f>
        <v>186.16</v>
      </c>
      <c r="Y449" s="4"/>
      <c r="Z449" s="4">
        <f ca="1">('TUSD BE'!$AM$33+'TUSD BF'!$AM$33+'TUSD CVA'!$AM$33)*(1-CUSTOS!$M$38)</f>
        <v>536.63434130853489</v>
      </c>
      <c r="AA449" s="4">
        <f>('TE BE'!$AB$24+'TE BF'!$AB$24+'TE CVA'!$AB$24)*(1-CUSTOS!$M$38)</f>
        <v>184.7746360391113</v>
      </c>
      <c r="AB449" s="4">
        <f>$K$449*$V$449</f>
        <v>0</v>
      </c>
      <c r="AC449" s="4">
        <f>$M$449*$W$449</f>
        <v>690664.84185000008</v>
      </c>
      <c r="AD449" s="4">
        <f>$O$449*$X$449</f>
        <v>298766.50855999999</v>
      </c>
      <c r="AE449" s="4">
        <f>$K$449*$Y$449</f>
        <v>0</v>
      </c>
      <c r="AF449" s="4">
        <f ca="1">$M$449*$Z$449</f>
        <v>861239.62465699587</v>
      </c>
      <c r="AG449" s="4">
        <f>$O$449*$AA$449</f>
        <v>296543.15040744538</v>
      </c>
    </row>
    <row r="450" spans="1:33" ht="11.25" customHeight="1" x14ac:dyDescent="0.25">
      <c r="A450" s="3" t="s">
        <v>27</v>
      </c>
      <c r="B450" s="3" t="s">
        <v>41</v>
      </c>
      <c r="C450" s="3" t="s">
        <v>23</v>
      </c>
      <c r="D450" s="3" t="s">
        <v>42</v>
      </c>
      <c r="E450" s="3" t="s">
        <v>25</v>
      </c>
      <c r="F450" s="3" t="s">
        <v>25</v>
      </c>
      <c r="G450" s="3" t="s">
        <v>25</v>
      </c>
      <c r="H450" s="3" t="s">
        <v>25</v>
      </c>
      <c r="I450" s="6">
        <v>44652</v>
      </c>
      <c r="J450" s="4">
        <v>0</v>
      </c>
      <c r="K450" s="4">
        <v>0</v>
      </c>
      <c r="L450" s="4">
        <v>-0.76500000000000001</v>
      </c>
      <c r="M450" s="4">
        <v>-0.76500000000000001</v>
      </c>
      <c r="N450" s="4">
        <v>-0.76500000000000001</v>
      </c>
      <c r="O450" s="4">
        <v>-0.76500000000000001</v>
      </c>
      <c r="P450" s="4">
        <v>0</v>
      </c>
      <c r="Q450" s="3" t="s">
        <v>26</v>
      </c>
      <c r="R450" s="3">
        <v>0</v>
      </c>
      <c r="S450" s="4">
        <v>0</v>
      </c>
      <c r="T450" s="4">
        <v>42</v>
      </c>
      <c r="U450" s="4">
        <v>63</v>
      </c>
      <c r="V450" s="4">
        <f>IF(ISERROR(VLOOKUP($S$450,'TAR FIN'!$A$1:$O$86,15,0)),0,VLOOKUP($S$450,'TAR FIN'!$A$1:$O$86,15,0))</f>
        <v>0</v>
      </c>
      <c r="W450" s="4">
        <f>IF(ISERROR(VLOOKUP($T$450,'TAR FIN'!$A$1:$O$86,15,0)),0,VLOOKUP($T$450,'TAR FIN'!$A$1:$O$86,15,0))</f>
        <v>430.35</v>
      </c>
      <c r="X450" s="4">
        <f>IF(ISERROR(VLOOKUP($U$450,'TAR FIN'!$A$1:$O$86,15,0)),0,VLOOKUP($U$450,'TAR FIN'!$A$1:$O$86,15,0))</f>
        <v>186.16</v>
      </c>
      <c r="Y450" s="4"/>
      <c r="Z450" s="4">
        <f ca="1">('TUSD BE'!$AM$33+'TUSD BF'!$AM$33+'TUSD CVA'!$AM$33)*(1-CUSTOS!$M$38)</f>
        <v>536.63434130853489</v>
      </c>
      <c r="AA450" s="4">
        <f>('TE BE'!$AB$24+'TE BF'!$AB$24+'TE CVA'!$AB$24)*(1-CUSTOS!$M$38)</f>
        <v>184.7746360391113</v>
      </c>
      <c r="AB450" s="4">
        <f>$K$450*$V$450</f>
        <v>0</v>
      </c>
      <c r="AC450" s="4">
        <f>$M$450*$W$450</f>
        <v>-329.21775000000002</v>
      </c>
      <c r="AD450" s="4">
        <f>$O$450*$X$450</f>
        <v>-142.41239999999999</v>
      </c>
      <c r="AE450" s="4">
        <f>$K$450*$Y$450</f>
        <v>0</v>
      </c>
      <c r="AF450" s="4">
        <f ca="1">$M$450*$Z$450</f>
        <v>-410.5252711010292</v>
      </c>
      <c r="AG450" s="4">
        <f>$O$450*$AA$450</f>
        <v>-141.35259656992014</v>
      </c>
    </row>
    <row r="451" spans="1:33" ht="11.25" customHeight="1" x14ac:dyDescent="0.25">
      <c r="A451" s="3" t="s">
        <v>28</v>
      </c>
      <c r="B451" s="3" t="s">
        <v>41</v>
      </c>
      <c r="C451" s="3" t="s">
        <v>23</v>
      </c>
      <c r="D451" s="3" t="s">
        <v>42</v>
      </c>
      <c r="E451" s="3" t="s">
        <v>25</v>
      </c>
      <c r="F451" s="3" t="s">
        <v>25</v>
      </c>
      <c r="G451" s="3" t="s">
        <v>25</v>
      </c>
      <c r="H451" s="3" t="s">
        <v>25</v>
      </c>
      <c r="I451" s="6">
        <v>44652</v>
      </c>
      <c r="J451" s="4">
        <v>0</v>
      </c>
      <c r="K451" s="4">
        <v>0</v>
      </c>
      <c r="L451" s="4">
        <v>96.867999999999995</v>
      </c>
      <c r="M451" s="4">
        <v>96.867999999999995</v>
      </c>
      <c r="N451" s="4">
        <v>96.867999999999995</v>
      </c>
      <c r="O451" s="4">
        <v>96.867999999999995</v>
      </c>
      <c r="P451" s="4">
        <v>162</v>
      </c>
      <c r="Q451" s="3" t="s">
        <v>26</v>
      </c>
      <c r="R451" s="3">
        <v>0</v>
      </c>
      <c r="S451" s="4">
        <v>0</v>
      </c>
      <c r="T451" s="4">
        <v>42</v>
      </c>
      <c r="U451" s="4">
        <v>63</v>
      </c>
      <c r="V451" s="4">
        <f>IF(ISERROR(VLOOKUP($S$451,'TAR FIN'!$A$1:$O$86,15,0)),0,VLOOKUP($S$451,'TAR FIN'!$A$1:$O$86,15,0))</f>
        <v>0</v>
      </c>
      <c r="W451" s="4">
        <f>IF(ISERROR(VLOOKUP($T$451,'TAR FIN'!$A$1:$O$86,15,0)),0,VLOOKUP($T$451,'TAR FIN'!$A$1:$O$86,15,0))</f>
        <v>430.35</v>
      </c>
      <c r="X451" s="4">
        <f>IF(ISERROR(VLOOKUP($U$451,'TAR FIN'!$A$1:$O$86,15,0)),0,VLOOKUP($U$451,'TAR FIN'!$A$1:$O$86,15,0))</f>
        <v>186.16</v>
      </c>
      <c r="Y451" s="4"/>
      <c r="Z451" s="4">
        <f ca="1">('TUSD BE'!$AM$33+'TUSD BF'!$AM$33+'TUSD CVA'!$AM$33)*(1-CUSTOS!$M$38)</f>
        <v>536.63434130853489</v>
      </c>
      <c r="AA451" s="4">
        <f>('TE BE'!$AB$24+'TE BF'!$AB$24+'TE CVA'!$AB$24)*(1-CUSTOS!$M$38)</f>
        <v>184.7746360391113</v>
      </c>
      <c r="AB451" s="4">
        <f>$K$451*$V$451</f>
        <v>0</v>
      </c>
      <c r="AC451" s="4">
        <f>$M$451*$W$451</f>
        <v>41687.143799999998</v>
      </c>
      <c r="AD451" s="4">
        <f>$O$451*$X$451</f>
        <v>18032.94688</v>
      </c>
      <c r="AE451" s="4">
        <f>$K$451*$Y$451</f>
        <v>0</v>
      </c>
      <c r="AF451" s="4">
        <f ca="1">$M$451*$Z$451</f>
        <v>51982.695373875154</v>
      </c>
      <c r="AG451" s="4">
        <f>$O$451*$AA$451</f>
        <v>17898.749443836634</v>
      </c>
    </row>
    <row r="452" spans="1:33" ht="11.25" customHeight="1" x14ac:dyDescent="0.25">
      <c r="A452" s="3" t="s">
        <v>21</v>
      </c>
      <c r="B452" s="3" t="s">
        <v>41</v>
      </c>
      <c r="C452" s="3" t="s">
        <v>23</v>
      </c>
      <c r="D452" s="3" t="s">
        <v>42</v>
      </c>
      <c r="E452" s="3" t="s">
        <v>25</v>
      </c>
      <c r="F452" s="3" t="s">
        <v>25</v>
      </c>
      <c r="G452" s="3" t="s">
        <v>25</v>
      </c>
      <c r="H452" s="3" t="s">
        <v>25</v>
      </c>
      <c r="I452" s="6">
        <v>44682</v>
      </c>
      <c r="J452" s="4">
        <v>0</v>
      </c>
      <c r="K452" s="4">
        <v>0</v>
      </c>
      <c r="L452" s="4">
        <v>1492.9159999999999</v>
      </c>
      <c r="M452" s="4">
        <v>1492.9159999999999</v>
      </c>
      <c r="N452" s="4">
        <v>1492.9159999999999</v>
      </c>
      <c r="O452" s="4">
        <v>1492.9159999999999</v>
      </c>
      <c r="P452" s="4">
        <v>4516</v>
      </c>
      <c r="Q452" s="3" t="s">
        <v>26</v>
      </c>
      <c r="R452" s="3">
        <v>0</v>
      </c>
      <c r="S452" s="4">
        <v>0</v>
      </c>
      <c r="T452" s="4">
        <v>42</v>
      </c>
      <c r="U452" s="4">
        <v>63</v>
      </c>
      <c r="V452" s="4">
        <f>IF(ISERROR(VLOOKUP($S$452,'TAR FIN'!$A$1:$O$86,15,0)),0,VLOOKUP($S$452,'TAR FIN'!$A$1:$O$86,15,0))</f>
        <v>0</v>
      </c>
      <c r="W452" s="4">
        <f>IF(ISERROR(VLOOKUP($T$452,'TAR FIN'!$A$1:$O$86,15,0)),0,VLOOKUP($T$452,'TAR FIN'!$A$1:$O$86,15,0))</f>
        <v>430.35</v>
      </c>
      <c r="X452" s="4">
        <f>IF(ISERROR(VLOOKUP($U$452,'TAR FIN'!$A$1:$O$86,15,0)),0,VLOOKUP($U$452,'TAR FIN'!$A$1:$O$86,15,0))</f>
        <v>186.16</v>
      </c>
      <c r="Y452" s="4"/>
      <c r="Z452" s="4">
        <f ca="1">('TUSD BE'!$AM$33+'TUSD BF'!$AM$33+'TUSD CVA'!$AM$33)*(1-CUSTOS!$M$38)</f>
        <v>536.63434130853489</v>
      </c>
      <c r="AA452" s="4">
        <f>('TE BE'!$AB$24+'TE BF'!$AB$24+'TE CVA'!$AB$24)*(1-CUSTOS!$M$38)</f>
        <v>184.7746360391113</v>
      </c>
      <c r="AB452" s="4">
        <f>$K$452*$V$452</f>
        <v>0</v>
      </c>
      <c r="AC452" s="4">
        <f>$M$452*$W$452</f>
        <v>642476.40060000005</v>
      </c>
      <c r="AD452" s="4">
        <f>$O$452*$X$452</f>
        <v>277921.24255999998</v>
      </c>
      <c r="AE452" s="4">
        <f>$K$452*$Y$452</f>
        <v>0</v>
      </c>
      <c r="AF452" s="4">
        <f ca="1">$M$452*$Z$452</f>
        <v>801149.99428897258</v>
      </c>
      <c r="AG452" s="4">
        <f>$O$452*$AA$452</f>
        <v>275853.01053696586</v>
      </c>
    </row>
    <row r="453" spans="1:33" ht="11.25" customHeight="1" x14ac:dyDescent="0.25">
      <c r="A453" s="3" t="s">
        <v>27</v>
      </c>
      <c r="B453" s="3" t="s">
        <v>41</v>
      </c>
      <c r="C453" s="3" t="s">
        <v>23</v>
      </c>
      <c r="D453" s="3" t="s">
        <v>42</v>
      </c>
      <c r="E453" s="3" t="s">
        <v>25</v>
      </c>
      <c r="F453" s="3" t="s">
        <v>25</v>
      </c>
      <c r="G453" s="3" t="s">
        <v>25</v>
      </c>
      <c r="H453" s="3" t="s">
        <v>25</v>
      </c>
      <c r="I453" s="6">
        <v>44682</v>
      </c>
      <c r="J453" s="4">
        <v>0</v>
      </c>
      <c r="K453" s="4">
        <v>0</v>
      </c>
      <c r="L453" s="4">
        <v>-6.3559999999999999</v>
      </c>
      <c r="M453" s="4">
        <v>-6.3559999999999999</v>
      </c>
      <c r="N453" s="4">
        <v>-6.3559999999999999</v>
      </c>
      <c r="O453" s="4">
        <v>-6.3559999999999999</v>
      </c>
      <c r="P453" s="4">
        <v>0</v>
      </c>
      <c r="Q453" s="3" t="s">
        <v>26</v>
      </c>
      <c r="R453" s="3">
        <v>0</v>
      </c>
      <c r="S453" s="4">
        <v>0</v>
      </c>
      <c r="T453" s="4">
        <v>42</v>
      </c>
      <c r="U453" s="4">
        <v>63</v>
      </c>
      <c r="V453" s="4">
        <f>IF(ISERROR(VLOOKUP($S$453,'TAR FIN'!$A$1:$O$86,15,0)),0,VLOOKUP($S$453,'TAR FIN'!$A$1:$O$86,15,0))</f>
        <v>0</v>
      </c>
      <c r="W453" s="4">
        <f>IF(ISERROR(VLOOKUP($T$453,'TAR FIN'!$A$1:$O$86,15,0)),0,VLOOKUP($T$453,'TAR FIN'!$A$1:$O$86,15,0))</f>
        <v>430.35</v>
      </c>
      <c r="X453" s="4">
        <f>IF(ISERROR(VLOOKUP($U$453,'TAR FIN'!$A$1:$O$86,15,0)),0,VLOOKUP($U$453,'TAR FIN'!$A$1:$O$86,15,0))</f>
        <v>186.16</v>
      </c>
      <c r="Y453" s="4"/>
      <c r="Z453" s="4">
        <f ca="1">('TUSD BE'!$AM$33+'TUSD BF'!$AM$33+'TUSD CVA'!$AM$33)*(1-CUSTOS!$M$38)</f>
        <v>536.63434130853489</v>
      </c>
      <c r="AA453" s="4">
        <f>('TE BE'!$AB$24+'TE BF'!$AB$24+'TE CVA'!$AB$24)*(1-CUSTOS!$M$38)</f>
        <v>184.7746360391113</v>
      </c>
      <c r="AB453" s="4">
        <f>$K$453*$V$453</f>
        <v>0</v>
      </c>
      <c r="AC453" s="4">
        <f>$M$453*$W$453</f>
        <v>-2735.3045999999999</v>
      </c>
      <c r="AD453" s="4">
        <f>$O$453*$X$453</f>
        <v>-1183.23296</v>
      </c>
      <c r="AE453" s="4">
        <f>$K$453*$Y$453</f>
        <v>0</v>
      </c>
      <c r="AF453" s="4">
        <f ca="1">$M$453*$Z$453</f>
        <v>-3410.8478733570478</v>
      </c>
      <c r="AG453" s="4">
        <f>$O$453*$AA$453</f>
        <v>-1174.4275866645914</v>
      </c>
    </row>
    <row r="454" spans="1:33" ht="11.25" customHeight="1" x14ac:dyDescent="0.25">
      <c r="A454" s="3" t="s">
        <v>28</v>
      </c>
      <c r="B454" s="3" t="s">
        <v>41</v>
      </c>
      <c r="C454" s="3" t="s">
        <v>23</v>
      </c>
      <c r="D454" s="3" t="s">
        <v>42</v>
      </c>
      <c r="E454" s="3" t="s">
        <v>25</v>
      </c>
      <c r="F454" s="3" t="s">
        <v>25</v>
      </c>
      <c r="G454" s="3" t="s">
        <v>25</v>
      </c>
      <c r="H454" s="3" t="s">
        <v>25</v>
      </c>
      <c r="I454" s="6">
        <v>44682</v>
      </c>
      <c r="J454" s="4">
        <v>0</v>
      </c>
      <c r="K454" s="4">
        <v>0</v>
      </c>
      <c r="L454" s="4">
        <v>165.44300000000001</v>
      </c>
      <c r="M454" s="4">
        <v>165.44300000000001</v>
      </c>
      <c r="N454" s="4">
        <v>165.44300000000001</v>
      </c>
      <c r="O454" s="4">
        <v>165.44300000000001</v>
      </c>
      <c r="P454" s="4">
        <v>162</v>
      </c>
      <c r="Q454" s="3" t="s">
        <v>26</v>
      </c>
      <c r="R454" s="3">
        <v>0</v>
      </c>
      <c r="S454" s="4">
        <v>0</v>
      </c>
      <c r="T454" s="4">
        <v>42</v>
      </c>
      <c r="U454" s="4">
        <v>63</v>
      </c>
      <c r="V454" s="4">
        <f>IF(ISERROR(VLOOKUP($S$454,'TAR FIN'!$A$1:$O$86,15,0)),0,VLOOKUP($S$454,'TAR FIN'!$A$1:$O$86,15,0))</f>
        <v>0</v>
      </c>
      <c r="W454" s="4">
        <f>IF(ISERROR(VLOOKUP($T$454,'TAR FIN'!$A$1:$O$86,15,0)),0,VLOOKUP($T$454,'TAR FIN'!$A$1:$O$86,15,0))</f>
        <v>430.35</v>
      </c>
      <c r="X454" s="4">
        <f>IF(ISERROR(VLOOKUP($U$454,'TAR FIN'!$A$1:$O$86,15,0)),0,VLOOKUP($U$454,'TAR FIN'!$A$1:$O$86,15,0))</f>
        <v>186.16</v>
      </c>
      <c r="Y454" s="4"/>
      <c r="Z454" s="4">
        <f ca="1">('TUSD BE'!$AM$33+'TUSD BF'!$AM$33+'TUSD CVA'!$AM$33)*(1-CUSTOS!$M$38)</f>
        <v>536.63434130853489</v>
      </c>
      <c r="AA454" s="4">
        <f>('TE BE'!$AB$24+'TE BF'!$AB$24+'TE CVA'!$AB$24)*(1-CUSTOS!$M$38)</f>
        <v>184.7746360391113</v>
      </c>
      <c r="AB454" s="4">
        <f>$K$454*$V$454</f>
        <v>0</v>
      </c>
      <c r="AC454" s="4">
        <f>$M$454*$W$454</f>
        <v>71198.395050000006</v>
      </c>
      <c r="AD454" s="4">
        <f>$O$454*$X$454</f>
        <v>30798.868880000002</v>
      </c>
      <c r="AE454" s="4">
        <f>$K$454*$Y$454</f>
        <v>0</v>
      </c>
      <c r="AF454" s="4">
        <f ca="1">$M$454*$Z$454</f>
        <v>88782.395329107938</v>
      </c>
      <c r="AG454" s="4">
        <f>$O$454*$AA$454</f>
        <v>30569.670110218693</v>
      </c>
    </row>
    <row r="455" spans="1:33" ht="11.25" customHeight="1" x14ac:dyDescent="0.25">
      <c r="A455" s="3" t="s">
        <v>21</v>
      </c>
      <c r="B455" s="3" t="s">
        <v>41</v>
      </c>
      <c r="C455" s="3" t="s">
        <v>23</v>
      </c>
      <c r="D455" s="3" t="s">
        <v>42</v>
      </c>
      <c r="E455" s="3" t="s">
        <v>25</v>
      </c>
      <c r="F455" s="3" t="s">
        <v>25</v>
      </c>
      <c r="G455" s="3" t="s">
        <v>25</v>
      </c>
      <c r="H455" s="3" t="s">
        <v>25</v>
      </c>
      <c r="I455" s="6">
        <v>44713</v>
      </c>
      <c r="J455" s="4">
        <v>0</v>
      </c>
      <c r="K455" s="4">
        <v>0</v>
      </c>
      <c r="L455" s="4">
        <v>1487.491</v>
      </c>
      <c r="M455" s="4">
        <v>1487.491</v>
      </c>
      <c r="N455" s="4">
        <v>1487.491</v>
      </c>
      <c r="O455" s="4">
        <v>1487.491</v>
      </c>
      <c r="P455" s="4">
        <v>4523</v>
      </c>
      <c r="Q455" s="3" t="s">
        <v>26</v>
      </c>
      <c r="R455" s="3">
        <v>0</v>
      </c>
      <c r="S455" s="4">
        <v>0</v>
      </c>
      <c r="T455" s="4">
        <v>42</v>
      </c>
      <c r="U455" s="4">
        <v>63</v>
      </c>
      <c r="V455" s="4">
        <f>IF(ISERROR(VLOOKUP($S$455,'TAR FIN'!$A$1:$O$86,15,0)),0,VLOOKUP($S$455,'TAR FIN'!$A$1:$O$86,15,0))</f>
        <v>0</v>
      </c>
      <c r="W455" s="4">
        <f>IF(ISERROR(VLOOKUP($T$455,'TAR FIN'!$A$1:$O$86,15,0)),0,VLOOKUP($T$455,'TAR FIN'!$A$1:$O$86,15,0))</f>
        <v>430.35</v>
      </c>
      <c r="X455" s="4">
        <f>IF(ISERROR(VLOOKUP($U$455,'TAR FIN'!$A$1:$O$86,15,0)),0,VLOOKUP($U$455,'TAR FIN'!$A$1:$O$86,15,0))</f>
        <v>186.16</v>
      </c>
      <c r="Y455" s="4"/>
      <c r="Z455" s="4">
        <f ca="1">('TUSD BE'!$AM$33+'TUSD BF'!$AM$33+'TUSD CVA'!$AM$33)*(1-CUSTOS!$M$38)</f>
        <v>536.63434130853489</v>
      </c>
      <c r="AA455" s="4">
        <f>('TE BE'!$AB$24+'TE BF'!$AB$24+'TE CVA'!$AB$24)*(1-CUSTOS!$M$38)</f>
        <v>184.7746360391113</v>
      </c>
      <c r="AB455" s="4">
        <f>$K$455*$V$455</f>
        <v>0</v>
      </c>
      <c r="AC455" s="4">
        <f>$M$455*$W$455</f>
        <v>640141.75185</v>
      </c>
      <c r="AD455" s="4">
        <f>$O$455*$X$455</f>
        <v>276911.32455999998</v>
      </c>
      <c r="AE455" s="4">
        <f>$K$455*$Y$455</f>
        <v>0</v>
      </c>
      <c r="AF455" s="4">
        <f ca="1">$M$455*$Z$455</f>
        <v>798238.75298737385</v>
      </c>
      <c r="AG455" s="4">
        <f>$O$455*$AA$455</f>
        <v>274850.60813645372</v>
      </c>
    </row>
    <row r="456" spans="1:33" ht="11.25" customHeight="1" x14ac:dyDescent="0.25">
      <c r="A456" s="3" t="s">
        <v>27</v>
      </c>
      <c r="B456" s="3" t="s">
        <v>41</v>
      </c>
      <c r="C456" s="3" t="s">
        <v>23</v>
      </c>
      <c r="D456" s="3" t="s">
        <v>42</v>
      </c>
      <c r="E456" s="3" t="s">
        <v>25</v>
      </c>
      <c r="F456" s="3" t="s">
        <v>25</v>
      </c>
      <c r="G456" s="3" t="s">
        <v>25</v>
      </c>
      <c r="H456" s="3" t="s">
        <v>25</v>
      </c>
      <c r="I456" s="6">
        <v>44713</v>
      </c>
      <c r="J456" s="4">
        <v>0</v>
      </c>
      <c r="K456" s="4">
        <v>0</v>
      </c>
      <c r="L456" s="4">
        <v>-0.40400000000000003</v>
      </c>
      <c r="M456" s="4">
        <v>-0.40400000000000003</v>
      </c>
      <c r="N456" s="4">
        <v>-0.40400000000000003</v>
      </c>
      <c r="O456" s="4">
        <v>-0.40400000000000003</v>
      </c>
      <c r="P456" s="4">
        <v>0</v>
      </c>
      <c r="Q456" s="3" t="s">
        <v>26</v>
      </c>
      <c r="R456" s="3">
        <v>0</v>
      </c>
      <c r="S456" s="4">
        <v>0</v>
      </c>
      <c r="T456" s="4">
        <v>42</v>
      </c>
      <c r="U456" s="4">
        <v>63</v>
      </c>
      <c r="V456" s="4">
        <f>IF(ISERROR(VLOOKUP($S$456,'TAR FIN'!$A$1:$O$86,15,0)),0,VLOOKUP($S$456,'TAR FIN'!$A$1:$O$86,15,0))</f>
        <v>0</v>
      </c>
      <c r="W456" s="4">
        <f>IF(ISERROR(VLOOKUP($T$456,'TAR FIN'!$A$1:$O$86,15,0)),0,VLOOKUP($T$456,'TAR FIN'!$A$1:$O$86,15,0))</f>
        <v>430.35</v>
      </c>
      <c r="X456" s="4">
        <f>IF(ISERROR(VLOOKUP($U$456,'TAR FIN'!$A$1:$O$86,15,0)),0,VLOOKUP($U$456,'TAR FIN'!$A$1:$O$86,15,0))</f>
        <v>186.16</v>
      </c>
      <c r="Y456" s="4"/>
      <c r="Z456" s="4">
        <f ca="1">('TUSD BE'!$AM$33+'TUSD BF'!$AM$33+'TUSD CVA'!$AM$33)*(1-CUSTOS!$M$38)</f>
        <v>536.63434130853489</v>
      </c>
      <c r="AA456" s="4">
        <f>('TE BE'!$AB$24+'TE BF'!$AB$24+'TE CVA'!$AB$24)*(1-CUSTOS!$M$38)</f>
        <v>184.7746360391113</v>
      </c>
      <c r="AB456" s="4">
        <f>$K$456*$V$456</f>
        <v>0</v>
      </c>
      <c r="AC456" s="4">
        <f>$M$456*$W$456</f>
        <v>-173.86140000000003</v>
      </c>
      <c r="AD456" s="4">
        <f>$O$456*$X$456</f>
        <v>-75.208640000000003</v>
      </c>
      <c r="AE456" s="4">
        <f>$K$456*$Y$456</f>
        <v>0</v>
      </c>
      <c r="AF456" s="4">
        <f ca="1">$M$456*$Z$456</f>
        <v>-216.80027388864812</v>
      </c>
      <c r="AG456" s="4">
        <f>$O$456*$AA$456</f>
        <v>-74.648952959800965</v>
      </c>
    </row>
    <row r="457" spans="1:33" ht="11.25" customHeight="1" x14ac:dyDescent="0.25">
      <c r="A457" s="3" t="s">
        <v>28</v>
      </c>
      <c r="B457" s="3" t="s">
        <v>41</v>
      </c>
      <c r="C457" s="3" t="s">
        <v>23</v>
      </c>
      <c r="D457" s="3" t="s">
        <v>42</v>
      </c>
      <c r="E457" s="3" t="s">
        <v>25</v>
      </c>
      <c r="F457" s="3" t="s">
        <v>25</v>
      </c>
      <c r="G457" s="3" t="s">
        <v>25</v>
      </c>
      <c r="H457" s="3" t="s">
        <v>25</v>
      </c>
      <c r="I457" s="6">
        <v>44713</v>
      </c>
      <c r="J457" s="4">
        <v>0</v>
      </c>
      <c r="K457" s="4">
        <v>0</v>
      </c>
      <c r="L457" s="4">
        <v>217.73599999999999</v>
      </c>
      <c r="M457" s="4">
        <v>217.73599999999999</v>
      </c>
      <c r="N457" s="4">
        <v>217.73599999999999</v>
      </c>
      <c r="O457" s="4">
        <v>217.73599999999999</v>
      </c>
      <c r="P457" s="4">
        <v>160</v>
      </c>
      <c r="Q457" s="3" t="s">
        <v>26</v>
      </c>
      <c r="R457" s="3">
        <v>0</v>
      </c>
      <c r="S457" s="4">
        <v>0</v>
      </c>
      <c r="T457" s="4">
        <v>42</v>
      </c>
      <c r="U457" s="4">
        <v>63</v>
      </c>
      <c r="V457" s="4">
        <f>IF(ISERROR(VLOOKUP($S$457,'TAR FIN'!$A$1:$O$86,15,0)),0,VLOOKUP($S$457,'TAR FIN'!$A$1:$O$86,15,0))</f>
        <v>0</v>
      </c>
      <c r="W457" s="4">
        <f>IF(ISERROR(VLOOKUP($T$457,'TAR FIN'!$A$1:$O$86,15,0)),0,VLOOKUP($T$457,'TAR FIN'!$A$1:$O$86,15,0))</f>
        <v>430.35</v>
      </c>
      <c r="X457" s="4">
        <f>IF(ISERROR(VLOOKUP($U$457,'TAR FIN'!$A$1:$O$86,15,0)),0,VLOOKUP($U$457,'TAR FIN'!$A$1:$O$86,15,0))</f>
        <v>186.16</v>
      </c>
      <c r="Y457" s="4"/>
      <c r="Z457" s="4">
        <f ca="1">('TUSD BE'!$AM$33+'TUSD BF'!$AM$33+'TUSD CVA'!$AM$33)*(1-CUSTOS!$M$38)</f>
        <v>536.63434130853489</v>
      </c>
      <c r="AA457" s="4">
        <f>('TE BE'!$AB$24+'TE BF'!$AB$24+'TE CVA'!$AB$24)*(1-CUSTOS!$M$38)</f>
        <v>184.7746360391113</v>
      </c>
      <c r="AB457" s="4">
        <f>$K$457*$V$457</f>
        <v>0</v>
      </c>
      <c r="AC457" s="4">
        <f>$M$457*$W$457</f>
        <v>93702.687600000005</v>
      </c>
      <c r="AD457" s="4">
        <f>$O$457*$X$457</f>
        <v>40533.733759999996</v>
      </c>
      <c r="AE457" s="4">
        <f>$K$457*$Y$457</f>
        <v>0</v>
      </c>
      <c r="AF457" s="4">
        <f ca="1">$M$457*$Z$457</f>
        <v>116844.61493915514</v>
      </c>
      <c r="AG457" s="4">
        <f>$O$457*$AA$457</f>
        <v>40232.090152611934</v>
      </c>
    </row>
    <row r="458" spans="1:33" ht="11.25" customHeight="1" x14ac:dyDescent="0.25">
      <c r="A458" s="3" t="s">
        <v>21</v>
      </c>
      <c r="B458" s="3" t="s">
        <v>33</v>
      </c>
      <c r="C458" s="3" t="s">
        <v>23</v>
      </c>
      <c r="D458" s="3" t="s">
        <v>40</v>
      </c>
      <c r="E458" s="3" t="s">
        <v>25</v>
      </c>
      <c r="F458" s="3" t="s">
        <v>25</v>
      </c>
      <c r="G458" s="3" t="s">
        <v>25</v>
      </c>
      <c r="H458" s="3" t="s">
        <v>25</v>
      </c>
      <c r="I458" s="6">
        <v>44378</v>
      </c>
      <c r="J458" s="4">
        <v>0</v>
      </c>
      <c r="K458" s="4">
        <v>0</v>
      </c>
      <c r="L458" s="4">
        <v>117.46</v>
      </c>
      <c r="M458" s="4">
        <v>117.46</v>
      </c>
      <c r="N458" s="4">
        <v>117.46</v>
      </c>
      <c r="O458" s="4">
        <v>117.46</v>
      </c>
      <c r="P458" s="4">
        <v>358</v>
      </c>
      <c r="Q458" s="3" t="s">
        <v>26</v>
      </c>
      <c r="R458" s="3">
        <v>0</v>
      </c>
      <c r="S458" s="4">
        <v>0</v>
      </c>
      <c r="T458" s="4">
        <v>35</v>
      </c>
      <c r="U458" s="4">
        <v>83</v>
      </c>
      <c r="V458" s="4">
        <f>IF(ISERROR(VLOOKUP($S$458,'TAR FIN'!$A$1:$O$86,15,0)),0,VLOOKUP($S$458,'TAR FIN'!$A$1:$O$86,15,0))</f>
        <v>0</v>
      </c>
      <c r="W458" s="4">
        <f>IF(ISERROR(VLOOKUP($T$458,'TAR FIN'!$A$1:$O$86,15,0)),0,VLOOKUP($T$458,'TAR FIN'!$A$1:$O$86,15,0))</f>
        <v>489.03</v>
      </c>
      <c r="X458" s="4">
        <f>IF(ISERROR(VLOOKUP($U$458,'TAR FIN'!$A$1:$O$86,15,0)),0,VLOOKUP($U$458,'TAR FIN'!$A$1:$O$86,15,0))</f>
        <v>211.54</v>
      </c>
      <c r="Y458" s="4"/>
      <c r="Z458" s="4">
        <f ca="1">('TUSD BE'!$AM$48+'TUSD BF'!$AM$48+'TUSD CVA'!$AM$48)*1</f>
        <v>570.88759713673926</v>
      </c>
      <c r="AA458" s="4">
        <f>('TE BE'!$AB$39+'TE BF'!$AB$39+'TE CVA'!$AB$39)*1</f>
        <v>196.56876174373542</v>
      </c>
      <c r="AB458" s="4">
        <f>$K$458*$V$458</f>
        <v>0</v>
      </c>
      <c r="AC458" s="4">
        <f>$M$458*$W$458</f>
        <v>57441.46379999999</v>
      </c>
      <c r="AD458" s="4">
        <f>$O$458*$X$458</f>
        <v>24847.488399999998</v>
      </c>
      <c r="AE458" s="4">
        <f>$K$458*$Y$458</f>
        <v>0</v>
      </c>
      <c r="AF458" s="4">
        <f ca="1">$M$458*$Z$458</f>
        <v>67056.457159681391</v>
      </c>
      <c r="AG458" s="4">
        <f>$O$458*$AA$458</f>
        <v>23088.966754419162</v>
      </c>
    </row>
    <row r="459" spans="1:33" ht="11.25" customHeight="1" x14ac:dyDescent="0.25">
      <c r="A459" s="3" t="s">
        <v>28</v>
      </c>
      <c r="B459" s="3" t="s">
        <v>33</v>
      </c>
      <c r="C459" s="3" t="s">
        <v>23</v>
      </c>
      <c r="D459" s="3" t="s">
        <v>40</v>
      </c>
      <c r="E459" s="3" t="s">
        <v>25</v>
      </c>
      <c r="F459" s="3" t="s">
        <v>25</v>
      </c>
      <c r="G459" s="3" t="s">
        <v>25</v>
      </c>
      <c r="H459" s="3" t="s">
        <v>25</v>
      </c>
      <c r="I459" s="6">
        <v>44378</v>
      </c>
      <c r="J459" s="4">
        <v>0</v>
      </c>
      <c r="K459" s="4">
        <v>0</v>
      </c>
      <c r="L459" s="4">
        <v>12.364000000000001</v>
      </c>
      <c r="M459" s="4">
        <v>12.364000000000001</v>
      </c>
      <c r="N459" s="4">
        <v>12.364000000000001</v>
      </c>
      <c r="O459" s="4">
        <v>12.364000000000001</v>
      </c>
      <c r="P459" s="4">
        <v>21</v>
      </c>
      <c r="Q459" s="3" t="s">
        <v>26</v>
      </c>
      <c r="R459" s="3">
        <v>0</v>
      </c>
      <c r="S459" s="4">
        <v>0</v>
      </c>
      <c r="T459" s="4">
        <v>35</v>
      </c>
      <c r="U459" s="4">
        <v>83</v>
      </c>
      <c r="V459" s="4">
        <f>IF(ISERROR(VLOOKUP($S$459,'TAR FIN'!$A$1:$O$86,15,0)),0,VLOOKUP($S$459,'TAR FIN'!$A$1:$O$86,15,0))</f>
        <v>0</v>
      </c>
      <c r="W459" s="4">
        <f>IF(ISERROR(VLOOKUP($T$459,'TAR FIN'!$A$1:$O$86,15,0)),0,VLOOKUP($T$459,'TAR FIN'!$A$1:$O$86,15,0))</f>
        <v>489.03</v>
      </c>
      <c r="X459" s="4">
        <f>IF(ISERROR(VLOOKUP($U$459,'TAR FIN'!$A$1:$O$86,15,0)),0,VLOOKUP($U$459,'TAR FIN'!$A$1:$O$86,15,0))</f>
        <v>211.54</v>
      </c>
      <c r="Y459" s="4"/>
      <c r="Z459" s="4">
        <f ca="1">('TUSD BE'!$AM$48+'TUSD BF'!$AM$48+'TUSD CVA'!$AM$48)*1</f>
        <v>570.88759713673926</v>
      </c>
      <c r="AA459" s="4">
        <f>('TE BE'!$AB$39+'TE BF'!$AB$39+'TE CVA'!$AB$39)*1</f>
        <v>196.56876174373542</v>
      </c>
      <c r="AB459" s="4">
        <f>$K$459*$V$459</f>
        <v>0</v>
      </c>
      <c r="AC459" s="4">
        <f>$M$459*$W$459</f>
        <v>6046.3669200000004</v>
      </c>
      <c r="AD459" s="4">
        <f>$O$459*$X$459</f>
        <v>2615.48056</v>
      </c>
      <c r="AE459" s="4">
        <f>$K$459*$Y$459</f>
        <v>0</v>
      </c>
      <c r="AF459" s="4">
        <f ca="1">$M$459*$Z$459</f>
        <v>7058.454250998645</v>
      </c>
      <c r="AG459" s="4">
        <f>$O$459*$AA$459</f>
        <v>2430.376170199545</v>
      </c>
    </row>
    <row r="460" spans="1:33" ht="11.25" customHeight="1" x14ac:dyDescent="0.25">
      <c r="A460" s="3" t="s">
        <v>21</v>
      </c>
      <c r="B460" s="3" t="s">
        <v>33</v>
      </c>
      <c r="C460" s="3" t="s">
        <v>23</v>
      </c>
      <c r="D460" s="3" t="s">
        <v>40</v>
      </c>
      <c r="E460" s="3" t="s">
        <v>25</v>
      </c>
      <c r="F460" s="3" t="s">
        <v>25</v>
      </c>
      <c r="G460" s="3" t="s">
        <v>25</v>
      </c>
      <c r="H460" s="3" t="s">
        <v>25</v>
      </c>
      <c r="I460" s="6">
        <v>44409</v>
      </c>
      <c r="J460" s="4">
        <v>0</v>
      </c>
      <c r="K460" s="4">
        <v>0</v>
      </c>
      <c r="L460" s="4">
        <v>119.937</v>
      </c>
      <c r="M460" s="4">
        <v>119.937</v>
      </c>
      <c r="N460" s="4">
        <v>119.937</v>
      </c>
      <c r="O460" s="4">
        <v>119.937</v>
      </c>
      <c r="P460" s="4">
        <v>359</v>
      </c>
      <c r="Q460" s="3" t="s">
        <v>26</v>
      </c>
      <c r="R460" s="3">
        <v>0</v>
      </c>
      <c r="S460" s="4">
        <v>0</v>
      </c>
      <c r="T460" s="4">
        <v>35</v>
      </c>
      <c r="U460" s="4">
        <v>83</v>
      </c>
      <c r="V460" s="4">
        <f>IF(ISERROR(VLOOKUP($S$460,'TAR FIN'!$A$1:$O$86,15,0)),0,VLOOKUP($S$460,'TAR FIN'!$A$1:$O$86,15,0))</f>
        <v>0</v>
      </c>
      <c r="W460" s="4">
        <f>IF(ISERROR(VLOOKUP($T$460,'TAR FIN'!$A$1:$O$86,15,0)),0,VLOOKUP($T$460,'TAR FIN'!$A$1:$O$86,15,0))</f>
        <v>489.03</v>
      </c>
      <c r="X460" s="4">
        <f>IF(ISERROR(VLOOKUP($U$460,'TAR FIN'!$A$1:$O$86,15,0)),0,VLOOKUP($U$460,'TAR FIN'!$A$1:$O$86,15,0))</f>
        <v>211.54</v>
      </c>
      <c r="Y460" s="4"/>
      <c r="Z460" s="4">
        <f ca="1">('TUSD BE'!$AM$48+'TUSD BF'!$AM$48+'TUSD CVA'!$AM$48)*1</f>
        <v>570.88759713673926</v>
      </c>
      <c r="AA460" s="4">
        <f>('TE BE'!$AB$39+'TE BF'!$AB$39+'TE CVA'!$AB$39)*1</f>
        <v>196.56876174373542</v>
      </c>
      <c r="AB460" s="4">
        <f>$K$460*$V$460</f>
        <v>0</v>
      </c>
      <c r="AC460" s="4">
        <f>$M$460*$W$460</f>
        <v>58652.791109999998</v>
      </c>
      <c r="AD460" s="4">
        <f>$O$460*$X$460</f>
        <v>25371.472979999999</v>
      </c>
      <c r="AE460" s="4">
        <f>$K$460*$Y$460</f>
        <v>0</v>
      </c>
      <c r="AF460" s="4">
        <f ca="1">$M$460*$Z$460</f>
        <v>68470.5457377891</v>
      </c>
      <c r="AG460" s="4">
        <f>$O$460*$AA$460</f>
        <v>23575.867577258396</v>
      </c>
    </row>
    <row r="461" spans="1:33" ht="11.25" customHeight="1" x14ac:dyDescent="0.25">
      <c r="A461" s="3" t="s">
        <v>21</v>
      </c>
      <c r="B461" s="3" t="s">
        <v>33</v>
      </c>
      <c r="C461" s="3" t="s">
        <v>23</v>
      </c>
      <c r="D461" s="3" t="s">
        <v>40</v>
      </c>
      <c r="E461" s="3" t="s">
        <v>25</v>
      </c>
      <c r="F461" s="3" t="s">
        <v>25</v>
      </c>
      <c r="G461" s="3" t="s">
        <v>25</v>
      </c>
      <c r="H461" s="3" t="s">
        <v>25</v>
      </c>
      <c r="I461" s="6">
        <v>44440</v>
      </c>
      <c r="J461" s="4">
        <v>0</v>
      </c>
      <c r="K461" s="4">
        <v>0</v>
      </c>
      <c r="L461" s="4">
        <v>116.396</v>
      </c>
      <c r="M461" s="4">
        <v>116.396</v>
      </c>
      <c r="N461" s="4">
        <v>116.396</v>
      </c>
      <c r="O461" s="4">
        <v>116.396</v>
      </c>
      <c r="P461" s="4">
        <v>360</v>
      </c>
      <c r="Q461" s="3" t="s">
        <v>26</v>
      </c>
      <c r="R461" s="3">
        <v>0</v>
      </c>
      <c r="S461" s="4">
        <v>0</v>
      </c>
      <c r="T461" s="4">
        <v>35</v>
      </c>
      <c r="U461" s="4">
        <v>83</v>
      </c>
      <c r="V461" s="4">
        <f>IF(ISERROR(VLOOKUP($S$461,'TAR FIN'!$A$1:$O$86,15,0)),0,VLOOKUP($S$461,'TAR FIN'!$A$1:$O$86,15,0))</f>
        <v>0</v>
      </c>
      <c r="W461" s="4">
        <f>IF(ISERROR(VLOOKUP($T$461,'TAR FIN'!$A$1:$O$86,15,0)),0,VLOOKUP($T$461,'TAR FIN'!$A$1:$O$86,15,0))</f>
        <v>489.03</v>
      </c>
      <c r="X461" s="4">
        <f>IF(ISERROR(VLOOKUP($U$461,'TAR FIN'!$A$1:$O$86,15,0)),0,VLOOKUP($U$461,'TAR FIN'!$A$1:$O$86,15,0))</f>
        <v>211.54</v>
      </c>
      <c r="Y461" s="4"/>
      <c r="Z461" s="4">
        <f ca="1">('TUSD BE'!$AM$48+'TUSD BF'!$AM$48+'TUSD CVA'!$AM$48)*1</f>
        <v>570.88759713673926</v>
      </c>
      <c r="AA461" s="4">
        <f>('TE BE'!$AB$39+'TE BF'!$AB$39+'TE CVA'!$AB$39)*1</f>
        <v>196.56876174373542</v>
      </c>
      <c r="AB461" s="4">
        <f>$K$461*$V$461</f>
        <v>0</v>
      </c>
      <c r="AC461" s="4">
        <f>$M$461*$W$461</f>
        <v>56921.135879999994</v>
      </c>
      <c r="AD461" s="4">
        <f>$O$461*$X$461</f>
        <v>24622.40984</v>
      </c>
      <c r="AE461" s="4">
        <f>$K$461*$Y$461</f>
        <v>0</v>
      </c>
      <c r="AF461" s="4">
        <f ca="1">$M$461*$Z$461</f>
        <v>66449.032756327899</v>
      </c>
      <c r="AG461" s="4">
        <f>$O$461*$AA$461</f>
        <v>22879.817591923827</v>
      </c>
    </row>
    <row r="462" spans="1:33" ht="11.25" customHeight="1" x14ac:dyDescent="0.25">
      <c r="A462" s="3" t="s">
        <v>28</v>
      </c>
      <c r="B462" s="3" t="s">
        <v>33</v>
      </c>
      <c r="C462" s="3" t="s">
        <v>23</v>
      </c>
      <c r="D462" s="3" t="s">
        <v>40</v>
      </c>
      <c r="E462" s="3" t="s">
        <v>25</v>
      </c>
      <c r="F462" s="3" t="s">
        <v>25</v>
      </c>
      <c r="G462" s="3" t="s">
        <v>25</v>
      </c>
      <c r="H462" s="3" t="s">
        <v>25</v>
      </c>
      <c r="I462" s="6">
        <v>44440</v>
      </c>
      <c r="J462" s="4">
        <v>0</v>
      </c>
      <c r="K462" s="4">
        <v>0</v>
      </c>
      <c r="L462" s="4">
        <v>12.316000000000001</v>
      </c>
      <c r="M462" s="4">
        <v>12.316000000000001</v>
      </c>
      <c r="N462" s="4">
        <v>12.316000000000001</v>
      </c>
      <c r="O462" s="4">
        <v>12.316000000000001</v>
      </c>
      <c r="P462" s="4">
        <v>20</v>
      </c>
      <c r="Q462" s="3" t="s">
        <v>26</v>
      </c>
      <c r="R462" s="3">
        <v>0</v>
      </c>
      <c r="S462" s="4">
        <v>0</v>
      </c>
      <c r="T462" s="4">
        <v>35</v>
      </c>
      <c r="U462" s="4">
        <v>83</v>
      </c>
      <c r="V462" s="4">
        <f>IF(ISERROR(VLOOKUP($S$462,'TAR FIN'!$A$1:$O$86,15,0)),0,VLOOKUP($S$462,'TAR FIN'!$A$1:$O$86,15,0))</f>
        <v>0</v>
      </c>
      <c r="W462" s="4">
        <f>IF(ISERROR(VLOOKUP($T$462,'TAR FIN'!$A$1:$O$86,15,0)),0,VLOOKUP($T$462,'TAR FIN'!$A$1:$O$86,15,0))</f>
        <v>489.03</v>
      </c>
      <c r="X462" s="4">
        <f>IF(ISERROR(VLOOKUP($U$462,'TAR FIN'!$A$1:$O$86,15,0)),0,VLOOKUP($U$462,'TAR FIN'!$A$1:$O$86,15,0))</f>
        <v>211.54</v>
      </c>
      <c r="Y462" s="4"/>
      <c r="Z462" s="4">
        <f ca="1">('TUSD BE'!$AM$48+'TUSD BF'!$AM$48+'TUSD CVA'!$AM$48)*1</f>
        <v>570.88759713673926</v>
      </c>
      <c r="AA462" s="4">
        <f>('TE BE'!$AB$39+'TE BF'!$AB$39+'TE CVA'!$AB$39)*1</f>
        <v>196.56876174373542</v>
      </c>
      <c r="AB462" s="4">
        <f>$K$462*$V$462</f>
        <v>0</v>
      </c>
      <c r="AC462" s="4">
        <f>$M$462*$W$462</f>
        <v>6022.8934799999997</v>
      </c>
      <c r="AD462" s="4">
        <f>$O$462*$X$462</f>
        <v>2605.3266400000002</v>
      </c>
      <c r="AE462" s="4">
        <f>$K$462*$Y$462</f>
        <v>0</v>
      </c>
      <c r="AF462" s="4">
        <f ca="1">$M$462*$Z$462</f>
        <v>7031.0516463360809</v>
      </c>
      <c r="AG462" s="4">
        <f>$O$462*$AA$462</f>
        <v>2420.9408696358455</v>
      </c>
    </row>
    <row r="463" spans="1:33" ht="11.25" customHeight="1" x14ac:dyDescent="0.25">
      <c r="A463" s="3" t="s">
        <v>21</v>
      </c>
      <c r="B463" s="3" t="s">
        <v>33</v>
      </c>
      <c r="C463" s="3" t="s">
        <v>23</v>
      </c>
      <c r="D463" s="3" t="s">
        <v>40</v>
      </c>
      <c r="E463" s="3" t="s">
        <v>25</v>
      </c>
      <c r="F463" s="3" t="s">
        <v>25</v>
      </c>
      <c r="G463" s="3" t="s">
        <v>25</v>
      </c>
      <c r="H463" s="3" t="s">
        <v>25</v>
      </c>
      <c r="I463" s="6">
        <v>44470</v>
      </c>
      <c r="J463" s="4">
        <v>0</v>
      </c>
      <c r="K463" s="4">
        <v>0</v>
      </c>
      <c r="L463" s="4">
        <v>120.08799999999999</v>
      </c>
      <c r="M463" s="4">
        <v>120.08799999999999</v>
      </c>
      <c r="N463" s="4">
        <v>120.08799999999999</v>
      </c>
      <c r="O463" s="4">
        <v>120.08799999999999</v>
      </c>
      <c r="P463" s="4">
        <v>358</v>
      </c>
      <c r="Q463" s="3" t="s">
        <v>26</v>
      </c>
      <c r="R463" s="3">
        <v>0</v>
      </c>
      <c r="S463" s="4">
        <v>0</v>
      </c>
      <c r="T463" s="4">
        <v>35</v>
      </c>
      <c r="U463" s="4">
        <v>83</v>
      </c>
      <c r="V463" s="4">
        <f>IF(ISERROR(VLOOKUP($S$463,'TAR FIN'!$A$1:$O$86,15,0)),0,VLOOKUP($S$463,'TAR FIN'!$A$1:$O$86,15,0))</f>
        <v>0</v>
      </c>
      <c r="W463" s="4">
        <f>IF(ISERROR(VLOOKUP($T$463,'TAR FIN'!$A$1:$O$86,15,0)),0,VLOOKUP($T$463,'TAR FIN'!$A$1:$O$86,15,0))</f>
        <v>489.03</v>
      </c>
      <c r="X463" s="4">
        <f>IF(ISERROR(VLOOKUP($U$463,'TAR FIN'!$A$1:$O$86,15,0)),0,VLOOKUP($U$463,'TAR FIN'!$A$1:$O$86,15,0))</f>
        <v>211.54</v>
      </c>
      <c r="Y463" s="4"/>
      <c r="Z463" s="4">
        <f ca="1">('TUSD BE'!$AM$48+'TUSD BF'!$AM$48+'TUSD CVA'!$AM$48)*1</f>
        <v>570.88759713673926</v>
      </c>
      <c r="AA463" s="4">
        <f>('TE BE'!$AB$39+'TE BF'!$AB$39+'TE CVA'!$AB$39)*1</f>
        <v>196.56876174373542</v>
      </c>
      <c r="AB463" s="4">
        <f>$K$463*$V$463</f>
        <v>0</v>
      </c>
      <c r="AC463" s="4">
        <f>$M$463*$W$463</f>
        <v>58726.634639999997</v>
      </c>
      <c r="AD463" s="4">
        <f>$O$463*$X$463</f>
        <v>25403.415519999999</v>
      </c>
      <c r="AE463" s="4">
        <f>$K$463*$Y$463</f>
        <v>0</v>
      </c>
      <c r="AF463" s="4">
        <f ca="1">$M$463*$Z$463</f>
        <v>68556.749764956738</v>
      </c>
      <c r="AG463" s="4">
        <f>$O$463*$AA$463</f>
        <v>23605.549460281698</v>
      </c>
    </row>
    <row r="464" spans="1:33" ht="11.25" customHeight="1" x14ac:dyDescent="0.25">
      <c r="A464" s="3" t="s">
        <v>27</v>
      </c>
      <c r="B464" s="3" t="s">
        <v>33</v>
      </c>
      <c r="C464" s="3" t="s">
        <v>23</v>
      </c>
      <c r="D464" s="3" t="s">
        <v>40</v>
      </c>
      <c r="E464" s="3" t="s">
        <v>25</v>
      </c>
      <c r="F464" s="3" t="s">
        <v>25</v>
      </c>
      <c r="G464" s="3" t="s">
        <v>25</v>
      </c>
      <c r="H464" s="3" t="s">
        <v>25</v>
      </c>
      <c r="I464" s="6">
        <v>44470</v>
      </c>
      <c r="J464" s="4">
        <v>0</v>
      </c>
      <c r="K464" s="4">
        <v>0</v>
      </c>
      <c r="L464" s="4">
        <v>-0.26100000000000001</v>
      </c>
      <c r="M464" s="4">
        <v>-0.26100000000000001</v>
      </c>
      <c r="N464" s="4">
        <v>-0.26100000000000001</v>
      </c>
      <c r="O464" s="4">
        <v>-0.26100000000000001</v>
      </c>
      <c r="P464" s="4">
        <v>0</v>
      </c>
      <c r="Q464" s="3" t="s">
        <v>26</v>
      </c>
      <c r="R464" s="3">
        <v>0</v>
      </c>
      <c r="S464" s="4">
        <v>0</v>
      </c>
      <c r="T464" s="4">
        <v>35</v>
      </c>
      <c r="U464" s="4">
        <v>83</v>
      </c>
      <c r="V464" s="4">
        <f>IF(ISERROR(VLOOKUP($S$464,'TAR FIN'!$A$1:$O$86,15,0)),0,VLOOKUP($S$464,'TAR FIN'!$A$1:$O$86,15,0))</f>
        <v>0</v>
      </c>
      <c r="W464" s="4">
        <f>IF(ISERROR(VLOOKUP($T$464,'TAR FIN'!$A$1:$O$86,15,0)),0,VLOOKUP($T$464,'TAR FIN'!$A$1:$O$86,15,0))</f>
        <v>489.03</v>
      </c>
      <c r="X464" s="4">
        <f>IF(ISERROR(VLOOKUP($U$464,'TAR FIN'!$A$1:$O$86,15,0)),0,VLOOKUP($U$464,'TAR FIN'!$A$1:$O$86,15,0))</f>
        <v>211.54</v>
      </c>
      <c r="Y464" s="4"/>
      <c r="Z464" s="4">
        <f ca="1">('TUSD BE'!$AM$48+'TUSD BF'!$AM$48+'TUSD CVA'!$AM$48)*1</f>
        <v>570.88759713673926</v>
      </c>
      <c r="AA464" s="4">
        <f>('TE BE'!$AB$39+'TE BF'!$AB$39+'TE CVA'!$AB$39)*1</f>
        <v>196.56876174373542</v>
      </c>
      <c r="AB464" s="4">
        <f>$K$464*$V$464</f>
        <v>0</v>
      </c>
      <c r="AC464" s="4">
        <f>$M$464*$W$464</f>
        <v>-127.63683</v>
      </c>
      <c r="AD464" s="4">
        <f>$O$464*$X$464</f>
        <v>-55.211939999999998</v>
      </c>
      <c r="AE464" s="4">
        <f>$K$464*$Y$464</f>
        <v>0</v>
      </c>
      <c r="AF464" s="4">
        <f ca="1">$M$464*$Z$464</f>
        <v>-149.00166285268895</v>
      </c>
      <c r="AG464" s="4">
        <f>$O$464*$AA$464</f>
        <v>-51.30444681511495</v>
      </c>
    </row>
    <row r="465" spans="1:33" ht="11.25" customHeight="1" x14ac:dyDescent="0.25">
      <c r="A465" s="3" t="s">
        <v>28</v>
      </c>
      <c r="B465" s="3" t="s">
        <v>33</v>
      </c>
      <c r="C465" s="3" t="s">
        <v>23</v>
      </c>
      <c r="D465" s="3" t="s">
        <v>40</v>
      </c>
      <c r="E465" s="3" t="s">
        <v>25</v>
      </c>
      <c r="F465" s="3" t="s">
        <v>25</v>
      </c>
      <c r="G465" s="3" t="s">
        <v>25</v>
      </c>
      <c r="H465" s="3" t="s">
        <v>25</v>
      </c>
      <c r="I465" s="6">
        <v>44470</v>
      </c>
      <c r="J465" s="4">
        <v>0</v>
      </c>
      <c r="K465" s="4">
        <v>0</v>
      </c>
      <c r="L465" s="4">
        <v>7.5629999999999997</v>
      </c>
      <c r="M465" s="4">
        <v>7.5629999999999997</v>
      </c>
      <c r="N465" s="4">
        <v>7.5629999999999997</v>
      </c>
      <c r="O465" s="4">
        <v>7.5629999999999997</v>
      </c>
      <c r="P465" s="4">
        <v>22</v>
      </c>
      <c r="Q465" s="3" t="s">
        <v>26</v>
      </c>
      <c r="R465" s="3">
        <v>0</v>
      </c>
      <c r="S465" s="4">
        <v>0</v>
      </c>
      <c r="T465" s="4">
        <v>35</v>
      </c>
      <c r="U465" s="4">
        <v>83</v>
      </c>
      <c r="V465" s="4">
        <f>IF(ISERROR(VLOOKUP($S$465,'TAR FIN'!$A$1:$O$86,15,0)),0,VLOOKUP($S$465,'TAR FIN'!$A$1:$O$86,15,0))</f>
        <v>0</v>
      </c>
      <c r="W465" s="4">
        <f>IF(ISERROR(VLOOKUP($T$465,'TAR FIN'!$A$1:$O$86,15,0)),0,VLOOKUP($T$465,'TAR FIN'!$A$1:$O$86,15,0))</f>
        <v>489.03</v>
      </c>
      <c r="X465" s="4">
        <f>IF(ISERROR(VLOOKUP($U$465,'TAR FIN'!$A$1:$O$86,15,0)),0,VLOOKUP($U$465,'TAR FIN'!$A$1:$O$86,15,0))</f>
        <v>211.54</v>
      </c>
      <c r="Y465" s="4"/>
      <c r="Z465" s="4">
        <f ca="1">('TUSD BE'!$AM$48+'TUSD BF'!$AM$48+'TUSD CVA'!$AM$48)*1</f>
        <v>570.88759713673926</v>
      </c>
      <c r="AA465" s="4">
        <f>('TE BE'!$AB$39+'TE BF'!$AB$39+'TE CVA'!$AB$39)*1</f>
        <v>196.56876174373542</v>
      </c>
      <c r="AB465" s="4">
        <f>$K$465*$V$465</f>
        <v>0</v>
      </c>
      <c r="AC465" s="4">
        <f>$M$465*$W$465</f>
        <v>3698.5338899999997</v>
      </c>
      <c r="AD465" s="4">
        <f>$O$465*$X$465</f>
        <v>1599.8770199999999</v>
      </c>
      <c r="AE465" s="4">
        <f>$K$465*$Y$465</f>
        <v>0</v>
      </c>
      <c r="AF465" s="4">
        <f ca="1">$M$465*$Z$465</f>
        <v>4317.6228971451592</v>
      </c>
      <c r="AG465" s="4">
        <f>$O$465*$AA$465</f>
        <v>1486.649545067871</v>
      </c>
    </row>
    <row r="466" spans="1:33" ht="11.25" customHeight="1" x14ac:dyDescent="0.25">
      <c r="A466" s="3" t="s">
        <v>28</v>
      </c>
      <c r="B466" s="3" t="s">
        <v>33</v>
      </c>
      <c r="C466" s="3" t="s">
        <v>23</v>
      </c>
      <c r="D466" s="3" t="s">
        <v>40</v>
      </c>
      <c r="E466" s="3" t="s">
        <v>25</v>
      </c>
      <c r="F466" s="3" t="s">
        <v>25</v>
      </c>
      <c r="G466" s="3" t="s">
        <v>25</v>
      </c>
      <c r="H466" s="3" t="s">
        <v>25</v>
      </c>
      <c r="I466" s="6">
        <v>44470</v>
      </c>
      <c r="J466" s="4">
        <v>0</v>
      </c>
      <c r="K466" s="4">
        <v>0</v>
      </c>
      <c r="L466" s="4">
        <v>-2.0859999999999999</v>
      </c>
      <c r="M466" s="4">
        <v>-2.0859999999999999</v>
      </c>
      <c r="N466" s="4">
        <v>-2.0859999999999999</v>
      </c>
      <c r="O466" s="4">
        <v>-2.0859999999999999</v>
      </c>
      <c r="P466" s="4">
        <v>2</v>
      </c>
      <c r="Q466" s="3" t="s">
        <v>26</v>
      </c>
      <c r="R466" s="3">
        <v>0</v>
      </c>
      <c r="S466" s="4">
        <v>0</v>
      </c>
      <c r="T466" s="4">
        <v>35</v>
      </c>
      <c r="U466" s="4">
        <v>83</v>
      </c>
      <c r="V466" s="4">
        <f>IF(ISERROR(VLOOKUP($S$466,'TAR FIN'!$A$1:$O$86,15,0)),0,VLOOKUP($S$466,'TAR FIN'!$A$1:$O$86,15,0))</f>
        <v>0</v>
      </c>
      <c r="W466" s="4">
        <f>IF(ISERROR(VLOOKUP($T$466,'TAR FIN'!$A$1:$O$86,15,0)),0,VLOOKUP($T$466,'TAR FIN'!$A$1:$O$86,15,0))</f>
        <v>489.03</v>
      </c>
      <c r="X466" s="4">
        <f>IF(ISERROR(VLOOKUP($U$466,'TAR FIN'!$A$1:$O$86,15,0)),0,VLOOKUP($U$466,'TAR FIN'!$A$1:$O$86,15,0))</f>
        <v>211.54</v>
      </c>
      <c r="Y466" s="4"/>
      <c r="Z466" s="4">
        <f ca="1">('TUSD BE'!$AM$48+'TUSD BF'!$AM$48+'TUSD CVA'!$AM$48)*1</f>
        <v>570.88759713673926</v>
      </c>
      <c r="AA466" s="4">
        <f>('TE BE'!$AB$39+'TE BF'!$AB$39+'TE CVA'!$AB$39)*1</f>
        <v>196.56876174373542</v>
      </c>
      <c r="AB466" s="4">
        <f>$K$466*$V$466</f>
        <v>0</v>
      </c>
      <c r="AC466" s="4">
        <f>$M$466*$W$466</f>
        <v>-1020.1165799999999</v>
      </c>
      <c r="AD466" s="4">
        <f>$O$466*$X$466</f>
        <v>-441.27243999999996</v>
      </c>
      <c r="AE466" s="4">
        <f>$K$466*$Y$466</f>
        <v>0</v>
      </c>
      <c r="AF466" s="4">
        <f ca="1">$M$466*$Z$466</f>
        <v>-1190.871527627238</v>
      </c>
      <c r="AG466" s="4">
        <f>$O$466*$AA$466</f>
        <v>-410.04243699743205</v>
      </c>
    </row>
    <row r="467" spans="1:33" ht="11.25" customHeight="1" x14ac:dyDescent="0.25">
      <c r="A467" s="3" t="s">
        <v>21</v>
      </c>
      <c r="B467" s="3" t="s">
        <v>33</v>
      </c>
      <c r="C467" s="3" t="s">
        <v>23</v>
      </c>
      <c r="D467" s="3" t="s">
        <v>40</v>
      </c>
      <c r="E467" s="3" t="s">
        <v>25</v>
      </c>
      <c r="F467" s="3" t="s">
        <v>25</v>
      </c>
      <c r="G467" s="3" t="s">
        <v>25</v>
      </c>
      <c r="H467" s="3" t="s">
        <v>25</v>
      </c>
      <c r="I467" s="6">
        <v>44501</v>
      </c>
      <c r="J467" s="4">
        <v>0</v>
      </c>
      <c r="K467" s="4">
        <v>0</v>
      </c>
      <c r="L467" s="4">
        <v>131.22300000000001</v>
      </c>
      <c r="M467" s="4">
        <v>131.22300000000001</v>
      </c>
      <c r="N467" s="4">
        <v>131.22300000000001</v>
      </c>
      <c r="O467" s="4">
        <v>131.22300000000001</v>
      </c>
      <c r="P467" s="4">
        <v>360</v>
      </c>
      <c r="Q467" s="3" t="s">
        <v>26</v>
      </c>
      <c r="R467" s="3">
        <v>0</v>
      </c>
      <c r="S467" s="4">
        <v>0</v>
      </c>
      <c r="T467" s="4">
        <v>35</v>
      </c>
      <c r="U467" s="4">
        <v>83</v>
      </c>
      <c r="V467" s="4">
        <f>IF(ISERROR(VLOOKUP($S$467,'TAR FIN'!$A$1:$O$86,15,0)),0,VLOOKUP($S$467,'TAR FIN'!$A$1:$O$86,15,0))</f>
        <v>0</v>
      </c>
      <c r="W467" s="4">
        <f>IF(ISERROR(VLOOKUP($T$467,'TAR FIN'!$A$1:$O$86,15,0)),0,VLOOKUP($T$467,'TAR FIN'!$A$1:$O$86,15,0))</f>
        <v>489.03</v>
      </c>
      <c r="X467" s="4">
        <f>IF(ISERROR(VLOOKUP($U$467,'TAR FIN'!$A$1:$O$86,15,0)),0,VLOOKUP($U$467,'TAR FIN'!$A$1:$O$86,15,0))</f>
        <v>211.54</v>
      </c>
      <c r="Y467" s="4"/>
      <c r="Z467" s="4">
        <f ca="1">('TUSD BE'!$AM$48+'TUSD BF'!$AM$48+'TUSD CVA'!$AM$48)*1</f>
        <v>570.88759713673926</v>
      </c>
      <c r="AA467" s="4">
        <f>('TE BE'!$AB$39+'TE BF'!$AB$39+'TE CVA'!$AB$39)*1</f>
        <v>196.56876174373542</v>
      </c>
      <c r="AB467" s="4">
        <f>$K$467*$V$467</f>
        <v>0</v>
      </c>
      <c r="AC467" s="4">
        <f>$M$467*$W$467</f>
        <v>64171.983690000001</v>
      </c>
      <c r="AD467" s="4">
        <f>$O$467*$X$467</f>
        <v>27758.913420000001</v>
      </c>
      <c r="AE467" s="4">
        <f>$K$467*$Y$467</f>
        <v>0</v>
      </c>
      <c r="AF467" s="4">
        <f ca="1">$M$467*$Z$467</f>
        <v>74913.583159074347</v>
      </c>
      <c r="AG467" s="4">
        <f>$O$467*$AA$467</f>
        <v>25794.342622298194</v>
      </c>
    </row>
    <row r="468" spans="1:33" ht="11.25" customHeight="1" x14ac:dyDescent="0.25">
      <c r="A468" s="3" t="s">
        <v>28</v>
      </c>
      <c r="B468" s="3" t="s">
        <v>33</v>
      </c>
      <c r="C468" s="3" t="s">
        <v>23</v>
      </c>
      <c r="D468" s="3" t="s">
        <v>40</v>
      </c>
      <c r="E468" s="3" t="s">
        <v>25</v>
      </c>
      <c r="F468" s="3" t="s">
        <v>25</v>
      </c>
      <c r="G468" s="3" t="s">
        <v>25</v>
      </c>
      <c r="H468" s="3" t="s">
        <v>25</v>
      </c>
      <c r="I468" s="6">
        <v>44501</v>
      </c>
      <c r="J468" s="4">
        <v>0</v>
      </c>
      <c r="K468" s="4">
        <v>0</v>
      </c>
      <c r="L468" s="4">
        <v>2.5419999999999998</v>
      </c>
      <c r="M468" s="4">
        <v>2.5419999999999998</v>
      </c>
      <c r="N468" s="4">
        <v>2.5419999999999998</v>
      </c>
      <c r="O468" s="4">
        <v>2.5419999999999998</v>
      </c>
      <c r="P468" s="4">
        <v>23</v>
      </c>
      <c r="Q468" s="3" t="s">
        <v>26</v>
      </c>
      <c r="R468" s="3">
        <v>0</v>
      </c>
      <c r="S468" s="4">
        <v>0</v>
      </c>
      <c r="T468" s="4">
        <v>35</v>
      </c>
      <c r="U468" s="4">
        <v>83</v>
      </c>
      <c r="V468" s="4">
        <f>IF(ISERROR(VLOOKUP($S$468,'TAR FIN'!$A$1:$O$86,15,0)),0,VLOOKUP($S$468,'TAR FIN'!$A$1:$O$86,15,0))</f>
        <v>0</v>
      </c>
      <c r="W468" s="4">
        <f>IF(ISERROR(VLOOKUP($T$468,'TAR FIN'!$A$1:$O$86,15,0)),0,VLOOKUP($T$468,'TAR FIN'!$A$1:$O$86,15,0))</f>
        <v>489.03</v>
      </c>
      <c r="X468" s="4">
        <f>IF(ISERROR(VLOOKUP($U$468,'TAR FIN'!$A$1:$O$86,15,0)),0,VLOOKUP($U$468,'TAR FIN'!$A$1:$O$86,15,0))</f>
        <v>211.54</v>
      </c>
      <c r="Y468" s="4"/>
      <c r="Z468" s="4">
        <f ca="1">('TUSD BE'!$AM$48+'TUSD BF'!$AM$48+'TUSD CVA'!$AM$48)*1</f>
        <v>570.88759713673926</v>
      </c>
      <c r="AA468" s="4">
        <f>('TE BE'!$AB$39+'TE BF'!$AB$39+'TE CVA'!$AB$39)*1</f>
        <v>196.56876174373542</v>
      </c>
      <c r="AB468" s="4">
        <f>$K$468*$V$468</f>
        <v>0</v>
      </c>
      <c r="AC468" s="4">
        <f>$M$468*$W$468</f>
        <v>1243.1142599999998</v>
      </c>
      <c r="AD468" s="4">
        <f>$O$468*$X$468</f>
        <v>537.73467999999991</v>
      </c>
      <c r="AE468" s="4">
        <f>$K$468*$Y$468</f>
        <v>0</v>
      </c>
      <c r="AF468" s="4">
        <f ca="1">$M$468*$Z$468</f>
        <v>1451.196271921591</v>
      </c>
      <c r="AG468" s="4">
        <f>$O$468*$AA$468</f>
        <v>499.67779235257541</v>
      </c>
    </row>
    <row r="469" spans="1:33" ht="11.25" customHeight="1" x14ac:dyDescent="0.25">
      <c r="A469" s="3" t="s">
        <v>21</v>
      </c>
      <c r="B469" s="3" t="s">
        <v>33</v>
      </c>
      <c r="C469" s="3" t="s">
        <v>23</v>
      </c>
      <c r="D469" s="3" t="s">
        <v>40</v>
      </c>
      <c r="E469" s="3" t="s">
        <v>25</v>
      </c>
      <c r="F469" s="3" t="s">
        <v>25</v>
      </c>
      <c r="G469" s="3" t="s">
        <v>25</v>
      </c>
      <c r="H469" s="3" t="s">
        <v>25</v>
      </c>
      <c r="I469" s="6">
        <v>44531</v>
      </c>
      <c r="J469" s="4">
        <v>0</v>
      </c>
      <c r="K469" s="4">
        <v>0</v>
      </c>
      <c r="L469" s="4">
        <v>169.584</v>
      </c>
      <c r="M469" s="4">
        <v>169.584</v>
      </c>
      <c r="N469" s="4">
        <v>169.584</v>
      </c>
      <c r="O469" s="4">
        <v>169.584</v>
      </c>
      <c r="P469" s="4">
        <v>361</v>
      </c>
      <c r="Q469" s="3" t="s">
        <v>26</v>
      </c>
      <c r="R469" s="3">
        <v>0</v>
      </c>
      <c r="S469" s="4">
        <v>0</v>
      </c>
      <c r="T469" s="4">
        <v>35</v>
      </c>
      <c r="U469" s="4">
        <v>83</v>
      </c>
      <c r="V469" s="4">
        <f>IF(ISERROR(VLOOKUP($S$469,'TAR FIN'!$A$1:$O$86,15,0)),0,VLOOKUP($S$469,'TAR FIN'!$A$1:$O$86,15,0))</f>
        <v>0</v>
      </c>
      <c r="W469" s="4">
        <f>IF(ISERROR(VLOOKUP($T$469,'TAR FIN'!$A$1:$O$86,15,0)),0,VLOOKUP($T$469,'TAR FIN'!$A$1:$O$86,15,0))</f>
        <v>489.03</v>
      </c>
      <c r="X469" s="4">
        <f>IF(ISERROR(VLOOKUP($U$469,'TAR FIN'!$A$1:$O$86,15,0)),0,VLOOKUP($U$469,'TAR FIN'!$A$1:$O$86,15,0))</f>
        <v>211.54</v>
      </c>
      <c r="Y469" s="4"/>
      <c r="Z469" s="4">
        <f ca="1">('TUSD BE'!$AM$48+'TUSD BF'!$AM$48+'TUSD CVA'!$AM$48)*1</f>
        <v>570.88759713673926</v>
      </c>
      <c r="AA469" s="4">
        <f>('TE BE'!$AB$39+'TE BF'!$AB$39+'TE CVA'!$AB$39)*1</f>
        <v>196.56876174373542</v>
      </c>
      <c r="AB469" s="4">
        <f>$K$469*$V$469</f>
        <v>0</v>
      </c>
      <c r="AC469" s="4">
        <f>$M$469*$W$469</f>
        <v>82931.663520000002</v>
      </c>
      <c r="AD469" s="4">
        <f>$O$469*$X$469</f>
        <v>35873.799359999997</v>
      </c>
      <c r="AE469" s="4">
        <f>$K$469*$Y$469</f>
        <v>0</v>
      </c>
      <c r="AF469" s="4">
        <f ca="1">$M$469*$Z$469</f>
        <v>96813.402272836785</v>
      </c>
      <c r="AG469" s="4">
        <f>$O$469*$AA$469</f>
        <v>33334.916891549627</v>
      </c>
    </row>
    <row r="470" spans="1:33" ht="11.25" customHeight="1" x14ac:dyDescent="0.25">
      <c r="A470" s="3" t="s">
        <v>27</v>
      </c>
      <c r="B470" s="3" t="s">
        <v>33</v>
      </c>
      <c r="C470" s="3" t="s">
        <v>23</v>
      </c>
      <c r="D470" s="3" t="s">
        <v>40</v>
      </c>
      <c r="E470" s="3" t="s">
        <v>25</v>
      </c>
      <c r="F470" s="3" t="s">
        <v>25</v>
      </c>
      <c r="G470" s="3" t="s">
        <v>25</v>
      </c>
      <c r="H470" s="3" t="s">
        <v>25</v>
      </c>
      <c r="I470" s="6">
        <v>44531</v>
      </c>
      <c r="J470" s="4">
        <v>0</v>
      </c>
      <c r="K470" s="4">
        <v>0</v>
      </c>
      <c r="L470" s="4">
        <v>-0.41799999999999998</v>
      </c>
      <c r="M470" s="4">
        <v>-0.41799999999999998</v>
      </c>
      <c r="N470" s="4">
        <v>-0.41799999999999998</v>
      </c>
      <c r="O470" s="4">
        <v>-0.41799999999999998</v>
      </c>
      <c r="P470" s="4">
        <v>0</v>
      </c>
      <c r="Q470" s="3" t="s">
        <v>26</v>
      </c>
      <c r="R470" s="3">
        <v>0</v>
      </c>
      <c r="S470" s="4">
        <v>0</v>
      </c>
      <c r="T470" s="4">
        <v>35</v>
      </c>
      <c r="U470" s="4">
        <v>83</v>
      </c>
      <c r="V470" s="4">
        <f>IF(ISERROR(VLOOKUP($S$470,'TAR FIN'!$A$1:$O$86,15,0)),0,VLOOKUP($S$470,'TAR FIN'!$A$1:$O$86,15,0))</f>
        <v>0</v>
      </c>
      <c r="W470" s="4">
        <f>IF(ISERROR(VLOOKUP($T$470,'TAR FIN'!$A$1:$O$86,15,0)),0,VLOOKUP($T$470,'TAR FIN'!$A$1:$O$86,15,0))</f>
        <v>489.03</v>
      </c>
      <c r="X470" s="4">
        <f>IF(ISERROR(VLOOKUP($U$470,'TAR FIN'!$A$1:$O$86,15,0)),0,VLOOKUP($U$470,'TAR FIN'!$A$1:$O$86,15,0))</f>
        <v>211.54</v>
      </c>
      <c r="Y470" s="4"/>
      <c r="Z470" s="4">
        <f ca="1">('TUSD BE'!$AM$48+'TUSD BF'!$AM$48+'TUSD CVA'!$AM$48)*1</f>
        <v>570.88759713673926</v>
      </c>
      <c r="AA470" s="4">
        <f>('TE BE'!$AB$39+'TE BF'!$AB$39+'TE CVA'!$AB$39)*1</f>
        <v>196.56876174373542</v>
      </c>
      <c r="AB470" s="4">
        <f>$K$470*$V$470</f>
        <v>0</v>
      </c>
      <c r="AC470" s="4">
        <f>$M$470*$W$470</f>
        <v>-204.41453999999999</v>
      </c>
      <c r="AD470" s="4">
        <f>$O$470*$X$470</f>
        <v>-88.423719999999989</v>
      </c>
      <c r="AE470" s="4">
        <f>$K$470*$Y$470</f>
        <v>0</v>
      </c>
      <c r="AF470" s="4">
        <f ca="1">$M$470*$Z$470</f>
        <v>-238.63101560315701</v>
      </c>
      <c r="AG470" s="4">
        <f>$O$470*$AA$470</f>
        <v>-82.1657424088814</v>
      </c>
    </row>
    <row r="471" spans="1:33" ht="11.25" customHeight="1" x14ac:dyDescent="0.25">
      <c r="A471" s="3" t="s">
        <v>28</v>
      </c>
      <c r="B471" s="3" t="s">
        <v>33</v>
      </c>
      <c r="C471" s="3" t="s">
        <v>23</v>
      </c>
      <c r="D471" s="3" t="s">
        <v>40</v>
      </c>
      <c r="E471" s="3" t="s">
        <v>25</v>
      </c>
      <c r="F471" s="3" t="s">
        <v>25</v>
      </c>
      <c r="G471" s="3" t="s">
        <v>25</v>
      </c>
      <c r="H471" s="3" t="s">
        <v>25</v>
      </c>
      <c r="I471" s="6">
        <v>44531</v>
      </c>
      <c r="J471" s="4">
        <v>0</v>
      </c>
      <c r="K471" s="4">
        <v>0</v>
      </c>
      <c r="L471" s="4">
        <v>3.9929999999999999</v>
      </c>
      <c r="M471" s="4">
        <v>3.9929999999999999</v>
      </c>
      <c r="N471" s="4">
        <v>3.9929999999999999</v>
      </c>
      <c r="O471" s="4">
        <v>3.9929999999999999</v>
      </c>
      <c r="P471" s="4">
        <v>23</v>
      </c>
      <c r="Q471" s="3" t="s">
        <v>26</v>
      </c>
      <c r="R471" s="3">
        <v>0</v>
      </c>
      <c r="S471" s="4">
        <v>0</v>
      </c>
      <c r="T471" s="4">
        <v>35</v>
      </c>
      <c r="U471" s="4">
        <v>83</v>
      </c>
      <c r="V471" s="4">
        <f>IF(ISERROR(VLOOKUP($S$471,'TAR FIN'!$A$1:$O$86,15,0)),0,VLOOKUP($S$471,'TAR FIN'!$A$1:$O$86,15,0))</f>
        <v>0</v>
      </c>
      <c r="W471" s="4">
        <f>IF(ISERROR(VLOOKUP($T$471,'TAR FIN'!$A$1:$O$86,15,0)),0,VLOOKUP($T$471,'TAR FIN'!$A$1:$O$86,15,0))</f>
        <v>489.03</v>
      </c>
      <c r="X471" s="4">
        <f>IF(ISERROR(VLOOKUP($U$471,'TAR FIN'!$A$1:$O$86,15,0)),0,VLOOKUP($U$471,'TAR FIN'!$A$1:$O$86,15,0))</f>
        <v>211.54</v>
      </c>
      <c r="Y471" s="4"/>
      <c r="Z471" s="4">
        <f ca="1">('TUSD BE'!$AM$48+'TUSD BF'!$AM$48+'TUSD CVA'!$AM$48)*1</f>
        <v>570.88759713673926</v>
      </c>
      <c r="AA471" s="4">
        <f>('TE BE'!$AB$39+'TE BF'!$AB$39+'TE CVA'!$AB$39)*1</f>
        <v>196.56876174373542</v>
      </c>
      <c r="AB471" s="4">
        <f>$K$471*$V$471</f>
        <v>0</v>
      </c>
      <c r="AC471" s="4">
        <f>$M$471*$W$471</f>
        <v>1952.6967899999997</v>
      </c>
      <c r="AD471" s="4">
        <f>$O$471*$X$471</f>
        <v>844.67921999999999</v>
      </c>
      <c r="AE471" s="4">
        <f>$K$471*$Y$471</f>
        <v>0</v>
      </c>
      <c r="AF471" s="4">
        <f ca="1">$M$471*$Z$471</f>
        <v>2279.554175367</v>
      </c>
      <c r="AG471" s="4">
        <f>$O$471*$AA$471</f>
        <v>784.89906564273554</v>
      </c>
    </row>
    <row r="472" spans="1:33" ht="11.25" customHeight="1" x14ac:dyDescent="0.25">
      <c r="A472" s="3" t="s">
        <v>21</v>
      </c>
      <c r="B472" s="3" t="s">
        <v>33</v>
      </c>
      <c r="C472" s="3" t="s">
        <v>23</v>
      </c>
      <c r="D472" s="3" t="s">
        <v>40</v>
      </c>
      <c r="E472" s="3" t="s">
        <v>25</v>
      </c>
      <c r="F472" s="3" t="s">
        <v>25</v>
      </c>
      <c r="G472" s="3" t="s">
        <v>25</v>
      </c>
      <c r="H472" s="3" t="s">
        <v>25</v>
      </c>
      <c r="I472" s="6">
        <v>44562</v>
      </c>
      <c r="J472" s="4">
        <v>0</v>
      </c>
      <c r="K472" s="4">
        <v>0</v>
      </c>
      <c r="L472" s="4">
        <v>163.18</v>
      </c>
      <c r="M472" s="4">
        <v>163.18</v>
      </c>
      <c r="N472" s="4">
        <v>163.18</v>
      </c>
      <c r="O472" s="4">
        <v>163.18</v>
      </c>
      <c r="P472" s="4">
        <v>357</v>
      </c>
      <c r="Q472" s="3" t="s">
        <v>26</v>
      </c>
      <c r="R472" s="3">
        <v>0</v>
      </c>
      <c r="S472" s="4">
        <v>0</v>
      </c>
      <c r="T472" s="4">
        <v>35</v>
      </c>
      <c r="U472" s="4">
        <v>83</v>
      </c>
      <c r="V472" s="4">
        <f>IF(ISERROR(VLOOKUP($S$472,'TAR FIN'!$A$1:$O$86,15,0)),0,VLOOKUP($S$472,'TAR FIN'!$A$1:$O$86,15,0))</f>
        <v>0</v>
      </c>
      <c r="W472" s="4">
        <f>IF(ISERROR(VLOOKUP($T$472,'TAR FIN'!$A$1:$O$86,15,0)),0,VLOOKUP($T$472,'TAR FIN'!$A$1:$O$86,15,0))</f>
        <v>489.03</v>
      </c>
      <c r="X472" s="4">
        <f>IF(ISERROR(VLOOKUP($U$472,'TAR FIN'!$A$1:$O$86,15,0)),0,VLOOKUP($U$472,'TAR FIN'!$A$1:$O$86,15,0))</f>
        <v>211.54</v>
      </c>
      <c r="Y472" s="4"/>
      <c r="Z472" s="4">
        <f ca="1">('TUSD BE'!$AM$48+'TUSD BF'!$AM$48+'TUSD CVA'!$AM$48)*1</f>
        <v>570.88759713673926</v>
      </c>
      <c r="AA472" s="4">
        <f>('TE BE'!$AB$39+'TE BF'!$AB$39+'TE CVA'!$AB$39)*1</f>
        <v>196.56876174373542</v>
      </c>
      <c r="AB472" s="4">
        <f>$K$472*$V$472</f>
        <v>0</v>
      </c>
      <c r="AC472" s="4">
        <f>$M$472*$W$472</f>
        <v>79799.915399999998</v>
      </c>
      <c r="AD472" s="4">
        <f>$O$472*$X$472</f>
        <v>34519.097199999997</v>
      </c>
      <c r="AE472" s="4">
        <f>$K$472*$Y$472</f>
        <v>0</v>
      </c>
      <c r="AF472" s="4">
        <f ca="1">$M$472*$Z$472</f>
        <v>93157.438100773114</v>
      </c>
      <c r="AG472" s="4">
        <f>$O$472*$AA$472</f>
        <v>32076.090541342746</v>
      </c>
    </row>
    <row r="473" spans="1:33" ht="11.25" customHeight="1" x14ac:dyDescent="0.25">
      <c r="A473" s="3" t="s">
        <v>27</v>
      </c>
      <c r="B473" s="3" t="s">
        <v>33</v>
      </c>
      <c r="C473" s="3" t="s">
        <v>23</v>
      </c>
      <c r="D473" s="3" t="s">
        <v>40</v>
      </c>
      <c r="E473" s="3" t="s">
        <v>25</v>
      </c>
      <c r="F473" s="3" t="s">
        <v>25</v>
      </c>
      <c r="G473" s="3" t="s">
        <v>25</v>
      </c>
      <c r="H473" s="3" t="s">
        <v>25</v>
      </c>
      <c r="I473" s="6">
        <v>44562</v>
      </c>
      <c r="J473" s="4">
        <v>0</v>
      </c>
      <c r="K473" s="4">
        <v>0</v>
      </c>
      <c r="L473" s="4">
        <v>1.702</v>
      </c>
      <c r="M473" s="4">
        <v>1.702</v>
      </c>
      <c r="N473" s="4">
        <v>1.702</v>
      </c>
      <c r="O473" s="4">
        <v>1.702</v>
      </c>
      <c r="P473" s="4">
        <v>0</v>
      </c>
      <c r="Q473" s="3" t="s">
        <v>26</v>
      </c>
      <c r="R473" s="3">
        <v>0</v>
      </c>
      <c r="S473" s="4">
        <v>0</v>
      </c>
      <c r="T473" s="4">
        <v>35</v>
      </c>
      <c r="U473" s="4">
        <v>83</v>
      </c>
      <c r="V473" s="4">
        <f>IF(ISERROR(VLOOKUP($S$473,'TAR FIN'!$A$1:$O$86,15,0)),0,VLOOKUP($S$473,'TAR FIN'!$A$1:$O$86,15,0))</f>
        <v>0</v>
      </c>
      <c r="W473" s="4">
        <f>IF(ISERROR(VLOOKUP($T$473,'TAR FIN'!$A$1:$O$86,15,0)),0,VLOOKUP($T$473,'TAR FIN'!$A$1:$O$86,15,0))</f>
        <v>489.03</v>
      </c>
      <c r="X473" s="4">
        <f>IF(ISERROR(VLOOKUP($U$473,'TAR FIN'!$A$1:$O$86,15,0)),0,VLOOKUP($U$473,'TAR FIN'!$A$1:$O$86,15,0))</f>
        <v>211.54</v>
      </c>
      <c r="Y473" s="4"/>
      <c r="Z473" s="4">
        <f ca="1">('TUSD BE'!$AM$48+'TUSD BF'!$AM$48+'TUSD CVA'!$AM$48)*1</f>
        <v>570.88759713673926</v>
      </c>
      <c r="AA473" s="4">
        <f>('TE BE'!$AB$39+'TE BF'!$AB$39+'TE CVA'!$AB$39)*1</f>
        <v>196.56876174373542</v>
      </c>
      <c r="AB473" s="4">
        <f>$K$473*$V$473</f>
        <v>0</v>
      </c>
      <c r="AC473" s="4">
        <f>$M$473*$W$473</f>
        <v>832.32905999999991</v>
      </c>
      <c r="AD473" s="4">
        <f>$O$473*$X$473</f>
        <v>360.04107999999997</v>
      </c>
      <c r="AE473" s="4">
        <f>$K$473*$Y$473</f>
        <v>0</v>
      </c>
      <c r="AF473" s="4">
        <f ca="1">$M$473*$Z$473</f>
        <v>971.65069032673023</v>
      </c>
      <c r="AG473" s="4">
        <f>$O$473*$AA$473</f>
        <v>334.5600324878377</v>
      </c>
    </row>
    <row r="474" spans="1:33" ht="11.25" customHeight="1" x14ac:dyDescent="0.25">
      <c r="A474" s="3" t="s">
        <v>28</v>
      </c>
      <c r="B474" s="3" t="s">
        <v>33</v>
      </c>
      <c r="C474" s="3" t="s">
        <v>23</v>
      </c>
      <c r="D474" s="3" t="s">
        <v>40</v>
      </c>
      <c r="E474" s="3" t="s">
        <v>25</v>
      </c>
      <c r="F474" s="3" t="s">
        <v>25</v>
      </c>
      <c r="G474" s="3" t="s">
        <v>25</v>
      </c>
      <c r="H474" s="3" t="s">
        <v>25</v>
      </c>
      <c r="I474" s="6">
        <v>44562</v>
      </c>
      <c r="J474" s="4">
        <v>0</v>
      </c>
      <c r="K474" s="4">
        <v>0</v>
      </c>
      <c r="L474" s="4">
        <v>7.8070000000000004</v>
      </c>
      <c r="M474" s="4">
        <v>7.8070000000000004</v>
      </c>
      <c r="N474" s="4">
        <v>7.8070000000000004</v>
      </c>
      <c r="O474" s="4">
        <v>7.8070000000000004</v>
      </c>
      <c r="P474" s="4">
        <v>25</v>
      </c>
      <c r="Q474" s="3" t="s">
        <v>26</v>
      </c>
      <c r="R474" s="3">
        <v>0</v>
      </c>
      <c r="S474" s="4">
        <v>0</v>
      </c>
      <c r="T474" s="4">
        <v>35</v>
      </c>
      <c r="U474" s="4">
        <v>83</v>
      </c>
      <c r="V474" s="4">
        <f>IF(ISERROR(VLOOKUP($S$474,'TAR FIN'!$A$1:$O$86,15,0)),0,VLOOKUP($S$474,'TAR FIN'!$A$1:$O$86,15,0))</f>
        <v>0</v>
      </c>
      <c r="W474" s="4">
        <f>IF(ISERROR(VLOOKUP($T$474,'TAR FIN'!$A$1:$O$86,15,0)),0,VLOOKUP($T$474,'TAR FIN'!$A$1:$O$86,15,0))</f>
        <v>489.03</v>
      </c>
      <c r="X474" s="4">
        <f>IF(ISERROR(VLOOKUP($U$474,'TAR FIN'!$A$1:$O$86,15,0)),0,VLOOKUP($U$474,'TAR FIN'!$A$1:$O$86,15,0))</f>
        <v>211.54</v>
      </c>
      <c r="Y474" s="4"/>
      <c r="Z474" s="4">
        <f ca="1">('TUSD BE'!$AM$48+'TUSD BF'!$AM$48+'TUSD CVA'!$AM$48)*1</f>
        <v>570.88759713673926</v>
      </c>
      <c r="AA474" s="4">
        <f>('TE BE'!$AB$39+'TE BF'!$AB$39+'TE CVA'!$AB$39)*1</f>
        <v>196.56876174373542</v>
      </c>
      <c r="AB474" s="4">
        <f>$K$474*$V$474</f>
        <v>0</v>
      </c>
      <c r="AC474" s="4">
        <f>$M$474*$W$474</f>
        <v>3817.8572100000001</v>
      </c>
      <c r="AD474" s="4">
        <f>$O$474*$X$474</f>
        <v>1651.49278</v>
      </c>
      <c r="AE474" s="4">
        <f>$K$474*$Y$474</f>
        <v>0</v>
      </c>
      <c r="AF474" s="4">
        <f ca="1">$M$474*$Z$474</f>
        <v>4456.9194708465238</v>
      </c>
      <c r="AG474" s="4">
        <f>$O$474*$AA$474</f>
        <v>1534.6123229333425</v>
      </c>
    </row>
    <row r="475" spans="1:33" ht="11.25" customHeight="1" x14ac:dyDescent="0.25">
      <c r="A475" s="3" t="s">
        <v>21</v>
      </c>
      <c r="B475" s="3" t="s">
        <v>33</v>
      </c>
      <c r="C475" s="3" t="s">
        <v>23</v>
      </c>
      <c r="D475" s="3" t="s">
        <v>40</v>
      </c>
      <c r="E475" s="3" t="s">
        <v>25</v>
      </c>
      <c r="F475" s="3" t="s">
        <v>25</v>
      </c>
      <c r="G475" s="3" t="s">
        <v>25</v>
      </c>
      <c r="H475" s="3" t="s">
        <v>25</v>
      </c>
      <c r="I475" s="6">
        <v>44593</v>
      </c>
      <c r="J475" s="4">
        <v>0</v>
      </c>
      <c r="K475" s="4">
        <v>0</v>
      </c>
      <c r="L475" s="4">
        <v>133.715</v>
      </c>
      <c r="M475" s="4">
        <v>133.715</v>
      </c>
      <c r="N475" s="4">
        <v>133.715</v>
      </c>
      <c r="O475" s="4">
        <v>133.715</v>
      </c>
      <c r="P475" s="4">
        <v>321</v>
      </c>
      <c r="Q475" s="3" t="s">
        <v>26</v>
      </c>
      <c r="R475" s="3">
        <v>0</v>
      </c>
      <c r="S475" s="4">
        <v>0</v>
      </c>
      <c r="T475" s="4">
        <v>35</v>
      </c>
      <c r="U475" s="4">
        <v>83</v>
      </c>
      <c r="V475" s="4">
        <f>IF(ISERROR(VLOOKUP($S$475,'TAR FIN'!$A$1:$O$86,15,0)),0,VLOOKUP($S$475,'TAR FIN'!$A$1:$O$86,15,0))</f>
        <v>0</v>
      </c>
      <c r="W475" s="4">
        <f>IF(ISERROR(VLOOKUP($T$475,'TAR FIN'!$A$1:$O$86,15,0)),0,VLOOKUP($T$475,'TAR FIN'!$A$1:$O$86,15,0))</f>
        <v>489.03</v>
      </c>
      <c r="X475" s="4">
        <f>IF(ISERROR(VLOOKUP($U$475,'TAR FIN'!$A$1:$O$86,15,0)),0,VLOOKUP($U$475,'TAR FIN'!$A$1:$O$86,15,0))</f>
        <v>211.54</v>
      </c>
      <c r="Y475" s="4"/>
      <c r="Z475" s="4">
        <f ca="1">('TUSD BE'!$AM$48+'TUSD BF'!$AM$48+'TUSD CVA'!$AM$48)*1</f>
        <v>570.88759713673926</v>
      </c>
      <c r="AA475" s="4">
        <f>('TE BE'!$AB$39+'TE BF'!$AB$39+'TE CVA'!$AB$39)*1</f>
        <v>196.56876174373542</v>
      </c>
      <c r="AB475" s="4">
        <f>$K$475*$V$475</f>
        <v>0</v>
      </c>
      <c r="AC475" s="4">
        <f>$M$475*$W$475</f>
        <v>65390.64645</v>
      </c>
      <c r="AD475" s="4">
        <f>$O$475*$X$475</f>
        <v>28286.071100000001</v>
      </c>
      <c r="AE475" s="4">
        <f>$K$475*$Y$475</f>
        <v>0</v>
      </c>
      <c r="AF475" s="4">
        <f ca="1">$M$475*$Z$475</f>
        <v>76336.235051139098</v>
      </c>
      <c r="AG475" s="4">
        <f>$O$475*$AA$475</f>
        <v>26284.191976563583</v>
      </c>
    </row>
    <row r="476" spans="1:33" ht="11.25" customHeight="1" x14ac:dyDescent="0.25">
      <c r="A476" s="3" t="s">
        <v>28</v>
      </c>
      <c r="B476" s="3" t="s">
        <v>33</v>
      </c>
      <c r="C476" s="3" t="s">
        <v>23</v>
      </c>
      <c r="D476" s="3" t="s">
        <v>40</v>
      </c>
      <c r="E476" s="3" t="s">
        <v>25</v>
      </c>
      <c r="F476" s="3" t="s">
        <v>25</v>
      </c>
      <c r="G476" s="3" t="s">
        <v>25</v>
      </c>
      <c r="H476" s="3" t="s">
        <v>25</v>
      </c>
      <c r="I476" s="6">
        <v>44593</v>
      </c>
      <c r="J476" s="4">
        <v>0</v>
      </c>
      <c r="K476" s="4">
        <v>0</v>
      </c>
      <c r="L476" s="4">
        <v>7.157</v>
      </c>
      <c r="M476" s="4">
        <v>7.157</v>
      </c>
      <c r="N476" s="4">
        <v>7.157</v>
      </c>
      <c r="O476" s="4">
        <v>7.157</v>
      </c>
      <c r="P476" s="4">
        <v>23</v>
      </c>
      <c r="Q476" s="3" t="s">
        <v>26</v>
      </c>
      <c r="R476" s="3">
        <v>0</v>
      </c>
      <c r="S476" s="4">
        <v>0</v>
      </c>
      <c r="T476" s="4">
        <v>35</v>
      </c>
      <c r="U476" s="4">
        <v>83</v>
      </c>
      <c r="V476" s="4">
        <f>IF(ISERROR(VLOOKUP($S$476,'TAR FIN'!$A$1:$O$86,15,0)),0,VLOOKUP($S$476,'TAR FIN'!$A$1:$O$86,15,0))</f>
        <v>0</v>
      </c>
      <c r="W476" s="4">
        <f>IF(ISERROR(VLOOKUP($T$476,'TAR FIN'!$A$1:$O$86,15,0)),0,VLOOKUP($T$476,'TAR FIN'!$A$1:$O$86,15,0))</f>
        <v>489.03</v>
      </c>
      <c r="X476" s="4">
        <f>IF(ISERROR(VLOOKUP($U$476,'TAR FIN'!$A$1:$O$86,15,0)),0,VLOOKUP($U$476,'TAR FIN'!$A$1:$O$86,15,0))</f>
        <v>211.54</v>
      </c>
      <c r="Y476" s="4"/>
      <c r="Z476" s="4">
        <f ca="1">('TUSD BE'!$AM$48+'TUSD BF'!$AM$48+'TUSD CVA'!$AM$48)*1</f>
        <v>570.88759713673926</v>
      </c>
      <c r="AA476" s="4">
        <f>('TE BE'!$AB$39+'TE BF'!$AB$39+'TE CVA'!$AB$39)*1</f>
        <v>196.56876174373542</v>
      </c>
      <c r="AB476" s="4">
        <f>$K$476*$V$476</f>
        <v>0</v>
      </c>
      <c r="AC476" s="4">
        <f>$M$476*$W$476</f>
        <v>3499.9877099999999</v>
      </c>
      <c r="AD476" s="4">
        <f>$O$476*$X$476</f>
        <v>1513.9917800000001</v>
      </c>
      <c r="AE476" s="4">
        <f>$K$476*$Y$476</f>
        <v>0</v>
      </c>
      <c r="AF476" s="4">
        <f ca="1">$M$476*$Z$476</f>
        <v>4085.8425327076429</v>
      </c>
      <c r="AG476" s="4">
        <f>$O$476*$AA$476</f>
        <v>1406.8426277999145</v>
      </c>
    </row>
    <row r="477" spans="1:33" ht="11.25" customHeight="1" x14ac:dyDescent="0.25">
      <c r="A477" s="3" t="s">
        <v>21</v>
      </c>
      <c r="B477" s="3" t="s">
        <v>33</v>
      </c>
      <c r="C477" s="3" t="s">
        <v>23</v>
      </c>
      <c r="D477" s="3" t="s">
        <v>40</v>
      </c>
      <c r="E477" s="3" t="s">
        <v>25</v>
      </c>
      <c r="F477" s="3" t="s">
        <v>25</v>
      </c>
      <c r="G477" s="3" t="s">
        <v>25</v>
      </c>
      <c r="H477" s="3" t="s">
        <v>25</v>
      </c>
      <c r="I477" s="6">
        <v>44621</v>
      </c>
      <c r="J477" s="4">
        <v>0</v>
      </c>
      <c r="K477" s="4">
        <v>0</v>
      </c>
      <c r="L477" s="4">
        <v>120.584</v>
      </c>
      <c r="M477" s="4">
        <v>120.584</v>
      </c>
      <c r="N477" s="4">
        <v>120.584</v>
      </c>
      <c r="O477" s="4">
        <v>120.584</v>
      </c>
      <c r="P477" s="4">
        <v>323</v>
      </c>
      <c r="Q477" s="3" t="s">
        <v>26</v>
      </c>
      <c r="R477" s="3">
        <v>0</v>
      </c>
      <c r="S477" s="4">
        <v>0</v>
      </c>
      <c r="T477" s="4">
        <v>35</v>
      </c>
      <c r="U477" s="4">
        <v>83</v>
      </c>
      <c r="V477" s="4">
        <f>IF(ISERROR(VLOOKUP($S$477,'TAR FIN'!$A$1:$O$86,15,0)),0,VLOOKUP($S$477,'TAR FIN'!$A$1:$O$86,15,0))</f>
        <v>0</v>
      </c>
      <c r="W477" s="4">
        <f>IF(ISERROR(VLOOKUP($T$477,'TAR FIN'!$A$1:$O$86,15,0)),0,VLOOKUP($T$477,'TAR FIN'!$A$1:$O$86,15,0))</f>
        <v>489.03</v>
      </c>
      <c r="X477" s="4">
        <f>IF(ISERROR(VLOOKUP($U$477,'TAR FIN'!$A$1:$O$86,15,0)),0,VLOOKUP($U$477,'TAR FIN'!$A$1:$O$86,15,0))</f>
        <v>211.54</v>
      </c>
      <c r="Y477" s="4"/>
      <c r="Z477" s="4">
        <f ca="1">('TUSD BE'!$AM$48+'TUSD BF'!$AM$48+'TUSD CVA'!$AM$48)*1</f>
        <v>570.88759713673926</v>
      </c>
      <c r="AA477" s="4">
        <f>('TE BE'!$AB$39+'TE BF'!$AB$39+'TE CVA'!$AB$39)*1</f>
        <v>196.56876174373542</v>
      </c>
      <c r="AB477" s="4">
        <f>$K$477*$V$477</f>
        <v>0</v>
      </c>
      <c r="AC477" s="4">
        <f>$M$477*$W$477</f>
        <v>58969.193520000001</v>
      </c>
      <c r="AD477" s="4">
        <f>$O$477*$X$477</f>
        <v>25508.339359999998</v>
      </c>
      <c r="AE477" s="4">
        <f>$K$477*$Y$477</f>
        <v>0</v>
      </c>
      <c r="AF477" s="4">
        <f ca="1">$M$477*$Z$477</f>
        <v>68839.91001313657</v>
      </c>
      <c r="AG477" s="4">
        <f>$O$477*$AA$477</f>
        <v>23703.047566106594</v>
      </c>
    </row>
    <row r="478" spans="1:33" ht="11.25" customHeight="1" x14ac:dyDescent="0.25">
      <c r="A478" s="3" t="s">
        <v>28</v>
      </c>
      <c r="B478" s="3" t="s">
        <v>33</v>
      </c>
      <c r="C478" s="3" t="s">
        <v>23</v>
      </c>
      <c r="D478" s="3" t="s">
        <v>40</v>
      </c>
      <c r="E478" s="3" t="s">
        <v>25</v>
      </c>
      <c r="F478" s="3" t="s">
        <v>25</v>
      </c>
      <c r="G478" s="3" t="s">
        <v>25</v>
      </c>
      <c r="H478" s="3" t="s">
        <v>25</v>
      </c>
      <c r="I478" s="6">
        <v>44621</v>
      </c>
      <c r="J478" s="4">
        <v>0</v>
      </c>
      <c r="K478" s="4">
        <v>0</v>
      </c>
      <c r="L478" s="4">
        <v>5.5030000000000001</v>
      </c>
      <c r="M478" s="4">
        <v>5.5030000000000001</v>
      </c>
      <c r="N478" s="4">
        <v>5.5030000000000001</v>
      </c>
      <c r="O478" s="4">
        <v>5.5030000000000001</v>
      </c>
      <c r="P478" s="4">
        <v>22</v>
      </c>
      <c r="Q478" s="3" t="s">
        <v>26</v>
      </c>
      <c r="R478" s="3">
        <v>0</v>
      </c>
      <c r="S478" s="4">
        <v>0</v>
      </c>
      <c r="T478" s="4">
        <v>35</v>
      </c>
      <c r="U478" s="4">
        <v>83</v>
      </c>
      <c r="V478" s="4">
        <f>IF(ISERROR(VLOOKUP($S$478,'TAR FIN'!$A$1:$O$86,15,0)),0,VLOOKUP($S$478,'TAR FIN'!$A$1:$O$86,15,0))</f>
        <v>0</v>
      </c>
      <c r="W478" s="4">
        <f>IF(ISERROR(VLOOKUP($T$478,'TAR FIN'!$A$1:$O$86,15,0)),0,VLOOKUP($T$478,'TAR FIN'!$A$1:$O$86,15,0))</f>
        <v>489.03</v>
      </c>
      <c r="X478" s="4">
        <f>IF(ISERROR(VLOOKUP($U$478,'TAR FIN'!$A$1:$O$86,15,0)),0,VLOOKUP($U$478,'TAR FIN'!$A$1:$O$86,15,0))</f>
        <v>211.54</v>
      </c>
      <c r="Y478" s="4"/>
      <c r="Z478" s="4">
        <f ca="1">('TUSD BE'!$AM$48+'TUSD BF'!$AM$48+'TUSD CVA'!$AM$48)*1</f>
        <v>570.88759713673926</v>
      </c>
      <c r="AA478" s="4">
        <f>('TE BE'!$AB$39+'TE BF'!$AB$39+'TE CVA'!$AB$39)*1</f>
        <v>196.56876174373542</v>
      </c>
      <c r="AB478" s="4">
        <f>$K$478*$V$478</f>
        <v>0</v>
      </c>
      <c r="AC478" s="4">
        <f>$M$478*$W$478</f>
        <v>2691.1320900000001</v>
      </c>
      <c r="AD478" s="4">
        <f>$O$478*$X$478</f>
        <v>1164.1046200000001</v>
      </c>
      <c r="AE478" s="4">
        <f>$K$478*$Y$478</f>
        <v>0</v>
      </c>
      <c r="AF478" s="4">
        <f ca="1">$M$478*$Z$478</f>
        <v>3141.5944470434761</v>
      </c>
      <c r="AG478" s="4">
        <f>$O$478*$AA$478</f>
        <v>1081.7178958757761</v>
      </c>
    </row>
    <row r="479" spans="1:33" ht="11.25" customHeight="1" x14ac:dyDescent="0.25">
      <c r="A479" s="3" t="s">
        <v>21</v>
      </c>
      <c r="B479" s="3" t="s">
        <v>33</v>
      </c>
      <c r="C479" s="3" t="s">
        <v>23</v>
      </c>
      <c r="D479" s="3" t="s">
        <v>40</v>
      </c>
      <c r="E479" s="3" t="s">
        <v>25</v>
      </c>
      <c r="F479" s="3" t="s">
        <v>25</v>
      </c>
      <c r="G479" s="3" t="s">
        <v>25</v>
      </c>
      <c r="H479" s="3" t="s">
        <v>25</v>
      </c>
      <c r="I479" s="6">
        <v>44652</v>
      </c>
      <c r="J479" s="4">
        <v>0</v>
      </c>
      <c r="K479" s="4">
        <v>0</v>
      </c>
      <c r="L479" s="4">
        <v>125.316</v>
      </c>
      <c r="M479" s="4">
        <v>125.316</v>
      </c>
      <c r="N479" s="4">
        <v>125.316</v>
      </c>
      <c r="O479" s="4">
        <v>125.316</v>
      </c>
      <c r="P479" s="4">
        <v>322</v>
      </c>
      <c r="Q479" s="3" t="s">
        <v>26</v>
      </c>
      <c r="R479" s="3">
        <v>0</v>
      </c>
      <c r="S479" s="4">
        <v>0</v>
      </c>
      <c r="T479" s="4">
        <v>35</v>
      </c>
      <c r="U479" s="4">
        <v>83</v>
      </c>
      <c r="V479" s="4">
        <f>IF(ISERROR(VLOOKUP($S$479,'TAR FIN'!$A$1:$O$86,15,0)),0,VLOOKUP($S$479,'TAR FIN'!$A$1:$O$86,15,0))</f>
        <v>0</v>
      </c>
      <c r="W479" s="4">
        <f>IF(ISERROR(VLOOKUP($T$479,'TAR FIN'!$A$1:$O$86,15,0)),0,VLOOKUP($T$479,'TAR FIN'!$A$1:$O$86,15,0))</f>
        <v>489.03</v>
      </c>
      <c r="X479" s="4">
        <f>IF(ISERROR(VLOOKUP($U$479,'TAR FIN'!$A$1:$O$86,15,0)),0,VLOOKUP($U$479,'TAR FIN'!$A$1:$O$86,15,0))</f>
        <v>211.54</v>
      </c>
      <c r="Y479" s="4"/>
      <c r="Z479" s="4">
        <f ca="1">('TUSD BE'!$AM$48+'TUSD BF'!$AM$48+'TUSD CVA'!$AM$48)*1</f>
        <v>570.88759713673926</v>
      </c>
      <c r="AA479" s="4">
        <f>('TE BE'!$AB$39+'TE BF'!$AB$39+'TE CVA'!$AB$39)*1</f>
        <v>196.56876174373542</v>
      </c>
      <c r="AB479" s="4">
        <f>$K$479*$V$479</f>
        <v>0</v>
      </c>
      <c r="AC479" s="4">
        <f>$M$479*$W$479</f>
        <v>61283.283479999998</v>
      </c>
      <c r="AD479" s="4">
        <f>$O$479*$X$479</f>
        <v>26509.34664</v>
      </c>
      <c r="AE479" s="4">
        <f>$K$479*$Y$479</f>
        <v>0</v>
      </c>
      <c r="AF479" s="4">
        <f ca="1">$M$479*$Z$479</f>
        <v>71541.350122787611</v>
      </c>
      <c r="AG479" s="4">
        <f>$O$479*$AA$479</f>
        <v>24633.210946677948</v>
      </c>
    </row>
    <row r="480" spans="1:33" ht="11.25" customHeight="1" x14ac:dyDescent="0.25">
      <c r="A480" s="3" t="s">
        <v>28</v>
      </c>
      <c r="B480" s="3" t="s">
        <v>33</v>
      </c>
      <c r="C480" s="3" t="s">
        <v>23</v>
      </c>
      <c r="D480" s="3" t="s">
        <v>40</v>
      </c>
      <c r="E480" s="3" t="s">
        <v>25</v>
      </c>
      <c r="F480" s="3" t="s">
        <v>25</v>
      </c>
      <c r="G480" s="3" t="s">
        <v>25</v>
      </c>
      <c r="H480" s="3" t="s">
        <v>25</v>
      </c>
      <c r="I480" s="6">
        <v>44652</v>
      </c>
      <c r="J480" s="4">
        <v>0</v>
      </c>
      <c r="K480" s="4">
        <v>0</v>
      </c>
      <c r="L480" s="4">
        <v>7.8739999999999997</v>
      </c>
      <c r="M480" s="4">
        <v>7.8739999999999997</v>
      </c>
      <c r="N480" s="4">
        <v>7.8739999999999997</v>
      </c>
      <c r="O480" s="4">
        <v>7.8739999999999997</v>
      </c>
      <c r="P480" s="4">
        <v>23</v>
      </c>
      <c r="Q480" s="3" t="s">
        <v>26</v>
      </c>
      <c r="R480" s="3">
        <v>0</v>
      </c>
      <c r="S480" s="4">
        <v>0</v>
      </c>
      <c r="T480" s="4">
        <v>35</v>
      </c>
      <c r="U480" s="4">
        <v>83</v>
      </c>
      <c r="V480" s="4">
        <f>IF(ISERROR(VLOOKUP($S$480,'TAR FIN'!$A$1:$O$86,15,0)),0,VLOOKUP($S$480,'TAR FIN'!$A$1:$O$86,15,0))</f>
        <v>0</v>
      </c>
      <c r="W480" s="4">
        <f>IF(ISERROR(VLOOKUP($T$480,'TAR FIN'!$A$1:$O$86,15,0)),0,VLOOKUP($T$480,'TAR FIN'!$A$1:$O$86,15,0))</f>
        <v>489.03</v>
      </c>
      <c r="X480" s="4">
        <f>IF(ISERROR(VLOOKUP($U$480,'TAR FIN'!$A$1:$O$86,15,0)),0,VLOOKUP($U$480,'TAR FIN'!$A$1:$O$86,15,0))</f>
        <v>211.54</v>
      </c>
      <c r="Y480" s="4"/>
      <c r="Z480" s="4">
        <f ca="1">('TUSD BE'!$AM$48+'TUSD BF'!$AM$48+'TUSD CVA'!$AM$48)*1</f>
        <v>570.88759713673926</v>
      </c>
      <c r="AA480" s="4">
        <f>('TE BE'!$AB$39+'TE BF'!$AB$39+'TE CVA'!$AB$39)*1</f>
        <v>196.56876174373542</v>
      </c>
      <c r="AB480" s="4">
        <f>$K$480*$V$480</f>
        <v>0</v>
      </c>
      <c r="AC480" s="4">
        <f>$M$480*$W$480</f>
        <v>3850.6222199999997</v>
      </c>
      <c r="AD480" s="4">
        <f>$O$480*$X$480</f>
        <v>1665.6659599999998</v>
      </c>
      <c r="AE480" s="4">
        <f>$K$480*$Y$480</f>
        <v>0</v>
      </c>
      <c r="AF480" s="4">
        <f ca="1">$M$480*$Z$480</f>
        <v>4495.168939854685</v>
      </c>
      <c r="AG480" s="4">
        <f>$O$480*$AA$480</f>
        <v>1547.7824299701726</v>
      </c>
    </row>
    <row r="481" spans="1:33" ht="11.25" customHeight="1" x14ac:dyDescent="0.25">
      <c r="A481" s="3" t="s">
        <v>21</v>
      </c>
      <c r="B481" s="3" t="s">
        <v>33</v>
      </c>
      <c r="C481" s="3" t="s">
        <v>23</v>
      </c>
      <c r="D481" s="3" t="s">
        <v>40</v>
      </c>
      <c r="E481" s="3" t="s">
        <v>25</v>
      </c>
      <c r="F481" s="3" t="s">
        <v>25</v>
      </c>
      <c r="G481" s="3" t="s">
        <v>25</v>
      </c>
      <c r="H481" s="3" t="s">
        <v>25</v>
      </c>
      <c r="I481" s="6">
        <v>44682</v>
      </c>
      <c r="J481" s="4">
        <v>0</v>
      </c>
      <c r="K481" s="4">
        <v>0</v>
      </c>
      <c r="L481" s="4">
        <v>130.47399999999999</v>
      </c>
      <c r="M481" s="4">
        <v>130.47399999999999</v>
      </c>
      <c r="N481" s="4">
        <v>130.47399999999999</v>
      </c>
      <c r="O481" s="4">
        <v>130.47399999999999</v>
      </c>
      <c r="P481" s="4">
        <v>319</v>
      </c>
      <c r="Q481" s="3" t="s">
        <v>26</v>
      </c>
      <c r="R481" s="3">
        <v>0</v>
      </c>
      <c r="S481" s="4">
        <v>0</v>
      </c>
      <c r="T481" s="4">
        <v>35</v>
      </c>
      <c r="U481" s="4">
        <v>83</v>
      </c>
      <c r="V481" s="4">
        <f>IF(ISERROR(VLOOKUP($S$481,'TAR FIN'!$A$1:$O$86,15,0)),0,VLOOKUP($S$481,'TAR FIN'!$A$1:$O$86,15,0))</f>
        <v>0</v>
      </c>
      <c r="W481" s="4">
        <f>IF(ISERROR(VLOOKUP($T$481,'TAR FIN'!$A$1:$O$86,15,0)),0,VLOOKUP($T$481,'TAR FIN'!$A$1:$O$86,15,0))</f>
        <v>489.03</v>
      </c>
      <c r="X481" s="4">
        <f>IF(ISERROR(VLOOKUP($U$481,'TAR FIN'!$A$1:$O$86,15,0)),0,VLOOKUP($U$481,'TAR FIN'!$A$1:$O$86,15,0))</f>
        <v>211.54</v>
      </c>
      <c r="Y481" s="4"/>
      <c r="Z481" s="4">
        <f ca="1">('TUSD BE'!$AM$48+'TUSD BF'!$AM$48+'TUSD CVA'!$AM$48)*1</f>
        <v>570.88759713673926</v>
      </c>
      <c r="AA481" s="4">
        <f>('TE BE'!$AB$39+'TE BF'!$AB$39+'TE CVA'!$AB$39)*1</f>
        <v>196.56876174373542</v>
      </c>
      <c r="AB481" s="4">
        <f>$K$481*$V$481</f>
        <v>0</v>
      </c>
      <c r="AC481" s="4">
        <f>$M$481*$W$481</f>
        <v>63805.700219999992</v>
      </c>
      <c r="AD481" s="4">
        <f>$O$481*$X$481</f>
        <v>27600.469959999999</v>
      </c>
      <c r="AE481" s="4">
        <f>$K$481*$Y$481</f>
        <v>0</v>
      </c>
      <c r="AF481" s="4">
        <f ca="1">$M$481*$Z$481</f>
        <v>74485.988348818908</v>
      </c>
      <c r="AG481" s="4">
        <f>$O$481*$AA$481</f>
        <v>25647.112619752133</v>
      </c>
    </row>
    <row r="482" spans="1:33" ht="11.25" customHeight="1" x14ac:dyDescent="0.25">
      <c r="A482" s="3" t="s">
        <v>28</v>
      </c>
      <c r="B482" s="3" t="s">
        <v>33</v>
      </c>
      <c r="C482" s="3" t="s">
        <v>23</v>
      </c>
      <c r="D482" s="3" t="s">
        <v>40</v>
      </c>
      <c r="E482" s="3" t="s">
        <v>25</v>
      </c>
      <c r="F482" s="3" t="s">
        <v>25</v>
      </c>
      <c r="G482" s="3" t="s">
        <v>25</v>
      </c>
      <c r="H482" s="3" t="s">
        <v>25</v>
      </c>
      <c r="I482" s="6">
        <v>44682</v>
      </c>
      <c r="J482" s="4">
        <v>0</v>
      </c>
      <c r="K482" s="4">
        <v>0</v>
      </c>
      <c r="L482" s="4">
        <v>10.617000000000001</v>
      </c>
      <c r="M482" s="4">
        <v>10.617000000000001</v>
      </c>
      <c r="N482" s="4">
        <v>10.617000000000001</v>
      </c>
      <c r="O482" s="4">
        <v>10.617000000000001</v>
      </c>
      <c r="P482" s="4">
        <v>22</v>
      </c>
      <c r="Q482" s="3" t="s">
        <v>26</v>
      </c>
      <c r="R482" s="3">
        <v>0</v>
      </c>
      <c r="S482" s="4">
        <v>0</v>
      </c>
      <c r="T482" s="4">
        <v>35</v>
      </c>
      <c r="U482" s="4">
        <v>83</v>
      </c>
      <c r="V482" s="4">
        <f>IF(ISERROR(VLOOKUP($S$482,'TAR FIN'!$A$1:$O$86,15,0)),0,VLOOKUP($S$482,'TAR FIN'!$A$1:$O$86,15,0))</f>
        <v>0</v>
      </c>
      <c r="W482" s="4">
        <f>IF(ISERROR(VLOOKUP($T$482,'TAR FIN'!$A$1:$O$86,15,0)),0,VLOOKUP($T$482,'TAR FIN'!$A$1:$O$86,15,0))</f>
        <v>489.03</v>
      </c>
      <c r="X482" s="4">
        <f>IF(ISERROR(VLOOKUP($U$482,'TAR FIN'!$A$1:$O$86,15,0)),0,VLOOKUP($U$482,'TAR FIN'!$A$1:$O$86,15,0))</f>
        <v>211.54</v>
      </c>
      <c r="Y482" s="4"/>
      <c r="Z482" s="4">
        <f ca="1">('TUSD BE'!$AM$48+'TUSD BF'!$AM$48+'TUSD CVA'!$AM$48)*1</f>
        <v>570.88759713673926</v>
      </c>
      <c r="AA482" s="4">
        <f>('TE BE'!$AB$39+'TE BF'!$AB$39+'TE CVA'!$AB$39)*1</f>
        <v>196.56876174373542</v>
      </c>
      <c r="AB482" s="4">
        <f>$K$482*$V$482</f>
        <v>0</v>
      </c>
      <c r="AC482" s="4">
        <f>$M$482*$W$482</f>
        <v>5192.0315099999998</v>
      </c>
      <c r="AD482" s="4">
        <f>$O$482*$X$482</f>
        <v>2245.9201800000001</v>
      </c>
      <c r="AE482" s="4">
        <f>$K$482*$Y$482</f>
        <v>0</v>
      </c>
      <c r="AF482" s="4">
        <f ca="1">$M$482*$Z$482</f>
        <v>6061.1136188007613</v>
      </c>
      <c r="AG482" s="4">
        <f>$O$482*$AA$482</f>
        <v>2086.9705434332391</v>
      </c>
    </row>
    <row r="483" spans="1:33" ht="11.25" customHeight="1" x14ac:dyDescent="0.25">
      <c r="A483" s="3" t="s">
        <v>21</v>
      </c>
      <c r="B483" s="3" t="s">
        <v>33</v>
      </c>
      <c r="C483" s="3" t="s">
        <v>23</v>
      </c>
      <c r="D483" s="3" t="s">
        <v>40</v>
      </c>
      <c r="E483" s="3" t="s">
        <v>25</v>
      </c>
      <c r="F483" s="3" t="s">
        <v>25</v>
      </c>
      <c r="G483" s="3" t="s">
        <v>25</v>
      </c>
      <c r="H483" s="3" t="s">
        <v>25</v>
      </c>
      <c r="I483" s="6">
        <v>44713</v>
      </c>
      <c r="J483" s="4">
        <v>0</v>
      </c>
      <c r="K483" s="4">
        <v>0</v>
      </c>
      <c r="L483" s="4">
        <v>130.56100000000001</v>
      </c>
      <c r="M483" s="4">
        <v>130.56100000000001</v>
      </c>
      <c r="N483" s="4">
        <v>130.56100000000001</v>
      </c>
      <c r="O483" s="4">
        <v>130.56100000000001</v>
      </c>
      <c r="P483" s="4">
        <v>320</v>
      </c>
      <c r="Q483" s="3" t="s">
        <v>26</v>
      </c>
      <c r="R483" s="3">
        <v>0</v>
      </c>
      <c r="S483" s="4">
        <v>0</v>
      </c>
      <c r="T483" s="4">
        <v>35</v>
      </c>
      <c r="U483" s="4">
        <v>83</v>
      </c>
      <c r="V483" s="4">
        <f>IF(ISERROR(VLOOKUP($S$483,'TAR FIN'!$A$1:$O$86,15,0)),0,VLOOKUP($S$483,'TAR FIN'!$A$1:$O$86,15,0))</f>
        <v>0</v>
      </c>
      <c r="W483" s="4">
        <f>IF(ISERROR(VLOOKUP($T$483,'TAR FIN'!$A$1:$O$86,15,0)),0,VLOOKUP($T$483,'TAR FIN'!$A$1:$O$86,15,0))</f>
        <v>489.03</v>
      </c>
      <c r="X483" s="4">
        <f>IF(ISERROR(VLOOKUP($U$483,'TAR FIN'!$A$1:$O$86,15,0)),0,VLOOKUP($U$483,'TAR FIN'!$A$1:$O$86,15,0))</f>
        <v>211.54</v>
      </c>
      <c r="Y483" s="4"/>
      <c r="Z483" s="4">
        <f ca="1">('TUSD BE'!$AM$48+'TUSD BF'!$AM$48+'TUSD CVA'!$AM$48)*1</f>
        <v>570.88759713673926</v>
      </c>
      <c r="AA483" s="4">
        <f>('TE BE'!$AB$39+'TE BF'!$AB$39+'TE CVA'!$AB$39)*1</f>
        <v>196.56876174373542</v>
      </c>
      <c r="AB483" s="4">
        <f>$K$483*$V$483</f>
        <v>0</v>
      </c>
      <c r="AC483" s="4">
        <f>$M$483*$W$483</f>
        <v>63848.24583</v>
      </c>
      <c r="AD483" s="4">
        <f>$O$483*$X$483</f>
        <v>27618.873940000001</v>
      </c>
      <c r="AE483" s="4">
        <f>$K$483*$Y$483</f>
        <v>0</v>
      </c>
      <c r="AF483" s="4">
        <f ca="1">$M$483*$Z$483</f>
        <v>74535.65556976982</v>
      </c>
      <c r="AG483" s="4">
        <f>$O$483*$AA$483</f>
        <v>25664.214102023841</v>
      </c>
    </row>
    <row r="484" spans="1:33" ht="11.25" customHeight="1" x14ac:dyDescent="0.25">
      <c r="A484" s="3" t="s">
        <v>28</v>
      </c>
      <c r="B484" s="3" t="s">
        <v>33</v>
      </c>
      <c r="C484" s="3" t="s">
        <v>23</v>
      </c>
      <c r="D484" s="3" t="s">
        <v>40</v>
      </c>
      <c r="E484" s="3" t="s">
        <v>25</v>
      </c>
      <c r="F484" s="3" t="s">
        <v>25</v>
      </c>
      <c r="G484" s="3" t="s">
        <v>25</v>
      </c>
      <c r="H484" s="3" t="s">
        <v>25</v>
      </c>
      <c r="I484" s="6">
        <v>44713</v>
      </c>
      <c r="J484" s="4">
        <v>0</v>
      </c>
      <c r="K484" s="4">
        <v>0</v>
      </c>
      <c r="L484" s="4">
        <v>29.523</v>
      </c>
      <c r="M484" s="4">
        <v>29.523</v>
      </c>
      <c r="N484" s="4">
        <v>29.523</v>
      </c>
      <c r="O484" s="4">
        <v>29.523</v>
      </c>
      <c r="P484" s="4">
        <v>22</v>
      </c>
      <c r="Q484" s="3" t="s">
        <v>26</v>
      </c>
      <c r="R484" s="3">
        <v>0</v>
      </c>
      <c r="S484" s="4">
        <v>0</v>
      </c>
      <c r="T484" s="4">
        <v>35</v>
      </c>
      <c r="U484" s="4">
        <v>83</v>
      </c>
      <c r="V484" s="4">
        <f>IF(ISERROR(VLOOKUP($S$484,'TAR FIN'!$A$1:$O$86,15,0)),0,VLOOKUP($S$484,'TAR FIN'!$A$1:$O$86,15,0))</f>
        <v>0</v>
      </c>
      <c r="W484" s="4">
        <f>IF(ISERROR(VLOOKUP($T$484,'TAR FIN'!$A$1:$O$86,15,0)),0,VLOOKUP($T$484,'TAR FIN'!$A$1:$O$86,15,0))</f>
        <v>489.03</v>
      </c>
      <c r="X484" s="4">
        <f>IF(ISERROR(VLOOKUP($U$484,'TAR FIN'!$A$1:$O$86,15,0)),0,VLOOKUP($U$484,'TAR FIN'!$A$1:$O$86,15,0))</f>
        <v>211.54</v>
      </c>
      <c r="Y484" s="4"/>
      <c r="Z484" s="4">
        <f ca="1">('TUSD BE'!$AM$48+'TUSD BF'!$AM$48+'TUSD CVA'!$AM$48)*1</f>
        <v>570.88759713673926</v>
      </c>
      <c r="AA484" s="4">
        <f>('TE BE'!$AB$39+'TE BF'!$AB$39+'TE CVA'!$AB$39)*1</f>
        <v>196.56876174373542</v>
      </c>
      <c r="AB484" s="4">
        <f>$K$484*$V$484</f>
        <v>0</v>
      </c>
      <c r="AC484" s="4">
        <f>$M$484*$W$484</f>
        <v>14437.632689999999</v>
      </c>
      <c r="AD484" s="4">
        <f>$O$484*$X$484</f>
        <v>6245.2954199999995</v>
      </c>
      <c r="AE484" s="4">
        <f>$K$484*$Y$484</f>
        <v>0</v>
      </c>
      <c r="AF484" s="4">
        <f ca="1">$M$484*$Z$484</f>
        <v>16854.314530267951</v>
      </c>
      <c r="AG484" s="4">
        <f>$O$484*$AA$484</f>
        <v>5803.2995529603004</v>
      </c>
    </row>
    <row r="485" spans="1:33" ht="11.25" customHeight="1" x14ac:dyDescent="0.25">
      <c r="A485" s="3" t="s">
        <v>21</v>
      </c>
      <c r="B485" s="3" t="s">
        <v>33</v>
      </c>
      <c r="C485" s="3" t="s">
        <v>23</v>
      </c>
      <c r="D485" s="3" t="s">
        <v>34</v>
      </c>
      <c r="E485" s="3" t="s">
        <v>25</v>
      </c>
      <c r="F485" s="3" t="s">
        <v>25</v>
      </c>
      <c r="G485" s="3" t="s">
        <v>25</v>
      </c>
      <c r="H485" s="3" t="s">
        <v>25</v>
      </c>
      <c r="I485" s="6">
        <v>44378</v>
      </c>
      <c r="J485" s="4">
        <v>0</v>
      </c>
      <c r="K485" s="4">
        <v>0</v>
      </c>
      <c r="L485" s="4">
        <v>40.542000000000002</v>
      </c>
      <c r="M485" s="4">
        <v>40.542000000000002</v>
      </c>
      <c r="N485" s="4">
        <v>40.542000000000002</v>
      </c>
      <c r="O485" s="4">
        <v>40.542000000000002</v>
      </c>
      <c r="P485" s="4">
        <v>31</v>
      </c>
      <c r="Q485" s="3" t="s">
        <v>26</v>
      </c>
      <c r="R485" s="3">
        <v>0</v>
      </c>
      <c r="S485" s="4">
        <v>0</v>
      </c>
      <c r="T485" s="4">
        <v>35</v>
      </c>
      <c r="U485" s="4">
        <v>83</v>
      </c>
      <c r="V485" s="4">
        <f>IF(ISERROR(VLOOKUP($S$485,'TAR FIN'!$A$1:$O$86,15,0)),0,VLOOKUP($S$485,'TAR FIN'!$A$1:$O$86,15,0))</f>
        <v>0</v>
      </c>
      <c r="W485" s="4">
        <f>IF(ISERROR(VLOOKUP($T$485,'TAR FIN'!$A$1:$O$86,15,0)),0,VLOOKUP($T$485,'TAR FIN'!$A$1:$O$86,15,0))</f>
        <v>489.03</v>
      </c>
      <c r="X485" s="4">
        <f>IF(ISERROR(VLOOKUP($U$485,'TAR FIN'!$A$1:$O$86,15,0)),0,VLOOKUP($U$485,'TAR FIN'!$A$1:$O$86,15,0))</f>
        <v>211.54</v>
      </c>
      <c r="Y485" s="4"/>
      <c r="Z485" s="4">
        <f ca="1">('TUSD BE'!$AM$48+'TUSD BF'!$AM$48+'TUSD CVA'!$AM$48)*1</f>
        <v>570.88759713673926</v>
      </c>
      <c r="AA485" s="4">
        <f>('TE BE'!$AB$39+'TE BF'!$AB$39+'TE CVA'!$AB$39)*1</f>
        <v>196.56876174373542</v>
      </c>
      <c r="AB485" s="4">
        <f>$K$485*$V$485</f>
        <v>0</v>
      </c>
      <c r="AC485" s="4">
        <f>$M$485*$W$485</f>
        <v>19826.254259999998</v>
      </c>
      <c r="AD485" s="4">
        <f>$O$485*$X$485</f>
        <v>8576.25468</v>
      </c>
      <c r="AE485" s="4">
        <f>$K$485*$Y$485</f>
        <v>0</v>
      </c>
      <c r="AF485" s="4">
        <f ca="1">$M$485*$Z$485</f>
        <v>23144.924963117683</v>
      </c>
      <c r="AG485" s="4">
        <f>$O$485*$AA$485</f>
        <v>7969.2907386145216</v>
      </c>
    </row>
    <row r="486" spans="1:33" ht="11.25" customHeight="1" x14ac:dyDescent="0.25">
      <c r="A486" s="3" t="s">
        <v>28</v>
      </c>
      <c r="B486" s="3" t="s">
        <v>33</v>
      </c>
      <c r="C486" s="3" t="s">
        <v>23</v>
      </c>
      <c r="D486" s="3" t="s">
        <v>34</v>
      </c>
      <c r="E486" s="3" t="s">
        <v>25</v>
      </c>
      <c r="F486" s="3" t="s">
        <v>25</v>
      </c>
      <c r="G486" s="3" t="s">
        <v>25</v>
      </c>
      <c r="H486" s="3" t="s">
        <v>25</v>
      </c>
      <c r="I486" s="6">
        <v>44378</v>
      </c>
      <c r="J486" s="4">
        <v>0</v>
      </c>
      <c r="K486" s="4">
        <v>0</v>
      </c>
      <c r="L486" s="4">
        <v>9.2200000000000006</v>
      </c>
      <c r="M486" s="4">
        <v>9.2200000000000006</v>
      </c>
      <c r="N486" s="4">
        <v>9.2200000000000006</v>
      </c>
      <c r="O486" s="4">
        <v>9.2200000000000006</v>
      </c>
      <c r="P486" s="4">
        <v>3</v>
      </c>
      <c r="Q486" s="3" t="s">
        <v>26</v>
      </c>
      <c r="R486" s="3">
        <v>0</v>
      </c>
      <c r="S486" s="4">
        <v>0</v>
      </c>
      <c r="T486" s="4">
        <v>35</v>
      </c>
      <c r="U486" s="4">
        <v>83</v>
      </c>
      <c r="V486" s="4">
        <f>IF(ISERROR(VLOOKUP($S$486,'TAR FIN'!$A$1:$O$86,15,0)),0,VLOOKUP($S$486,'TAR FIN'!$A$1:$O$86,15,0))</f>
        <v>0</v>
      </c>
      <c r="W486" s="4">
        <f>IF(ISERROR(VLOOKUP($T$486,'TAR FIN'!$A$1:$O$86,15,0)),0,VLOOKUP($T$486,'TAR FIN'!$A$1:$O$86,15,0))</f>
        <v>489.03</v>
      </c>
      <c r="X486" s="4">
        <f>IF(ISERROR(VLOOKUP($U$486,'TAR FIN'!$A$1:$O$86,15,0)),0,VLOOKUP($U$486,'TAR FIN'!$A$1:$O$86,15,0))</f>
        <v>211.54</v>
      </c>
      <c r="Y486" s="4"/>
      <c r="Z486" s="4">
        <f ca="1">('TUSD BE'!$AM$48+'TUSD BF'!$AM$48+'TUSD CVA'!$AM$48)*1</f>
        <v>570.88759713673926</v>
      </c>
      <c r="AA486" s="4">
        <f>('TE BE'!$AB$39+'TE BF'!$AB$39+'TE CVA'!$AB$39)*1</f>
        <v>196.56876174373542</v>
      </c>
      <c r="AB486" s="4">
        <f>$K$486*$V$486</f>
        <v>0</v>
      </c>
      <c r="AC486" s="4">
        <f>$M$486*$W$486</f>
        <v>4508.8566000000001</v>
      </c>
      <c r="AD486" s="4">
        <f>$O$486*$X$486</f>
        <v>1950.3988000000002</v>
      </c>
      <c r="AE486" s="4">
        <f>$K$486*$Y$486</f>
        <v>0</v>
      </c>
      <c r="AF486" s="4">
        <f ca="1">$M$486*$Z$486</f>
        <v>5263.5836456007364</v>
      </c>
      <c r="AG486" s="4">
        <f>$O$486*$AA$486</f>
        <v>1812.3639832772408</v>
      </c>
    </row>
    <row r="487" spans="1:33" ht="11.25" customHeight="1" x14ac:dyDescent="0.25">
      <c r="A487" s="3" t="s">
        <v>21</v>
      </c>
      <c r="B487" s="3" t="s">
        <v>33</v>
      </c>
      <c r="C487" s="3" t="s">
        <v>23</v>
      </c>
      <c r="D487" s="3" t="s">
        <v>34</v>
      </c>
      <c r="E487" s="3" t="s">
        <v>25</v>
      </c>
      <c r="F487" s="3" t="s">
        <v>25</v>
      </c>
      <c r="G487" s="3" t="s">
        <v>25</v>
      </c>
      <c r="H487" s="3" t="s">
        <v>25</v>
      </c>
      <c r="I487" s="6">
        <v>44409</v>
      </c>
      <c r="J487" s="4">
        <v>0</v>
      </c>
      <c r="K487" s="4">
        <v>0</v>
      </c>
      <c r="L487" s="4">
        <v>36.991999999999997</v>
      </c>
      <c r="M487" s="4">
        <v>36.991999999999997</v>
      </c>
      <c r="N487" s="4">
        <v>36.991999999999997</v>
      </c>
      <c r="O487" s="4">
        <v>36.991999999999997</v>
      </c>
      <c r="P487" s="4">
        <v>31</v>
      </c>
      <c r="Q487" s="3" t="s">
        <v>26</v>
      </c>
      <c r="R487" s="3">
        <v>0</v>
      </c>
      <c r="S487" s="4">
        <v>0</v>
      </c>
      <c r="T487" s="4">
        <v>35</v>
      </c>
      <c r="U487" s="4">
        <v>83</v>
      </c>
      <c r="V487" s="4">
        <f>IF(ISERROR(VLOOKUP($S$487,'TAR FIN'!$A$1:$O$86,15,0)),0,VLOOKUP($S$487,'TAR FIN'!$A$1:$O$86,15,0))</f>
        <v>0</v>
      </c>
      <c r="W487" s="4">
        <f>IF(ISERROR(VLOOKUP($T$487,'TAR FIN'!$A$1:$O$86,15,0)),0,VLOOKUP($T$487,'TAR FIN'!$A$1:$O$86,15,0))</f>
        <v>489.03</v>
      </c>
      <c r="X487" s="4">
        <f>IF(ISERROR(VLOOKUP($U$487,'TAR FIN'!$A$1:$O$86,15,0)),0,VLOOKUP($U$487,'TAR FIN'!$A$1:$O$86,15,0))</f>
        <v>211.54</v>
      </c>
      <c r="Y487" s="4"/>
      <c r="Z487" s="4">
        <f ca="1">('TUSD BE'!$AM$48+'TUSD BF'!$AM$48+'TUSD CVA'!$AM$48)*1</f>
        <v>570.88759713673926</v>
      </c>
      <c r="AA487" s="4">
        <f>('TE BE'!$AB$39+'TE BF'!$AB$39+'TE CVA'!$AB$39)*1</f>
        <v>196.56876174373542</v>
      </c>
      <c r="AB487" s="4">
        <f>$K$487*$V$487</f>
        <v>0</v>
      </c>
      <c r="AC487" s="4">
        <f>$M$487*$W$487</f>
        <v>18090.197759999999</v>
      </c>
      <c r="AD487" s="4">
        <f>$O$487*$X$487</f>
        <v>7825.2876799999995</v>
      </c>
      <c r="AE487" s="4">
        <f>$K$487*$Y$487</f>
        <v>0</v>
      </c>
      <c r="AF487" s="4">
        <f ca="1">$M$487*$Z$487</f>
        <v>21118.273993282259</v>
      </c>
      <c r="AG487" s="4">
        <f>$O$487*$AA$487</f>
        <v>7271.4716344242606</v>
      </c>
    </row>
    <row r="488" spans="1:33" ht="11.25" customHeight="1" x14ac:dyDescent="0.25">
      <c r="A488" s="3" t="s">
        <v>21</v>
      </c>
      <c r="B488" s="3" t="s">
        <v>33</v>
      </c>
      <c r="C488" s="3" t="s">
        <v>23</v>
      </c>
      <c r="D488" s="3" t="s">
        <v>34</v>
      </c>
      <c r="E488" s="3" t="s">
        <v>25</v>
      </c>
      <c r="F488" s="3" t="s">
        <v>25</v>
      </c>
      <c r="G488" s="3" t="s">
        <v>25</v>
      </c>
      <c r="H488" s="3" t="s">
        <v>25</v>
      </c>
      <c r="I488" s="6">
        <v>44440</v>
      </c>
      <c r="J488" s="4">
        <v>0</v>
      </c>
      <c r="K488" s="4">
        <v>0</v>
      </c>
      <c r="L488" s="4">
        <v>33.968000000000004</v>
      </c>
      <c r="M488" s="4">
        <v>33.968000000000004</v>
      </c>
      <c r="N488" s="4">
        <v>33.968000000000004</v>
      </c>
      <c r="O488" s="4">
        <v>33.968000000000004</v>
      </c>
      <c r="P488" s="4">
        <v>32</v>
      </c>
      <c r="Q488" s="3" t="s">
        <v>26</v>
      </c>
      <c r="R488" s="3">
        <v>0</v>
      </c>
      <c r="S488" s="4">
        <v>0</v>
      </c>
      <c r="T488" s="4">
        <v>35</v>
      </c>
      <c r="U488" s="4">
        <v>83</v>
      </c>
      <c r="V488" s="4">
        <f>IF(ISERROR(VLOOKUP($S$488,'TAR FIN'!$A$1:$O$86,15,0)),0,VLOOKUP($S$488,'TAR FIN'!$A$1:$O$86,15,0))</f>
        <v>0</v>
      </c>
      <c r="W488" s="4">
        <f>IF(ISERROR(VLOOKUP($T$488,'TAR FIN'!$A$1:$O$86,15,0)),0,VLOOKUP($T$488,'TAR FIN'!$A$1:$O$86,15,0))</f>
        <v>489.03</v>
      </c>
      <c r="X488" s="4">
        <f>IF(ISERROR(VLOOKUP($U$488,'TAR FIN'!$A$1:$O$86,15,0)),0,VLOOKUP($U$488,'TAR FIN'!$A$1:$O$86,15,0))</f>
        <v>211.54</v>
      </c>
      <c r="Y488" s="4"/>
      <c r="Z488" s="4">
        <f ca="1">('TUSD BE'!$AM$48+'TUSD BF'!$AM$48+'TUSD CVA'!$AM$48)*1</f>
        <v>570.88759713673926</v>
      </c>
      <c r="AA488" s="4">
        <f>('TE BE'!$AB$39+'TE BF'!$AB$39+'TE CVA'!$AB$39)*1</f>
        <v>196.56876174373542</v>
      </c>
      <c r="AB488" s="4">
        <f>$K$488*$V$488</f>
        <v>0</v>
      </c>
      <c r="AC488" s="4">
        <f>$M$488*$W$488</f>
        <v>16611.371040000002</v>
      </c>
      <c r="AD488" s="4">
        <f>$O$488*$X$488</f>
        <v>7185.5907200000001</v>
      </c>
      <c r="AE488" s="4">
        <f>$K$488*$Y$488</f>
        <v>0</v>
      </c>
      <c r="AF488" s="4">
        <f ca="1">$M$488*$Z$488</f>
        <v>19391.909899540762</v>
      </c>
      <c r="AG488" s="4">
        <f>$O$488*$AA$488</f>
        <v>6677.0476989112058</v>
      </c>
    </row>
    <row r="489" spans="1:33" ht="11.25" customHeight="1" x14ac:dyDescent="0.25">
      <c r="A489" s="3" t="s">
        <v>28</v>
      </c>
      <c r="B489" s="3" t="s">
        <v>33</v>
      </c>
      <c r="C489" s="3" t="s">
        <v>23</v>
      </c>
      <c r="D489" s="3" t="s">
        <v>34</v>
      </c>
      <c r="E489" s="3" t="s">
        <v>25</v>
      </c>
      <c r="F489" s="3" t="s">
        <v>25</v>
      </c>
      <c r="G489" s="3" t="s">
        <v>25</v>
      </c>
      <c r="H489" s="3" t="s">
        <v>25</v>
      </c>
      <c r="I489" s="6">
        <v>44440</v>
      </c>
      <c r="J489" s="4">
        <v>0</v>
      </c>
      <c r="K489" s="4">
        <v>0</v>
      </c>
      <c r="L489" s="4">
        <v>3.1190000000000002</v>
      </c>
      <c r="M489" s="4">
        <v>3.1190000000000002</v>
      </c>
      <c r="N489" s="4">
        <v>3.1190000000000002</v>
      </c>
      <c r="O489" s="4">
        <v>3.1190000000000002</v>
      </c>
      <c r="P489" s="4">
        <v>3</v>
      </c>
      <c r="Q489" s="3" t="s">
        <v>26</v>
      </c>
      <c r="R489" s="3">
        <v>0</v>
      </c>
      <c r="S489" s="4">
        <v>0</v>
      </c>
      <c r="T489" s="4">
        <v>35</v>
      </c>
      <c r="U489" s="4">
        <v>83</v>
      </c>
      <c r="V489" s="4">
        <f>IF(ISERROR(VLOOKUP($S$489,'TAR FIN'!$A$1:$O$86,15,0)),0,VLOOKUP($S$489,'TAR FIN'!$A$1:$O$86,15,0))</f>
        <v>0</v>
      </c>
      <c r="W489" s="4">
        <f>IF(ISERROR(VLOOKUP($T$489,'TAR FIN'!$A$1:$O$86,15,0)),0,VLOOKUP($T$489,'TAR FIN'!$A$1:$O$86,15,0))</f>
        <v>489.03</v>
      </c>
      <c r="X489" s="4">
        <f>IF(ISERROR(VLOOKUP($U$489,'TAR FIN'!$A$1:$O$86,15,0)),0,VLOOKUP($U$489,'TAR FIN'!$A$1:$O$86,15,0))</f>
        <v>211.54</v>
      </c>
      <c r="Y489" s="4"/>
      <c r="Z489" s="4">
        <f ca="1">('TUSD BE'!$AM$48+'TUSD BF'!$AM$48+'TUSD CVA'!$AM$48)*1</f>
        <v>570.88759713673926</v>
      </c>
      <c r="AA489" s="4">
        <f>('TE BE'!$AB$39+'TE BF'!$AB$39+'TE CVA'!$AB$39)*1</f>
        <v>196.56876174373542</v>
      </c>
      <c r="AB489" s="4">
        <f>$K$489*$V$489</f>
        <v>0</v>
      </c>
      <c r="AC489" s="4">
        <f>$M$489*$W$489</f>
        <v>1525.28457</v>
      </c>
      <c r="AD489" s="4">
        <f>$O$489*$X$489</f>
        <v>659.79326000000003</v>
      </c>
      <c r="AE489" s="4">
        <f>$K$489*$Y$489</f>
        <v>0</v>
      </c>
      <c r="AF489" s="4">
        <f ca="1">$M$489*$Z$489</f>
        <v>1780.59841546949</v>
      </c>
      <c r="AG489" s="4">
        <f>$O$489*$AA$489</f>
        <v>613.09796787871085</v>
      </c>
    </row>
    <row r="490" spans="1:33" ht="11.25" customHeight="1" x14ac:dyDescent="0.25">
      <c r="A490" s="3" t="s">
        <v>21</v>
      </c>
      <c r="B490" s="3" t="s">
        <v>33</v>
      </c>
      <c r="C490" s="3" t="s">
        <v>23</v>
      </c>
      <c r="D490" s="3" t="s">
        <v>34</v>
      </c>
      <c r="E490" s="3" t="s">
        <v>25</v>
      </c>
      <c r="F490" s="3" t="s">
        <v>25</v>
      </c>
      <c r="G490" s="3" t="s">
        <v>25</v>
      </c>
      <c r="H490" s="3" t="s">
        <v>25</v>
      </c>
      <c r="I490" s="6">
        <v>44470</v>
      </c>
      <c r="J490" s="4">
        <v>0</v>
      </c>
      <c r="K490" s="4">
        <v>0</v>
      </c>
      <c r="L490" s="4">
        <v>42.881</v>
      </c>
      <c r="M490" s="4">
        <v>42.881</v>
      </c>
      <c r="N490" s="4">
        <v>42.881</v>
      </c>
      <c r="O490" s="4">
        <v>42.881</v>
      </c>
      <c r="P490" s="4">
        <v>33</v>
      </c>
      <c r="Q490" s="3" t="s">
        <v>26</v>
      </c>
      <c r="R490" s="3">
        <v>0</v>
      </c>
      <c r="S490" s="4">
        <v>0</v>
      </c>
      <c r="T490" s="4">
        <v>35</v>
      </c>
      <c r="U490" s="4">
        <v>83</v>
      </c>
      <c r="V490" s="4">
        <f>IF(ISERROR(VLOOKUP($S$490,'TAR FIN'!$A$1:$O$86,15,0)),0,VLOOKUP($S$490,'TAR FIN'!$A$1:$O$86,15,0))</f>
        <v>0</v>
      </c>
      <c r="W490" s="4">
        <f>IF(ISERROR(VLOOKUP($T$490,'TAR FIN'!$A$1:$O$86,15,0)),0,VLOOKUP($T$490,'TAR FIN'!$A$1:$O$86,15,0))</f>
        <v>489.03</v>
      </c>
      <c r="X490" s="4">
        <f>IF(ISERROR(VLOOKUP($U$490,'TAR FIN'!$A$1:$O$86,15,0)),0,VLOOKUP($U$490,'TAR FIN'!$A$1:$O$86,15,0))</f>
        <v>211.54</v>
      </c>
      <c r="Y490" s="4"/>
      <c r="Z490" s="4">
        <f ca="1">('TUSD BE'!$AM$48+'TUSD BF'!$AM$48+'TUSD CVA'!$AM$48)*1</f>
        <v>570.88759713673926</v>
      </c>
      <c r="AA490" s="4">
        <f>('TE BE'!$AB$39+'TE BF'!$AB$39+'TE CVA'!$AB$39)*1</f>
        <v>196.56876174373542</v>
      </c>
      <c r="AB490" s="4">
        <f>$K$490*$V$490</f>
        <v>0</v>
      </c>
      <c r="AC490" s="4">
        <f>$M$490*$W$490</f>
        <v>20970.095429999998</v>
      </c>
      <c r="AD490" s="4">
        <f>$O$490*$X$490</f>
        <v>9071.0467399999998</v>
      </c>
      <c r="AE490" s="4">
        <f>$K$490*$Y$490</f>
        <v>0</v>
      </c>
      <c r="AF490" s="4">
        <f ca="1">$M$490*$Z$490</f>
        <v>24480.231052820516</v>
      </c>
      <c r="AG490" s="4">
        <f>$O$490*$AA$490</f>
        <v>8429.0650723331182</v>
      </c>
    </row>
    <row r="491" spans="1:33" ht="11.25" customHeight="1" x14ac:dyDescent="0.25">
      <c r="A491" s="3" t="s">
        <v>28</v>
      </c>
      <c r="B491" s="3" t="s">
        <v>33</v>
      </c>
      <c r="C491" s="3" t="s">
        <v>23</v>
      </c>
      <c r="D491" s="3" t="s">
        <v>34</v>
      </c>
      <c r="E491" s="3" t="s">
        <v>25</v>
      </c>
      <c r="F491" s="3" t="s">
        <v>25</v>
      </c>
      <c r="G491" s="3" t="s">
        <v>25</v>
      </c>
      <c r="H491" s="3" t="s">
        <v>25</v>
      </c>
      <c r="I491" s="6">
        <v>44470</v>
      </c>
      <c r="J491" s="4">
        <v>0</v>
      </c>
      <c r="K491" s="4">
        <v>0</v>
      </c>
      <c r="L491" s="4">
        <v>3.569</v>
      </c>
      <c r="M491" s="4">
        <v>3.569</v>
      </c>
      <c r="N491" s="4">
        <v>3.569</v>
      </c>
      <c r="O491" s="4">
        <v>3.569</v>
      </c>
      <c r="P491" s="4">
        <v>3</v>
      </c>
      <c r="Q491" s="3" t="s">
        <v>26</v>
      </c>
      <c r="R491" s="3">
        <v>0</v>
      </c>
      <c r="S491" s="4">
        <v>0</v>
      </c>
      <c r="T491" s="4">
        <v>35</v>
      </c>
      <c r="U491" s="4">
        <v>83</v>
      </c>
      <c r="V491" s="4">
        <f>IF(ISERROR(VLOOKUP($S$491,'TAR FIN'!$A$1:$O$86,15,0)),0,VLOOKUP($S$491,'TAR FIN'!$A$1:$O$86,15,0))</f>
        <v>0</v>
      </c>
      <c r="W491" s="4">
        <f>IF(ISERROR(VLOOKUP($T$491,'TAR FIN'!$A$1:$O$86,15,0)),0,VLOOKUP($T$491,'TAR FIN'!$A$1:$O$86,15,0))</f>
        <v>489.03</v>
      </c>
      <c r="X491" s="4">
        <f>IF(ISERROR(VLOOKUP($U$491,'TAR FIN'!$A$1:$O$86,15,0)),0,VLOOKUP($U$491,'TAR FIN'!$A$1:$O$86,15,0))</f>
        <v>211.54</v>
      </c>
      <c r="Y491" s="4"/>
      <c r="Z491" s="4">
        <f ca="1">('TUSD BE'!$AM$48+'TUSD BF'!$AM$48+'TUSD CVA'!$AM$48)*1</f>
        <v>570.88759713673926</v>
      </c>
      <c r="AA491" s="4">
        <f>('TE BE'!$AB$39+'TE BF'!$AB$39+'TE CVA'!$AB$39)*1</f>
        <v>196.56876174373542</v>
      </c>
      <c r="AB491" s="4">
        <f>$K$491*$V$491</f>
        <v>0</v>
      </c>
      <c r="AC491" s="4">
        <f>$M$491*$W$491</f>
        <v>1745.3480699999998</v>
      </c>
      <c r="AD491" s="4">
        <f>$O$491*$X$491</f>
        <v>754.98626000000002</v>
      </c>
      <c r="AE491" s="4">
        <f>$K$491*$Y$491</f>
        <v>0</v>
      </c>
      <c r="AF491" s="4">
        <f ca="1">$M$491*$Z$491</f>
        <v>2037.4978341810224</v>
      </c>
      <c r="AG491" s="4">
        <f>$O$491*$AA$491</f>
        <v>701.55391066339166</v>
      </c>
    </row>
    <row r="492" spans="1:33" ht="11.25" customHeight="1" x14ac:dyDescent="0.25">
      <c r="A492" s="3" t="s">
        <v>21</v>
      </c>
      <c r="B492" s="3" t="s">
        <v>33</v>
      </c>
      <c r="C492" s="3" t="s">
        <v>23</v>
      </c>
      <c r="D492" s="3" t="s">
        <v>34</v>
      </c>
      <c r="E492" s="3" t="s">
        <v>25</v>
      </c>
      <c r="F492" s="3" t="s">
        <v>25</v>
      </c>
      <c r="G492" s="3" t="s">
        <v>25</v>
      </c>
      <c r="H492" s="3" t="s">
        <v>25</v>
      </c>
      <c r="I492" s="6">
        <v>44501</v>
      </c>
      <c r="J492" s="4">
        <v>0</v>
      </c>
      <c r="K492" s="4">
        <v>0</v>
      </c>
      <c r="L492" s="4">
        <v>40.781999999999996</v>
      </c>
      <c r="M492" s="4">
        <v>40.781999999999996</v>
      </c>
      <c r="N492" s="4">
        <v>40.781999999999996</v>
      </c>
      <c r="O492" s="4">
        <v>40.781999999999996</v>
      </c>
      <c r="P492" s="4">
        <v>32</v>
      </c>
      <c r="Q492" s="3" t="s">
        <v>26</v>
      </c>
      <c r="R492" s="3">
        <v>0</v>
      </c>
      <c r="S492" s="4">
        <v>0</v>
      </c>
      <c r="T492" s="4">
        <v>35</v>
      </c>
      <c r="U492" s="4">
        <v>83</v>
      </c>
      <c r="V492" s="4">
        <f>IF(ISERROR(VLOOKUP($S$492,'TAR FIN'!$A$1:$O$86,15,0)),0,VLOOKUP($S$492,'TAR FIN'!$A$1:$O$86,15,0))</f>
        <v>0</v>
      </c>
      <c r="W492" s="4">
        <f>IF(ISERROR(VLOOKUP($T$492,'TAR FIN'!$A$1:$O$86,15,0)),0,VLOOKUP($T$492,'TAR FIN'!$A$1:$O$86,15,0))</f>
        <v>489.03</v>
      </c>
      <c r="X492" s="4">
        <f>IF(ISERROR(VLOOKUP($U$492,'TAR FIN'!$A$1:$O$86,15,0)),0,VLOOKUP($U$492,'TAR FIN'!$A$1:$O$86,15,0))</f>
        <v>211.54</v>
      </c>
      <c r="Y492" s="4"/>
      <c r="Z492" s="4">
        <f ca="1">('TUSD BE'!$AM$48+'TUSD BF'!$AM$48+'TUSD CVA'!$AM$48)*1</f>
        <v>570.88759713673926</v>
      </c>
      <c r="AA492" s="4">
        <f>('TE BE'!$AB$39+'TE BF'!$AB$39+'TE CVA'!$AB$39)*1</f>
        <v>196.56876174373542</v>
      </c>
      <c r="AB492" s="4">
        <f>$K$492*$V$492</f>
        <v>0</v>
      </c>
      <c r="AC492" s="4">
        <f>$M$492*$W$492</f>
        <v>19943.621459999998</v>
      </c>
      <c r="AD492" s="4">
        <f>$O$492*$X$492</f>
        <v>8627.0242799999996</v>
      </c>
      <c r="AE492" s="4">
        <f>$K$492*$Y$492</f>
        <v>0</v>
      </c>
      <c r="AF492" s="4">
        <f ca="1">$M$492*$Z$492</f>
        <v>23281.937986430497</v>
      </c>
      <c r="AG492" s="4">
        <f>$O$492*$AA$492</f>
        <v>8016.4672414330171</v>
      </c>
    </row>
    <row r="493" spans="1:33" ht="11.25" customHeight="1" x14ac:dyDescent="0.25">
      <c r="A493" s="3" t="s">
        <v>28</v>
      </c>
      <c r="B493" s="3" t="s">
        <v>33</v>
      </c>
      <c r="C493" s="3" t="s">
        <v>23</v>
      </c>
      <c r="D493" s="3" t="s">
        <v>34</v>
      </c>
      <c r="E493" s="3" t="s">
        <v>25</v>
      </c>
      <c r="F493" s="3" t="s">
        <v>25</v>
      </c>
      <c r="G493" s="3" t="s">
        <v>25</v>
      </c>
      <c r="H493" s="3" t="s">
        <v>25</v>
      </c>
      <c r="I493" s="6">
        <v>44501</v>
      </c>
      <c r="J493" s="4">
        <v>0</v>
      </c>
      <c r="K493" s="4">
        <v>0</v>
      </c>
      <c r="L493" s="4">
        <v>6.6550000000000002</v>
      </c>
      <c r="M493" s="4">
        <v>6.6550000000000002</v>
      </c>
      <c r="N493" s="4">
        <v>6.6550000000000002</v>
      </c>
      <c r="O493" s="4">
        <v>6.6550000000000002</v>
      </c>
      <c r="P493" s="4">
        <v>4</v>
      </c>
      <c r="Q493" s="3" t="s">
        <v>26</v>
      </c>
      <c r="R493" s="3">
        <v>0</v>
      </c>
      <c r="S493" s="4">
        <v>0</v>
      </c>
      <c r="T493" s="4">
        <v>35</v>
      </c>
      <c r="U493" s="4">
        <v>83</v>
      </c>
      <c r="V493" s="4">
        <f>IF(ISERROR(VLOOKUP($S$493,'TAR FIN'!$A$1:$O$86,15,0)),0,VLOOKUP($S$493,'TAR FIN'!$A$1:$O$86,15,0))</f>
        <v>0</v>
      </c>
      <c r="W493" s="4">
        <f>IF(ISERROR(VLOOKUP($T$493,'TAR FIN'!$A$1:$O$86,15,0)),0,VLOOKUP($T$493,'TAR FIN'!$A$1:$O$86,15,0))</f>
        <v>489.03</v>
      </c>
      <c r="X493" s="4">
        <f>IF(ISERROR(VLOOKUP($U$493,'TAR FIN'!$A$1:$O$86,15,0)),0,VLOOKUP($U$493,'TAR FIN'!$A$1:$O$86,15,0))</f>
        <v>211.54</v>
      </c>
      <c r="Y493" s="4"/>
      <c r="Z493" s="4">
        <f ca="1">('TUSD BE'!$AM$48+'TUSD BF'!$AM$48+'TUSD CVA'!$AM$48)*1</f>
        <v>570.88759713673926</v>
      </c>
      <c r="AA493" s="4">
        <f>('TE BE'!$AB$39+'TE BF'!$AB$39+'TE CVA'!$AB$39)*1</f>
        <v>196.56876174373542</v>
      </c>
      <c r="AB493" s="4">
        <f>$K$493*$V$493</f>
        <v>0</v>
      </c>
      <c r="AC493" s="4">
        <f>$M$493*$W$493</f>
        <v>3254.4946500000001</v>
      </c>
      <c r="AD493" s="4">
        <f>$O$493*$X$493</f>
        <v>1407.7987000000001</v>
      </c>
      <c r="AE493" s="4">
        <f>$K$493*$Y$493</f>
        <v>0</v>
      </c>
      <c r="AF493" s="4">
        <f ca="1">$M$493*$Z$493</f>
        <v>3799.256958945</v>
      </c>
      <c r="AG493" s="4">
        <f>$O$493*$AA$493</f>
        <v>1308.1651094045592</v>
      </c>
    </row>
    <row r="494" spans="1:33" ht="11.25" customHeight="1" x14ac:dyDescent="0.25">
      <c r="A494" s="3" t="s">
        <v>21</v>
      </c>
      <c r="B494" s="3" t="s">
        <v>33</v>
      </c>
      <c r="C494" s="3" t="s">
        <v>23</v>
      </c>
      <c r="D494" s="3" t="s">
        <v>34</v>
      </c>
      <c r="E494" s="3" t="s">
        <v>25</v>
      </c>
      <c r="F494" s="3" t="s">
        <v>25</v>
      </c>
      <c r="G494" s="3" t="s">
        <v>25</v>
      </c>
      <c r="H494" s="3" t="s">
        <v>25</v>
      </c>
      <c r="I494" s="6">
        <v>44531</v>
      </c>
      <c r="J494" s="4">
        <v>0</v>
      </c>
      <c r="K494" s="4">
        <v>0</v>
      </c>
      <c r="L494" s="4">
        <v>42.627000000000002</v>
      </c>
      <c r="M494" s="4">
        <v>42.627000000000002</v>
      </c>
      <c r="N494" s="4">
        <v>42.627000000000002</v>
      </c>
      <c r="O494" s="4">
        <v>42.627000000000002</v>
      </c>
      <c r="P494" s="4">
        <v>32</v>
      </c>
      <c r="Q494" s="3" t="s">
        <v>26</v>
      </c>
      <c r="R494" s="3">
        <v>0</v>
      </c>
      <c r="S494" s="4">
        <v>0</v>
      </c>
      <c r="T494" s="4">
        <v>35</v>
      </c>
      <c r="U494" s="4">
        <v>83</v>
      </c>
      <c r="V494" s="4">
        <f>IF(ISERROR(VLOOKUP($S$494,'TAR FIN'!$A$1:$O$86,15,0)),0,VLOOKUP($S$494,'TAR FIN'!$A$1:$O$86,15,0))</f>
        <v>0</v>
      </c>
      <c r="W494" s="4">
        <f>IF(ISERROR(VLOOKUP($T$494,'TAR FIN'!$A$1:$O$86,15,0)),0,VLOOKUP($T$494,'TAR FIN'!$A$1:$O$86,15,0))</f>
        <v>489.03</v>
      </c>
      <c r="X494" s="4">
        <f>IF(ISERROR(VLOOKUP($U$494,'TAR FIN'!$A$1:$O$86,15,0)),0,VLOOKUP($U$494,'TAR FIN'!$A$1:$O$86,15,0))</f>
        <v>211.54</v>
      </c>
      <c r="Y494" s="4"/>
      <c r="Z494" s="4">
        <f ca="1">('TUSD BE'!$AM$48+'TUSD BF'!$AM$48+'TUSD CVA'!$AM$48)*1</f>
        <v>570.88759713673926</v>
      </c>
      <c r="AA494" s="4">
        <f>('TE BE'!$AB$39+'TE BF'!$AB$39+'TE CVA'!$AB$39)*1</f>
        <v>196.56876174373542</v>
      </c>
      <c r="AB494" s="4">
        <f>$K$494*$V$494</f>
        <v>0</v>
      </c>
      <c r="AC494" s="4">
        <f>$M$494*$W$494</f>
        <v>20845.881809999999</v>
      </c>
      <c r="AD494" s="4">
        <f>$O$494*$X$494</f>
        <v>9017.3155800000004</v>
      </c>
      <c r="AE494" s="4">
        <f>$K$494*$Y$494</f>
        <v>0</v>
      </c>
      <c r="AF494" s="4">
        <f ca="1">$M$494*$Z$494</f>
        <v>24335.225603147785</v>
      </c>
      <c r="AG494" s="4">
        <f>$O$494*$AA$494</f>
        <v>8379.1366068502102</v>
      </c>
    </row>
    <row r="495" spans="1:33" ht="11.25" customHeight="1" x14ac:dyDescent="0.25">
      <c r="A495" s="3" t="s">
        <v>28</v>
      </c>
      <c r="B495" s="3" t="s">
        <v>33</v>
      </c>
      <c r="C495" s="3" t="s">
        <v>23</v>
      </c>
      <c r="D495" s="3" t="s">
        <v>34</v>
      </c>
      <c r="E495" s="3" t="s">
        <v>25</v>
      </c>
      <c r="F495" s="3" t="s">
        <v>25</v>
      </c>
      <c r="G495" s="3" t="s">
        <v>25</v>
      </c>
      <c r="H495" s="3" t="s">
        <v>25</v>
      </c>
      <c r="I495" s="6">
        <v>44531</v>
      </c>
      <c r="J495" s="4">
        <v>0</v>
      </c>
      <c r="K495" s="4">
        <v>0</v>
      </c>
      <c r="L495" s="4">
        <v>4.0679999999999996</v>
      </c>
      <c r="M495" s="4">
        <v>4.0679999999999996</v>
      </c>
      <c r="N495" s="4">
        <v>4.0679999999999996</v>
      </c>
      <c r="O495" s="4">
        <v>4.0679999999999996</v>
      </c>
      <c r="P495" s="4">
        <v>4</v>
      </c>
      <c r="Q495" s="3" t="s">
        <v>26</v>
      </c>
      <c r="R495" s="3">
        <v>0</v>
      </c>
      <c r="S495" s="4">
        <v>0</v>
      </c>
      <c r="T495" s="4">
        <v>35</v>
      </c>
      <c r="U495" s="4">
        <v>83</v>
      </c>
      <c r="V495" s="4">
        <f>IF(ISERROR(VLOOKUP($S$495,'TAR FIN'!$A$1:$O$86,15,0)),0,VLOOKUP($S$495,'TAR FIN'!$A$1:$O$86,15,0))</f>
        <v>0</v>
      </c>
      <c r="W495" s="4">
        <f>IF(ISERROR(VLOOKUP($T$495,'TAR FIN'!$A$1:$O$86,15,0)),0,VLOOKUP($T$495,'TAR FIN'!$A$1:$O$86,15,0))</f>
        <v>489.03</v>
      </c>
      <c r="X495" s="4">
        <f>IF(ISERROR(VLOOKUP($U$495,'TAR FIN'!$A$1:$O$86,15,0)),0,VLOOKUP($U$495,'TAR FIN'!$A$1:$O$86,15,0))</f>
        <v>211.54</v>
      </c>
      <c r="Y495" s="4"/>
      <c r="Z495" s="4">
        <f ca="1">('TUSD BE'!$AM$48+'TUSD BF'!$AM$48+'TUSD CVA'!$AM$48)*1</f>
        <v>570.88759713673926</v>
      </c>
      <c r="AA495" s="4">
        <f>('TE BE'!$AB$39+'TE BF'!$AB$39+'TE CVA'!$AB$39)*1</f>
        <v>196.56876174373542</v>
      </c>
      <c r="AB495" s="4">
        <f>$K$495*$V$495</f>
        <v>0</v>
      </c>
      <c r="AC495" s="4">
        <f>$M$495*$W$495</f>
        <v>1989.3740399999997</v>
      </c>
      <c r="AD495" s="4">
        <f>$O$495*$X$495</f>
        <v>860.54471999999987</v>
      </c>
      <c r="AE495" s="4">
        <f>$K$495*$Y$495</f>
        <v>0</v>
      </c>
      <c r="AF495" s="4">
        <f ca="1">$M$495*$Z$495</f>
        <v>2322.370745152255</v>
      </c>
      <c r="AG495" s="4">
        <f>$O$495*$AA$495</f>
        <v>799.64172277351565</v>
      </c>
    </row>
    <row r="496" spans="1:33" ht="11.25" customHeight="1" x14ac:dyDescent="0.25">
      <c r="A496" s="3" t="s">
        <v>21</v>
      </c>
      <c r="B496" s="3" t="s">
        <v>33</v>
      </c>
      <c r="C496" s="3" t="s">
        <v>23</v>
      </c>
      <c r="D496" s="3" t="s">
        <v>34</v>
      </c>
      <c r="E496" s="3" t="s">
        <v>25</v>
      </c>
      <c r="F496" s="3" t="s">
        <v>25</v>
      </c>
      <c r="G496" s="3" t="s">
        <v>25</v>
      </c>
      <c r="H496" s="3" t="s">
        <v>25</v>
      </c>
      <c r="I496" s="6">
        <v>44562</v>
      </c>
      <c r="J496" s="4">
        <v>0</v>
      </c>
      <c r="K496" s="4">
        <v>0</v>
      </c>
      <c r="L496" s="4">
        <v>33.823999999999998</v>
      </c>
      <c r="M496" s="4">
        <v>33.823999999999998</v>
      </c>
      <c r="N496" s="4">
        <v>33.823999999999998</v>
      </c>
      <c r="O496" s="4">
        <v>33.823999999999998</v>
      </c>
      <c r="P496" s="4">
        <v>32</v>
      </c>
      <c r="Q496" s="3" t="s">
        <v>26</v>
      </c>
      <c r="R496" s="3">
        <v>0</v>
      </c>
      <c r="S496" s="4">
        <v>0</v>
      </c>
      <c r="T496" s="4">
        <v>35</v>
      </c>
      <c r="U496" s="4">
        <v>83</v>
      </c>
      <c r="V496" s="4">
        <f>IF(ISERROR(VLOOKUP($S$496,'TAR FIN'!$A$1:$O$86,15,0)),0,VLOOKUP($S$496,'TAR FIN'!$A$1:$O$86,15,0))</f>
        <v>0</v>
      </c>
      <c r="W496" s="4">
        <f>IF(ISERROR(VLOOKUP($T$496,'TAR FIN'!$A$1:$O$86,15,0)),0,VLOOKUP($T$496,'TAR FIN'!$A$1:$O$86,15,0))</f>
        <v>489.03</v>
      </c>
      <c r="X496" s="4">
        <f>IF(ISERROR(VLOOKUP($U$496,'TAR FIN'!$A$1:$O$86,15,0)),0,VLOOKUP($U$496,'TAR FIN'!$A$1:$O$86,15,0))</f>
        <v>211.54</v>
      </c>
      <c r="Y496" s="4"/>
      <c r="Z496" s="4">
        <f ca="1">('TUSD BE'!$AM$48+'TUSD BF'!$AM$48+'TUSD CVA'!$AM$48)*1</f>
        <v>570.88759713673926</v>
      </c>
      <c r="AA496" s="4">
        <f>('TE BE'!$AB$39+'TE BF'!$AB$39+'TE CVA'!$AB$39)*1</f>
        <v>196.56876174373542</v>
      </c>
      <c r="AB496" s="4">
        <f>$K$496*$V$496</f>
        <v>0</v>
      </c>
      <c r="AC496" s="4">
        <f>$M$496*$W$496</f>
        <v>16540.950719999997</v>
      </c>
      <c r="AD496" s="4">
        <f>$O$496*$X$496</f>
        <v>7155.1289599999991</v>
      </c>
      <c r="AE496" s="4">
        <f>$K$496*$Y$496</f>
        <v>0</v>
      </c>
      <c r="AF496" s="4">
        <f ca="1">$M$496*$Z$496</f>
        <v>19309.702085553068</v>
      </c>
      <c r="AG496" s="4">
        <f>$O$496*$AA$496</f>
        <v>6648.7417972201065</v>
      </c>
    </row>
    <row r="497" spans="1:33" ht="11.25" customHeight="1" x14ac:dyDescent="0.25">
      <c r="A497" s="3" t="s">
        <v>28</v>
      </c>
      <c r="B497" s="3" t="s">
        <v>33</v>
      </c>
      <c r="C497" s="3" t="s">
        <v>23</v>
      </c>
      <c r="D497" s="3" t="s">
        <v>34</v>
      </c>
      <c r="E497" s="3" t="s">
        <v>25</v>
      </c>
      <c r="F497" s="3" t="s">
        <v>25</v>
      </c>
      <c r="G497" s="3" t="s">
        <v>25</v>
      </c>
      <c r="H497" s="3" t="s">
        <v>25</v>
      </c>
      <c r="I497" s="6">
        <v>44562</v>
      </c>
      <c r="J497" s="4">
        <v>0</v>
      </c>
      <c r="K497" s="4">
        <v>0</v>
      </c>
      <c r="L497" s="4">
        <v>4.0039999999999996</v>
      </c>
      <c r="M497" s="4">
        <v>4.0039999999999996</v>
      </c>
      <c r="N497" s="4">
        <v>4.0039999999999996</v>
      </c>
      <c r="O497" s="4">
        <v>4.0039999999999996</v>
      </c>
      <c r="P497" s="4">
        <v>4</v>
      </c>
      <c r="Q497" s="3" t="s">
        <v>26</v>
      </c>
      <c r="R497" s="3">
        <v>0</v>
      </c>
      <c r="S497" s="4">
        <v>0</v>
      </c>
      <c r="T497" s="4">
        <v>35</v>
      </c>
      <c r="U497" s="4">
        <v>83</v>
      </c>
      <c r="V497" s="4">
        <f>IF(ISERROR(VLOOKUP($S$497,'TAR FIN'!$A$1:$O$86,15,0)),0,VLOOKUP($S$497,'TAR FIN'!$A$1:$O$86,15,0))</f>
        <v>0</v>
      </c>
      <c r="W497" s="4">
        <f>IF(ISERROR(VLOOKUP($T$497,'TAR FIN'!$A$1:$O$86,15,0)),0,VLOOKUP($T$497,'TAR FIN'!$A$1:$O$86,15,0))</f>
        <v>489.03</v>
      </c>
      <c r="X497" s="4">
        <f>IF(ISERROR(VLOOKUP($U$497,'TAR FIN'!$A$1:$O$86,15,0)),0,VLOOKUP($U$497,'TAR FIN'!$A$1:$O$86,15,0))</f>
        <v>211.54</v>
      </c>
      <c r="Y497" s="4"/>
      <c r="Z497" s="4">
        <f ca="1">('TUSD BE'!$AM$48+'TUSD BF'!$AM$48+'TUSD CVA'!$AM$48)*1</f>
        <v>570.88759713673926</v>
      </c>
      <c r="AA497" s="4">
        <f>('TE BE'!$AB$39+'TE BF'!$AB$39+'TE CVA'!$AB$39)*1</f>
        <v>196.56876174373542</v>
      </c>
      <c r="AB497" s="4">
        <f>$K$497*$V$497</f>
        <v>0</v>
      </c>
      <c r="AC497" s="4">
        <f>$M$497*$W$497</f>
        <v>1958.0761199999997</v>
      </c>
      <c r="AD497" s="4">
        <f>$O$497*$X$497</f>
        <v>847.00615999999991</v>
      </c>
      <c r="AE497" s="4">
        <f>$K$497*$Y$497</f>
        <v>0</v>
      </c>
      <c r="AF497" s="4">
        <f ca="1">$M$497*$Z$497</f>
        <v>2285.8339389355037</v>
      </c>
      <c r="AG497" s="4">
        <f>$O$497*$AA$497</f>
        <v>787.06132202191657</v>
      </c>
    </row>
    <row r="498" spans="1:33" ht="11.25" customHeight="1" x14ac:dyDescent="0.25">
      <c r="A498" s="3" t="s">
        <v>21</v>
      </c>
      <c r="B498" s="3" t="s">
        <v>33</v>
      </c>
      <c r="C498" s="3" t="s">
        <v>23</v>
      </c>
      <c r="D498" s="3" t="s">
        <v>34</v>
      </c>
      <c r="E498" s="3" t="s">
        <v>25</v>
      </c>
      <c r="F498" s="3" t="s">
        <v>25</v>
      </c>
      <c r="G498" s="3" t="s">
        <v>25</v>
      </c>
      <c r="H498" s="3" t="s">
        <v>25</v>
      </c>
      <c r="I498" s="6">
        <v>44593</v>
      </c>
      <c r="J498" s="4">
        <v>0</v>
      </c>
      <c r="K498" s="4">
        <v>0</v>
      </c>
      <c r="L498" s="4">
        <v>45.145000000000003</v>
      </c>
      <c r="M498" s="4">
        <v>45.145000000000003</v>
      </c>
      <c r="N498" s="4">
        <v>45.145000000000003</v>
      </c>
      <c r="O498" s="4">
        <v>45.145000000000003</v>
      </c>
      <c r="P498" s="4">
        <v>33</v>
      </c>
      <c r="Q498" s="3" t="s">
        <v>26</v>
      </c>
      <c r="R498" s="3">
        <v>0</v>
      </c>
      <c r="S498" s="4">
        <v>0</v>
      </c>
      <c r="T498" s="4">
        <v>35</v>
      </c>
      <c r="U498" s="4">
        <v>83</v>
      </c>
      <c r="V498" s="4">
        <f>IF(ISERROR(VLOOKUP($S$498,'TAR FIN'!$A$1:$O$86,15,0)),0,VLOOKUP($S$498,'TAR FIN'!$A$1:$O$86,15,0))</f>
        <v>0</v>
      </c>
      <c r="W498" s="4">
        <f>IF(ISERROR(VLOOKUP($T$498,'TAR FIN'!$A$1:$O$86,15,0)),0,VLOOKUP($T$498,'TAR FIN'!$A$1:$O$86,15,0))</f>
        <v>489.03</v>
      </c>
      <c r="X498" s="4">
        <f>IF(ISERROR(VLOOKUP($U$498,'TAR FIN'!$A$1:$O$86,15,0)),0,VLOOKUP($U$498,'TAR FIN'!$A$1:$O$86,15,0))</f>
        <v>211.54</v>
      </c>
      <c r="Y498" s="4"/>
      <c r="Z498" s="4">
        <f ca="1">('TUSD BE'!$AM$48+'TUSD BF'!$AM$48+'TUSD CVA'!$AM$48)*1</f>
        <v>570.88759713673926</v>
      </c>
      <c r="AA498" s="4">
        <f>('TE BE'!$AB$39+'TE BF'!$AB$39+'TE CVA'!$AB$39)*1</f>
        <v>196.56876174373542</v>
      </c>
      <c r="AB498" s="4">
        <f>$K$498*$V$498</f>
        <v>0</v>
      </c>
      <c r="AC498" s="4">
        <f>$M$498*$W$498</f>
        <v>22077.25935</v>
      </c>
      <c r="AD498" s="4">
        <f>$O$498*$X$498</f>
        <v>9549.9732999999997</v>
      </c>
      <c r="AE498" s="4">
        <f>$K$498*$Y$498</f>
        <v>0</v>
      </c>
      <c r="AF498" s="4">
        <f ca="1">$M$498*$Z$498</f>
        <v>25772.720572738097</v>
      </c>
      <c r="AG498" s="4">
        <f>$O$498*$AA$498</f>
        <v>8874.0967489209361</v>
      </c>
    </row>
    <row r="499" spans="1:33" ht="11.25" customHeight="1" x14ac:dyDescent="0.25">
      <c r="A499" s="3" t="s">
        <v>28</v>
      </c>
      <c r="B499" s="3" t="s">
        <v>33</v>
      </c>
      <c r="C499" s="3" t="s">
        <v>23</v>
      </c>
      <c r="D499" s="3" t="s">
        <v>34</v>
      </c>
      <c r="E499" s="3" t="s">
        <v>25</v>
      </c>
      <c r="F499" s="3" t="s">
        <v>25</v>
      </c>
      <c r="G499" s="3" t="s">
        <v>25</v>
      </c>
      <c r="H499" s="3" t="s">
        <v>25</v>
      </c>
      <c r="I499" s="6">
        <v>44593</v>
      </c>
      <c r="J499" s="4">
        <v>0</v>
      </c>
      <c r="K499" s="4">
        <v>0</v>
      </c>
      <c r="L499" s="4">
        <v>5.4770000000000003</v>
      </c>
      <c r="M499" s="4">
        <v>5.4770000000000003</v>
      </c>
      <c r="N499" s="4">
        <v>5.4770000000000003</v>
      </c>
      <c r="O499" s="4">
        <v>5.4770000000000003</v>
      </c>
      <c r="P499" s="4">
        <v>4</v>
      </c>
      <c r="Q499" s="3" t="s">
        <v>26</v>
      </c>
      <c r="R499" s="3">
        <v>0</v>
      </c>
      <c r="S499" s="4">
        <v>0</v>
      </c>
      <c r="T499" s="4">
        <v>35</v>
      </c>
      <c r="U499" s="4">
        <v>83</v>
      </c>
      <c r="V499" s="4">
        <f>IF(ISERROR(VLOOKUP($S$499,'TAR FIN'!$A$1:$O$86,15,0)),0,VLOOKUP($S$499,'TAR FIN'!$A$1:$O$86,15,0))</f>
        <v>0</v>
      </c>
      <c r="W499" s="4">
        <f>IF(ISERROR(VLOOKUP($T$499,'TAR FIN'!$A$1:$O$86,15,0)),0,VLOOKUP($T$499,'TAR FIN'!$A$1:$O$86,15,0))</f>
        <v>489.03</v>
      </c>
      <c r="X499" s="4">
        <f>IF(ISERROR(VLOOKUP($U$499,'TAR FIN'!$A$1:$O$86,15,0)),0,VLOOKUP($U$499,'TAR FIN'!$A$1:$O$86,15,0))</f>
        <v>211.54</v>
      </c>
      <c r="Y499" s="4"/>
      <c r="Z499" s="4">
        <f ca="1">('TUSD BE'!$AM$48+'TUSD BF'!$AM$48+'TUSD CVA'!$AM$48)*1</f>
        <v>570.88759713673926</v>
      </c>
      <c r="AA499" s="4">
        <f>('TE BE'!$AB$39+'TE BF'!$AB$39+'TE CVA'!$AB$39)*1</f>
        <v>196.56876174373542</v>
      </c>
      <c r="AB499" s="4">
        <f>$K$499*$V$499</f>
        <v>0</v>
      </c>
      <c r="AC499" s="4">
        <f>$M$499*$W$499</f>
        <v>2678.4173099999998</v>
      </c>
      <c r="AD499" s="4">
        <f>$O$499*$X$499</f>
        <v>1158.6045799999999</v>
      </c>
      <c r="AE499" s="4">
        <f>$K$499*$Y$499</f>
        <v>0</v>
      </c>
      <c r="AF499" s="4">
        <f ca="1">$M$499*$Z$499</f>
        <v>3126.7513695179209</v>
      </c>
      <c r="AG499" s="4">
        <f>$O$499*$AA$499</f>
        <v>1076.6071080704389</v>
      </c>
    </row>
    <row r="500" spans="1:33" ht="11.25" customHeight="1" x14ac:dyDescent="0.25">
      <c r="A500" s="3" t="s">
        <v>21</v>
      </c>
      <c r="B500" s="3" t="s">
        <v>33</v>
      </c>
      <c r="C500" s="3" t="s">
        <v>23</v>
      </c>
      <c r="D500" s="3" t="s">
        <v>34</v>
      </c>
      <c r="E500" s="3" t="s">
        <v>25</v>
      </c>
      <c r="F500" s="3" t="s">
        <v>25</v>
      </c>
      <c r="G500" s="3" t="s">
        <v>25</v>
      </c>
      <c r="H500" s="3" t="s">
        <v>25</v>
      </c>
      <c r="I500" s="6">
        <v>44621</v>
      </c>
      <c r="J500" s="4">
        <v>0</v>
      </c>
      <c r="K500" s="4">
        <v>0</v>
      </c>
      <c r="L500" s="4">
        <v>37.448</v>
      </c>
      <c r="M500" s="4">
        <v>37.448</v>
      </c>
      <c r="N500" s="4">
        <v>37.448</v>
      </c>
      <c r="O500" s="4">
        <v>37.448</v>
      </c>
      <c r="P500" s="4">
        <v>33</v>
      </c>
      <c r="Q500" s="3" t="s">
        <v>26</v>
      </c>
      <c r="R500" s="3">
        <v>0</v>
      </c>
      <c r="S500" s="4">
        <v>0</v>
      </c>
      <c r="T500" s="4">
        <v>35</v>
      </c>
      <c r="U500" s="4">
        <v>83</v>
      </c>
      <c r="V500" s="4">
        <f>IF(ISERROR(VLOOKUP($S$500,'TAR FIN'!$A$1:$O$86,15,0)),0,VLOOKUP($S$500,'TAR FIN'!$A$1:$O$86,15,0))</f>
        <v>0</v>
      </c>
      <c r="W500" s="4">
        <f>IF(ISERROR(VLOOKUP($T$500,'TAR FIN'!$A$1:$O$86,15,0)),0,VLOOKUP($T$500,'TAR FIN'!$A$1:$O$86,15,0))</f>
        <v>489.03</v>
      </c>
      <c r="X500" s="4">
        <f>IF(ISERROR(VLOOKUP($U$500,'TAR FIN'!$A$1:$O$86,15,0)),0,VLOOKUP($U$500,'TAR FIN'!$A$1:$O$86,15,0))</f>
        <v>211.54</v>
      </c>
      <c r="Y500" s="4"/>
      <c r="Z500" s="4">
        <f ca="1">('TUSD BE'!$AM$48+'TUSD BF'!$AM$48+'TUSD CVA'!$AM$48)*1</f>
        <v>570.88759713673926</v>
      </c>
      <c r="AA500" s="4">
        <f>('TE BE'!$AB$39+'TE BF'!$AB$39+'TE CVA'!$AB$39)*1</f>
        <v>196.56876174373542</v>
      </c>
      <c r="AB500" s="4">
        <f>$K$500*$V$500</f>
        <v>0</v>
      </c>
      <c r="AC500" s="4">
        <f>$M$500*$W$500</f>
        <v>18313.19544</v>
      </c>
      <c r="AD500" s="4">
        <f>$O$500*$X$500</f>
        <v>7921.7499200000002</v>
      </c>
      <c r="AE500" s="4">
        <f>$K$500*$Y$500</f>
        <v>0</v>
      </c>
      <c r="AF500" s="4">
        <f ca="1">$M$500*$Z$500</f>
        <v>21378.598737576613</v>
      </c>
      <c r="AG500" s="4">
        <f>$O$500*$AA$500</f>
        <v>7361.1069897794041</v>
      </c>
    </row>
    <row r="501" spans="1:33" ht="11.25" customHeight="1" x14ac:dyDescent="0.25">
      <c r="A501" s="3" t="s">
        <v>28</v>
      </c>
      <c r="B501" s="3" t="s">
        <v>33</v>
      </c>
      <c r="C501" s="3" t="s">
        <v>23</v>
      </c>
      <c r="D501" s="3" t="s">
        <v>34</v>
      </c>
      <c r="E501" s="3" t="s">
        <v>25</v>
      </c>
      <c r="F501" s="3" t="s">
        <v>25</v>
      </c>
      <c r="G501" s="3" t="s">
        <v>25</v>
      </c>
      <c r="H501" s="3" t="s">
        <v>25</v>
      </c>
      <c r="I501" s="6">
        <v>44621</v>
      </c>
      <c r="J501" s="4">
        <v>0</v>
      </c>
      <c r="K501" s="4">
        <v>0</v>
      </c>
      <c r="L501" s="4">
        <v>4.4020000000000001</v>
      </c>
      <c r="M501" s="4">
        <v>4.4020000000000001</v>
      </c>
      <c r="N501" s="4">
        <v>4.4020000000000001</v>
      </c>
      <c r="O501" s="4">
        <v>4.4020000000000001</v>
      </c>
      <c r="P501" s="4">
        <v>4</v>
      </c>
      <c r="Q501" s="3" t="s">
        <v>26</v>
      </c>
      <c r="R501" s="3">
        <v>0</v>
      </c>
      <c r="S501" s="4">
        <v>0</v>
      </c>
      <c r="T501" s="4">
        <v>35</v>
      </c>
      <c r="U501" s="4">
        <v>83</v>
      </c>
      <c r="V501" s="4">
        <f>IF(ISERROR(VLOOKUP($S$501,'TAR FIN'!$A$1:$O$86,15,0)),0,VLOOKUP($S$501,'TAR FIN'!$A$1:$O$86,15,0))</f>
        <v>0</v>
      </c>
      <c r="W501" s="4">
        <f>IF(ISERROR(VLOOKUP($T$501,'TAR FIN'!$A$1:$O$86,15,0)),0,VLOOKUP($T$501,'TAR FIN'!$A$1:$O$86,15,0))</f>
        <v>489.03</v>
      </c>
      <c r="X501" s="4">
        <f>IF(ISERROR(VLOOKUP($U$501,'TAR FIN'!$A$1:$O$86,15,0)),0,VLOOKUP($U$501,'TAR FIN'!$A$1:$O$86,15,0))</f>
        <v>211.54</v>
      </c>
      <c r="Y501" s="4"/>
      <c r="Z501" s="4">
        <f ca="1">('TUSD BE'!$AM$48+'TUSD BF'!$AM$48+'TUSD CVA'!$AM$48)*1</f>
        <v>570.88759713673926</v>
      </c>
      <c r="AA501" s="4">
        <f>('TE BE'!$AB$39+'TE BF'!$AB$39+'TE CVA'!$AB$39)*1</f>
        <v>196.56876174373542</v>
      </c>
      <c r="AB501" s="4">
        <f>$K$501*$V$501</f>
        <v>0</v>
      </c>
      <c r="AC501" s="4">
        <f>$M$501*$W$501</f>
        <v>2152.7100599999999</v>
      </c>
      <c r="AD501" s="4">
        <f>$O$501*$X$501</f>
        <v>931.19907999999998</v>
      </c>
      <c r="AE501" s="4">
        <f>$K$501*$Y$501</f>
        <v>0</v>
      </c>
      <c r="AF501" s="4">
        <f ca="1">$M$501*$Z$501</f>
        <v>2513.0472025959261</v>
      </c>
      <c r="AG501" s="4">
        <f>$O$501*$AA$501</f>
        <v>865.29568919592339</v>
      </c>
    </row>
    <row r="502" spans="1:33" ht="11.25" customHeight="1" x14ac:dyDescent="0.25">
      <c r="A502" s="3" t="s">
        <v>21</v>
      </c>
      <c r="B502" s="3" t="s">
        <v>33</v>
      </c>
      <c r="C502" s="3" t="s">
        <v>23</v>
      </c>
      <c r="D502" s="3" t="s">
        <v>34</v>
      </c>
      <c r="E502" s="3" t="s">
        <v>25</v>
      </c>
      <c r="F502" s="3" t="s">
        <v>25</v>
      </c>
      <c r="G502" s="3" t="s">
        <v>25</v>
      </c>
      <c r="H502" s="3" t="s">
        <v>25</v>
      </c>
      <c r="I502" s="6">
        <v>44652</v>
      </c>
      <c r="J502" s="4">
        <v>0</v>
      </c>
      <c r="K502" s="4">
        <v>0</v>
      </c>
      <c r="L502" s="4">
        <v>40.308</v>
      </c>
      <c r="M502" s="4">
        <v>40.308</v>
      </c>
      <c r="N502" s="4">
        <v>40.308</v>
      </c>
      <c r="O502" s="4">
        <v>40.308</v>
      </c>
      <c r="P502" s="4">
        <v>33</v>
      </c>
      <c r="Q502" s="3" t="s">
        <v>26</v>
      </c>
      <c r="R502" s="3">
        <v>0</v>
      </c>
      <c r="S502" s="4">
        <v>0</v>
      </c>
      <c r="T502" s="4">
        <v>35</v>
      </c>
      <c r="U502" s="4">
        <v>83</v>
      </c>
      <c r="V502" s="4">
        <f>IF(ISERROR(VLOOKUP($S$502,'TAR FIN'!$A$1:$O$86,15,0)),0,VLOOKUP($S$502,'TAR FIN'!$A$1:$O$86,15,0))</f>
        <v>0</v>
      </c>
      <c r="W502" s="4">
        <f>IF(ISERROR(VLOOKUP($T$502,'TAR FIN'!$A$1:$O$86,15,0)),0,VLOOKUP($T$502,'TAR FIN'!$A$1:$O$86,15,0))</f>
        <v>489.03</v>
      </c>
      <c r="X502" s="4">
        <f>IF(ISERROR(VLOOKUP($U$502,'TAR FIN'!$A$1:$O$86,15,0)),0,VLOOKUP($U$502,'TAR FIN'!$A$1:$O$86,15,0))</f>
        <v>211.54</v>
      </c>
      <c r="Y502" s="4"/>
      <c r="Z502" s="4">
        <f ca="1">('TUSD BE'!$AM$48+'TUSD BF'!$AM$48+'TUSD CVA'!$AM$48)*1</f>
        <v>570.88759713673926</v>
      </c>
      <c r="AA502" s="4">
        <f>('TE BE'!$AB$39+'TE BF'!$AB$39+'TE CVA'!$AB$39)*1</f>
        <v>196.56876174373542</v>
      </c>
      <c r="AB502" s="4">
        <f>$K$502*$V$502</f>
        <v>0</v>
      </c>
      <c r="AC502" s="4">
        <f>$M$502*$W$502</f>
        <v>19711.821239999997</v>
      </c>
      <c r="AD502" s="4">
        <f>$O$502*$X$502</f>
        <v>8526.75432</v>
      </c>
      <c r="AE502" s="4">
        <f>$K$502*$Y$502</f>
        <v>0</v>
      </c>
      <c r="AF502" s="4">
        <f ca="1">$M$502*$Z$502</f>
        <v>23011.337265387687</v>
      </c>
      <c r="AG502" s="4">
        <f>$O$502*$AA$502</f>
        <v>7923.2936483664871</v>
      </c>
    </row>
    <row r="503" spans="1:33" ht="11.25" customHeight="1" x14ac:dyDescent="0.25">
      <c r="A503" s="3" t="s">
        <v>28</v>
      </c>
      <c r="B503" s="3" t="s">
        <v>33</v>
      </c>
      <c r="C503" s="3" t="s">
        <v>23</v>
      </c>
      <c r="D503" s="3" t="s">
        <v>34</v>
      </c>
      <c r="E503" s="3" t="s">
        <v>25</v>
      </c>
      <c r="F503" s="3" t="s">
        <v>25</v>
      </c>
      <c r="G503" s="3" t="s">
        <v>25</v>
      </c>
      <c r="H503" s="3" t="s">
        <v>25</v>
      </c>
      <c r="I503" s="6">
        <v>44652</v>
      </c>
      <c r="J503" s="4">
        <v>0</v>
      </c>
      <c r="K503" s="4">
        <v>0</v>
      </c>
      <c r="L503" s="4">
        <v>12.067</v>
      </c>
      <c r="M503" s="4">
        <v>12.067</v>
      </c>
      <c r="N503" s="4">
        <v>12.067</v>
      </c>
      <c r="O503" s="4">
        <v>12.067</v>
      </c>
      <c r="P503" s="4">
        <v>4</v>
      </c>
      <c r="Q503" s="3" t="s">
        <v>26</v>
      </c>
      <c r="R503" s="3">
        <v>0</v>
      </c>
      <c r="S503" s="4">
        <v>0</v>
      </c>
      <c r="T503" s="4">
        <v>35</v>
      </c>
      <c r="U503" s="4">
        <v>83</v>
      </c>
      <c r="V503" s="4">
        <f>IF(ISERROR(VLOOKUP($S$503,'TAR FIN'!$A$1:$O$86,15,0)),0,VLOOKUP($S$503,'TAR FIN'!$A$1:$O$86,15,0))</f>
        <v>0</v>
      </c>
      <c r="W503" s="4">
        <f>IF(ISERROR(VLOOKUP($T$503,'TAR FIN'!$A$1:$O$86,15,0)),0,VLOOKUP($T$503,'TAR FIN'!$A$1:$O$86,15,0))</f>
        <v>489.03</v>
      </c>
      <c r="X503" s="4">
        <f>IF(ISERROR(VLOOKUP($U$503,'TAR FIN'!$A$1:$O$86,15,0)),0,VLOOKUP($U$503,'TAR FIN'!$A$1:$O$86,15,0))</f>
        <v>211.54</v>
      </c>
      <c r="Y503" s="4"/>
      <c r="Z503" s="4">
        <f ca="1">('TUSD BE'!$AM$48+'TUSD BF'!$AM$48+'TUSD CVA'!$AM$48)*1</f>
        <v>570.88759713673926</v>
      </c>
      <c r="AA503" s="4">
        <f>('TE BE'!$AB$39+'TE BF'!$AB$39+'TE CVA'!$AB$39)*1</f>
        <v>196.56876174373542</v>
      </c>
      <c r="AB503" s="4">
        <f>$K$503*$V$503</f>
        <v>0</v>
      </c>
      <c r="AC503" s="4">
        <f>$M$503*$W$503</f>
        <v>5901.1250099999997</v>
      </c>
      <c r="AD503" s="4">
        <f>$O$503*$X$503</f>
        <v>2552.6531799999998</v>
      </c>
      <c r="AE503" s="4">
        <f>$K$503*$Y$503</f>
        <v>0</v>
      </c>
      <c r="AF503" s="4">
        <f ca="1">$M$503*$Z$503</f>
        <v>6888.9006346490323</v>
      </c>
      <c r="AG503" s="4">
        <f>$O$503*$AA$503</f>
        <v>2371.9952479616554</v>
      </c>
    </row>
    <row r="504" spans="1:33" ht="11.25" customHeight="1" x14ac:dyDescent="0.25">
      <c r="A504" s="3" t="s">
        <v>28</v>
      </c>
      <c r="B504" s="3" t="s">
        <v>33</v>
      </c>
      <c r="C504" s="3" t="s">
        <v>23</v>
      </c>
      <c r="D504" s="3" t="s">
        <v>34</v>
      </c>
      <c r="E504" s="3" t="s">
        <v>25</v>
      </c>
      <c r="F504" s="3" t="s">
        <v>25</v>
      </c>
      <c r="G504" s="3" t="s">
        <v>25</v>
      </c>
      <c r="H504" s="3" t="s">
        <v>25</v>
      </c>
      <c r="I504" s="6">
        <v>44652</v>
      </c>
      <c r="J504" s="4">
        <v>0</v>
      </c>
      <c r="K504" s="4">
        <v>0</v>
      </c>
      <c r="L504" s="4">
        <v>3.1320000000000001</v>
      </c>
      <c r="M504" s="4">
        <v>3.1320000000000001</v>
      </c>
      <c r="N504" s="4">
        <v>3.1320000000000001</v>
      </c>
      <c r="O504" s="4">
        <v>3.1320000000000001</v>
      </c>
      <c r="P504" s="4">
        <v>4</v>
      </c>
      <c r="Q504" s="3" t="s">
        <v>26</v>
      </c>
      <c r="R504" s="3">
        <v>0</v>
      </c>
      <c r="S504" s="4">
        <v>0</v>
      </c>
      <c r="T504" s="4">
        <v>35</v>
      </c>
      <c r="U504" s="4">
        <v>83</v>
      </c>
      <c r="V504" s="4">
        <f>IF(ISERROR(VLOOKUP($S$504,'TAR FIN'!$A$1:$O$86,15,0)),0,VLOOKUP($S$504,'TAR FIN'!$A$1:$O$86,15,0))</f>
        <v>0</v>
      </c>
      <c r="W504" s="4">
        <f>IF(ISERROR(VLOOKUP($T$504,'TAR FIN'!$A$1:$O$86,15,0)),0,VLOOKUP($T$504,'TAR FIN'!$A$1:$O$86,15,0))</f>
        <v>489.03</v>
      </c>
      <c r="X504" s="4">
        <f>IF(ISERROR(VLOOKUP($U$504,'TAR FIN'!$A$1:$O$86,15,0)),0,VLOOKUP($U$504,'TAR FIN'!$A$1:$O$86,15,0))</f>
        <v>211.54</v>
      </c>
      <c r="Y504" s="4"/>
      <c r="Z504" s="4">
        <f ca="1">('TUSD BE'!$AM$48+'TUSD BF'!$AM$48+'TUSD CVA'!$AM$48)*1</f>
        <v>570.88759713673926</v>
      </c>
      <c r="AA504" s="4">
        <f>('TE BE'!$AB$39+'TE BF'!$AB$39+'TE CVA'!$AB$39)*1</f>
        <v>196.56876174373542</v>
      </c>
      <c r="AB504" s="4">
        <f>$K$504*$V$504</f>
        <v>0</v>
      </c>
      <c r="AC504" s="4">
        <f>$M$504*$W$504</f>
        <v>1531.6419599999999</v>
      </c>
      <c r="AD504" s="4">
        <f>$O$504*$X$504</f>
        <v>662.54327999999998</v>
      </c>
      <c r="AE504" s="4">
        <f>$K$504*$Y$504</f>
        <v>0</v>
      </c>
      <c r="AF504" s="4">
        <f ca="1">$M$504*$Z$504</f>
        <v>1788.0199542322675</v>
      </c>
      <c r="AG504" s="4">
        <f>$O$504*$AA$504</f>
        <v>615.65336178137932</v>
      </c>
    </row>
    <row r="505" spans="1:33" ht="11.25" customHeight="1" x14ac:dyDescent="0.25">
      <c r="A505" s="3" t="s">
        <v>21</v>
      </c>
      <c r="B505" s="3" t="s">
        <v>33</v>
      </c>
      <c r="C505" s="3" t="s">
        <v>23</v>
      </c>
      <c r="D505" s="3" t="s">
        <v>34</v>
      </c>
      <c r="E505" s="3" t="s">
        <v>25</v>
      </c>
      <c r="F505" s="3" t="s">
        <v>25</v>
      </c>
      <c r="G505" s="3" t="s">
        <v>25</v>
      </c>
      <c r="H505" s="3" t="s">
        <v>25</v>
      </c>
      <c r="I505" s="6">
        <v>44682</v>
      </c>
      <c r="J505" s="4">
        <v>0</v>
      </c>
      <c r="K505" s="4">
        <v>0</v>
      </c>
      <c r="L505" s="4">
        <v>35.409999999999997</v>
      </c>
      <c r="M505" s="4">
        <v>35.409999999999997</v>
      </c>
      <c r="N505" s="4">
        <v>35.409999999999997</v>
      </c>
      <c r="O505" s="4">
        <v>35.409999999999997</v>
      </c>
      <c r="P505" s="4">
        <v>31</v>
      </c>
      <c r="Q505" s="3" t="s">
        <v>26</v>
      </c>
      <c r="R505" s="3">
        <v>0</v>
      </c>
      <c r="S505" s="4">
        <v>0</v>
      </c>
      <c r="T505" s="4">
        <v>35</v>
      </c>
      <c r="U505" s="4">
        <v>83</v>
      </c>
      <c r="V505" s="4">
        <f>IF(ISERROR(VLOOKUP($S$505,'TAR FIN'!$A$1:$O$86,15,0)),0,VLOOKUP($S$505,'TAR FIN'!$A$1:$O$86,15,0))</f>
        <v>0</v>
      </c>
      <c r="W505" s="4">
        <f>IF(ISERROR(VLOOKUP($T$505,'TAR FIN'!$A$1:$O$86,15,0)),0,VLOOKUP($T$505,'TAR FIN'!$A$1:$O$86,15,0))</f>
        <v>489.03</v>
      </c>
      <c r="X505" s="4">
        <f>IF(ISERROR(VLOOKUP($U$505,'TAR FIN'!$A$1:$O$86,15,0)),0,VLOOKUP($U$505,'TAR FIN'!$A$1:$O$86,15,0))</f>
        <v>211.54</v>
      </c>
      <c r="Y505" s="4"/>
      <c r="Z505" s="4">
        <f ca="1">('TUSD BE'!$AM$48+'TUSD BF'!$AM$48+'TUSD CVA'!$AM$48)*1</f>
        <v>570.88759713673926</v>
      </c>
      <c r="AA505" s="4">
        <f>('TE BE'!$AB$39+'TE BF'!$AB$39+'TE CVA'!$AB$39)*1</f>
        <v>196.56876174373542</v>
      </c>
      <c r="AB505" s="4">
        <f>$K$505*$V$505</f>
        <v>0</v>
      </c>
      <c r="AC505" s="4">
        <f>$M$505*$W$505</f>
        <v>17316.552299999996</v>
      </c>
      <c r="AD505" s="4">
        <f>$O$505*$X$505</f>
        <v>7490.6313999999993</v>
      </c>
      <c r="AE505" s="4">
        <f>$K$505*$Y$505</f>
        <v>0</v>
      </c>
      <c r="AF505" s="4">
        <f ca="1">$M$505*$Z$505</f>
        <v>20215.129814611937</v>
      </c>
      <c r="AG505" s="4">
        <f>$O$505*$AA$505</f>
        <v>6960.499853345671</v>
      </c>
    </row>
    <row r="506" spans="1:33" ht="11.25" customHeight="1" x14ac:dyDescent="0.25">
      <c r="A506" s="3" t="s">
        <v>28</v>
      </c>
      <c r="B506" s="3" t="s">
        <v>33</v>
      </c>
      <c r="C506" s="3" t="s">
        <v>23</v>
      </c>
      <c r="D506" s="3" t="s">
        <v>34</v>
      </c>
      <c r="E506" s="3" t="s">
        <v>25</v>
      </c>
      <c r="F506" s="3" t="s">
        <v>25</v>
      </c>
      <c r="G506" s="3" t="s">
        <v>25</v>
      </c>
      <c r="H506" s="3" t="s">
        <v>25</v>
      </c>
      <c r="I506" s="6">
        <v>44682</v>
      </c>
      <c r="J506" s="4">
        <v>0</v>
      </c>
      <c r="K506" s="4">
        <v>0</v>
      </c>
      <c r="L506" s="4">
        <v>10.39</v>
      </c>
      <c r="M506" s="4">
        <v>10.39</v>
      </c>
      <c r="N506" s="4">
        <v>10.39</v>
      </c>
      <c r="O506" s="4">
        <v>10.39</v>
      </c>
      <c r="P506" s="4">
        <v>5</v>
      </c>
      <c r="Q506" s="3" t="s">
        <v>26</v>
      </c>
      <c r="R506" s="3">
        <v>0</v>
      </c>
      <c r="S506" s="4">
        <v>0</v>
      </c>
      <c r="T506" s="4">
        <v>35</v>
      </c>
      <c r="U506" s="4">
        <v>83</v>
      </c>
      <c r="V506" s="4">
        <f>IF(ISERROR(VLOOKUP($S$506,'TAR FIN'!$A$1:$O$86,15,0)),0,VLOOKUP($S$506,'TAR FIN'!$A$1:$O$86,15,0))</f>
        <v>0</v>
      </c>
      <c r="W506" s="4">
        <f>IF(ISERROR(VLOOKUP($T$506,'TAR FIN'!$A$1:$O$86,15,0)),0,VLOOKUP($T$506,'TAR FIN'!$A$1:$O$86,15,0))</f>
        <v>489.03</v>
      </c>
      <c r="X506" s="4">
        <f>IF(ISERROR(VLOOKUP($U$506,'TAR FIN'!$A$1:$O$86,15,0)),0,VLOOKUP($U$506,'TAR FIN'!$A$1:$O$86,15,0))</f>
        <v>211.54</v>
      </c>
      <c r="Y506" s="4"/>
      <c r="Z506" s="4">
        <f ca="1">('TUSD BE'!$AM$48+'TUSD BF'!$AM$48+'TUSD CVA'!$AM$48)*1</f>
        <v>570.88759713673926</v>
      </c>
      <c r="AA506" s="4">
        <f>('TE BE'!$AB$39+'TE BF'!$AB$39+'TE CVA'!$AB$39)*1</f>
        <v>196.56876174373542</v>
      </c>
      <c r="AB506" s="4">
        <f>$K$506*$V$506</f>
        <v>0</v>
      </c>
      <c r="AC506" s="4">
        <f>$M$506*$W$506</f>
        <v>5081.0217000000002</v>
      </c>
      <c r="AD506" s="4">
        <f>$O$506*$X$506</f>
        <v>2197.9005999999999</v>
      </c>
      <c r="AE506" s="4">
        <f>$K$506*$Y$506</f>
        <v>0</v>
      </c>
      <c r="AF506" s="4">
        <f ca="1">$M$506*$Z$506</f>
        <v>5931.5221342507211</v>
      </c>
      <c r="AG506" s="4">
        <f>$O$506*$AA$506</f>
        <v>2042.3494345174111</v>
      </c>
    </row>
    <row r="507" spans="1:33" ht="11.25" customHeight="1" x14ac:dyDescent="0.25">
      <c r="A507" s="3" t="s">
        <v>21</v>
      </c>
      <c r="B507" s="3" t="s">
        <v>33</v>
      </c>
      <c r="C507" s="3" t="s">
        <v>23</v>
      </c>
      <c r="D507" s="3" t="s">
        <v>34</v>
      </c>
      <c r="E507" s="3" t="s">
        <v>25</v>
      </c>
      <c r="F507" s="3" t="s">
        <v>25</v>
      </c>
      <c r="G507" s="3" t="s">
        <v>25</v>
      </c>
      <c r="H507" s="3" t="s">
        <v>25</v>
      </c>
      <c r="I507" s="6">
        <v>44713</v>
      </c>
      <c r="J507" s="4">
        <v>0</v>
      </c>
      <c r="K507" s="4">
        <v>0</v>
      </c>
      <c r="L507" s="4">
        <v>38.363</v>
      </c>
      <c r="M507" s="4">
        <v>38.363</v>
      </c>
      <c r="N507" s="4">
        <v>38.363</v>
      </c>
      <c r="O507" s="4">
        <v>38.363</v>
      </c>
      <c r="P507" s="4">
        <v>31</v>
      </c>
      <c r="Q507" s="3" t="s">
        <v>26</v>
      </c>
      <c r="R507" s="3">
        <v>0</v>
      </c>
      <c r="S507" s="4">
        <v>0</v>
      </c>
      <c r="T507" s="4">
        <v>35</v>
      </c>
      <c r="U507" s="4">
        <v>83</v>
      </c>
      <c r="V507" s="4">
        <f>IF(ISERROR(VLOOKUP($S$507,'TAR FIN'!$A$1:$O$86,15,0)),0,VLOOKUP($S$507,'TAR FIN'!$A$1:$O$86,15,0))</f>
        <v>0</v>
      </c>
      <c r="W507" s="4">
        <f>IF(ISERROR(VLOOKUP($T$507,'TAR FIN'!$A$1:$O$86,15,0)),0,VLOOKUP($T$507,'TAR FIN'!$A$1:$O$86,15,0))</f>
        <v>489.03</v>
      </c>
      <c r="X507" s="4">
        <f>IF(ISERROR(VLOOKUP($U$507,'TAR FIN'!$A$1:$O$86,15,0)),0,VLOOKUP($U$507,'TAR FIN'!$A$1:$O$86,15,0))</f>
        <v>211.54</v>
      </c>
      <c r="Y507" s="4"/>
      <c r="Z507" s="4">
        <f ca="1">('TUSD BE'!$AM$48+'TUSD BF'!$AM$48+'TUSD CVA'!$AM$48)*1</f>
        <v>570.88759713673926</v>
      </c>
      <c r="AA507" s="4">
        <f>('TE BE'!$AB$39+'TE BF'!$AB$39+'TE CVA'!$AB$39)*1</f>
        <v>196.56876174373542</v>
      </c>
      <c r="AB507" s="4">
        <f>$K$507*$V$507</f>
        <v>0</v>
      </c>
      <c r="AC507" s="4">
        <f>$M$507*$W$507</f>
        <v>18760.657889999999</v>
      </c>
      <c r="AD507" s="4">
        <f>$O$507*$X$507</f>
        <v>8115.3090199999997</v>
      </c>
      <c r="AE507" s="4">
        <f>$K$507*$Y$507</f>
        <v>0</v>
      </c>
      <c r="AF507" s="4">
        <f ca="1">$M$507*$Z$507</f>
        <v>21900.960888956728</v>
      </c>
      <c r="AG507" s="4">
        <f>$O$507*$AA$507</f>
        <v>7540.967406774922</v>
      </c>
    </row>
    <row r="508" spans="1:33" ht="11.25" customHeight="1" x14ac:dyDescent="0.25">
      <c r="A508" s="3" t="s">
        <v>28</v>
      </c>
      <c r="B508" s="3" t="s">
        <v>33</v>
      </c>
      <c r="C508" s="3" t="s">
        <v>23</v>
      </c>
      <c r="D508" s="3" t="s">
        <v>34</v>
      </c>
      <c r="E508" s="3" t="s">
        <v>25</v>
      </c>
      <c r="F508" s="3" t="s">
        <v>25</v>
      </c>
      <c r="G508" s="3" t="s">
        <v>25</v>
      </c>
      <c r="H508" s="3" t="s">
        <v>25</v>
      </c>
      <c r="I508" s="6">
        <v>44713</v>
      </c>
      <c r="J508" s="4">
        <v>0</v>
      </c>
      <c r="K508" s="4">
        <v>0</v>
      </c>
      <c r="L508" s="4">
        <v>12.087</v>
      </c>
      <c r="M508" s="4">
        <v>12.087</v>
      </c>
      <c r="N508" s="4">
        <v>12.087</v>
      </c>
      <c r="O508" s="4">
        <v>12.087</v>
      </c>
      <c r="P508" s="4">
        <v>5</v>
      </c>
      <c r="Q508" s="3" t="s">
        <v>26</v>
      </c>
      <c r="R508" s="3">
        <v>0</v>
      </c>
      <c r="S508" s="4">
        <v>0</v>
      </c>
      <c r="T508" s="4">
        <v>35</v>
      </c>
      <c r="U508" s="4">
        <v>83</v>
      </c>
      <c r="V508" s="4">
        <f>IF(ISERROR(VLOOKUP($S$508,'TAR FIN'!$A$1:$O$86,15,0)),0,VLOOKUP($S$508,'TAR FIN'!$A$1:$O$86,15,0))</f>
        <v>0</v>
      </c>
      <c r="W508" s="4">
        <f>IF(ISERROR(VLOOKUP($T$508,'TAR FIN'!$A$1:$O$86,15,0)),0,VLOOKUP($T$508,'TAR FIN'!$A$1:$O$86,15,0))</f>
        <v>489.03</v>
      </c>
      <c r="X508" s="4">
        <f>IF(ISERROR(VLOOKUP($U$508,'TAR FIN'!$A$1:$O$86,15,0)),0,VLOOKUP($U$508,'TAR FIN'!$A$1:$O$86,15,0))</f>
        <v>211.54</v>
      </c>
      <c r="Y508" s="4"/>
      <c r="Z508" s="4">
        <f ca="1">('TUSD BE'!$AM$48+'TUSD BF'!$AM$48+'TUSD CVA'!$AM$48)*1</f>
        <v>570.88759713673926</v>
      </c>
      <c r="AA508" s="4">
        <f>('TE BE'!$AB$39+'TE BF'!$AB$39+'TE CVA'!$AB$39)*1</f>
        <v>196.56876174373542</v>
      </c>
      <c r="AB508" s="4">
        <f>$K$508*$V$508</f>
        <v>0</v>
      </c>
      <c r="AC508" s="4">
        <f>$M$508*$W$508</f>
        <v>5910.9056099999998</v>
      </c>
      <c r="AD508" s="4">
        <f>$O$508*$X$508</f>
        <v>2556.8839800000001</v>
      </c>
      <c r="AE508" s="4">
        <f>$K$508*$Y$508</f>
        <v>0</v>
      </c>
      <c r="AF508" s="4">
        <f ca="1">$M$508*$Z$508</f>
        <v>6900.3183865917672</v>
      </c>
      <c r="AG508" s="4">
        <f>$O$508*$AA$508</f>
        <v>2375.9266231965298</v>
      </c>
    </row>
    <row r="509" spans="1:33" ht="11.25" customHeight="1" x14ac:dyDescent="0.25">
      <c r="A509" s="3" t="s">
        <v>21</v>
      </c>
      <c r="B509" s="3" t="s">
        <v>33</v>
      </c>
      <c r="C509" s="3" t="s">
        <v>23</v>
      </c>
      <c r="D509" s="3" t="s">
        <v>43</v>
      </c>
      <c r="E509" s="3" t="s">
        <v>25</v>
      </c>
      <c r="F509" s="3" t="s">
        <v>25</v>
      </c>
      <c r="G509" s="3" t="s">
        <v>25</v>
      </c>
      <c r="H509" s="3" t="s">
        <v>25</v>
      </c>
      <c r="I509" s="6">
        <v>44378</v>
      </c>
      <c r="J509" s="4">
        <v>0</v>
      </c>
      <c r="K509" s="4">
        <v>0</v>
      </c>
      <c r="L509" s="4">
        <v>66.34</v>
      </c>
      <c r="M509" s="4">
        <v>66.34</v>
      </c>
      <c r="N509" s="4">
        <v>66.34</v>
      </c>
      <c r="O509" s="4">
        <v>66.34</v>
      </c>
      <c r="P509" s="4">
        <v>107</v>
      </c>
      <c r="Q509" s="3" t="s">
        <v>26</v>
      </c>
      <c r="R509" s="3">
        <v>0</v>
      </c>
      <c r="S509" s="4">
        <v>0</v>
      </c>
      <c r="T509" s="4">
        <v>35</v>
      </c>
      <c r="U509" s="4">
        <v>83</v>
      </c>
      <c r="V509" s="4">
        <f>IF(ISERROR(VLOOKUP($S$509,'TAR FIN'!$A$1:$O$86,15,0)),0,VLOOKUP($S$509,'TAR FIN'!$A$1:$O$86,15,0))</f>
        <v>0</v>
      </c>
      <c r="W509" s="4">
        <f>IF(ISERROR(VLOOKUP($T$509,'TAR FIN'!$A$1:$O$86,15,0)),0,VLOOKUP($T$509,'TAR FIN'!$A$1:$O$86,15,0))</f>
        <v>489.03</v>
      </c>
      <c r="X509" s="4">
        <f>IF(ISERROR(VLOOKUP($U$509,'TAR FIN'!$A$1:$O$86,15,0)),0,VLOOKUP($U$509,'TAR FIN'!$A$1:$O$86,15,0))</f>
        <v>211.54</v>
      </c>
      <c r="Y509" s="4"/>
      <c r="Z509" s="4">
        <f ca="1">('TUSD BE'!$AM$48+'TUSD BF'!$AM$48+'TUSD CVA'!$AM$48)*1</f>
        <v>570.88759713673926</v>
      </c>
      <c r="AA509" s="4">
        <f>('TE BE'!$AB$39+'TE BF'!$AB$39+'TE CVA'!$AB$39)*1</f>
        <v>196.56876174373542</v>
      </c>
      <c r="AB509" s="4">
        <f>$K$509*$V$509</f>
        <v>0</v>
      </c>
      <c r="AC509" s="4">
        <f>$M$509*$W$509</f>
        <v>32442.250199999999</v>
      </c>
      <c r="AD509" s="4">
        <f>$O$509*$X$509</f>
        <v>14033.563599999999</v>
      </c>
      <c r="AE509" s="4">
        <f>$K$509*$Y$509</f>
        <v>0</v>
      </c>
      <c r="AF509" s="4">
        <f ca="1">$M$509*$Z$509</f>
        <v>37872.683194051286</v>
      </c>
      <c r="AG509" s="4">
        <f>$O$509*$AA$509</f>
        <v>13040.371654079408</v>
      </c>
    </row>
    <row r="510" spans="1:33" ht="11.25" customHeight="1" x14ac:dyDescent="0.25">
      <c r="A510" s="3" t="s">
        <v>21</v>
      </c>
      <c r="B510" s="3" t="s">
        <v>33</v>
      </c>
      <c r="C510" s="3" t="s">
        <v>23</v>
      </c>
      <c r="D510" s="3" t="s">
        <v>43</v>
      </c>
      <c r="E510" s="3" t="s">
        <v>25</v>
      </c>
      <c r="F510" s="3" t="s">
        <v>25</v>
      </c>
      <c r="G510" s="3" t="s">
        <v>25</v>
      </c>
      <c r="H510" s="3" t="s">
        <v>25</v>
      </c>
      <c r="I510" s="6">
        <v>44409</v>
      </c>
      <c r="J510" s="4">
        <v>0</v>
      </c>
      <c r="K510" s="4">
        <v>0</v>
      </c>
      <c r="L510" s="4">
        <v>59.128999999999998</v>
      </c>
      <c r="M510" s="4">
        <v>59.128999999999998</v>
      </c>
      <c r="N510" s="4">
        <v>59.128999999999998</v>
      </c>
      <c r="O510" s="4">
        <v>59.128999999999998</v>
      </c>
      <c r="P510" s="4">
        <v>107</v>
      </c>
      <c r="Q510" s="3" t="s">
        <v>26</v>
      </c>
      <c r="R510" s="3">
        <v>0</v>
      </c>
      <c r="S510" s="4">
        <v>0</v>
      </c>
      <c r="T510" s="4">
        <v>35</v>
      </c>
      <c r="U510" s="4">
        <v>83</v>
      </c>
      <c r="V510" s="4">
        <f>IF(ISERROR(VLOOKUP($S$510,'TAR FIN'!$A$1:$O$86,15,0)),0,VLOOKUP($S$510,'TAR FIN'!$A$1:$O$86,15,0))</f>
        <v>0</v>
      </c>
      <c r="W510" s="4">
        <f>IF(ISERROR(VLOOKUP($T$510,'TAR FIN'!$A$1:$O$86,15,0)),0,VLOOKUP($T$510,'TAR FIN'!$A$1:$O$86,15,0))</f>
        <v>489.03</v>
      </c>
      <c r="X510" s="4">
        <f>IF(ISERROR(VLOOKUP($U$510,'TAR FIN'!$A$1:$O$86,15,0)),0,VLOOKUP($U$510,'TAR FIN'!$A$1:$O$86,15,0))</f>
        <v>211.54</v>
      </c>
      <c r="Y510" s="4"/>
      <c r="Z510" s="4">
        <f ca="1">('TUSD BE'!$AM$48+'TUSD BF'!$AM$48+'TUSD CVA'!$AM$48)*1</f>
        <v>570.88759713673926</v>
      </c>
      <c r="AA510" s="4">
        <f>('TE BE'!$AB$39+'TE BF'!$AB$39+'TE CVA'!$AB$39)*1</f>
        <v>196.56876174373542</v>
      </c>
      <c r="AB510" s="4">
        <f>$K$510*$V$510</f>
        <v>0</v>
      </c>
      <c r="AC510" s="4">
        <f>$M$510*$W$510</f>
        <v>28915.854869999996</v>
      </c>
      <c r="AD510" s="4">
        <f>$O$510*$X$510</f>
        <v>12508.148659999999</v>
      </c>
      <c r="AE510" s="4">
        <f>$K$510*$Y$510</f>
        <v>0</v>
      </c>
      <c r="AF510" s="4">
        <f ca="1">$M$510*$Z$510</f>
        <v>33756.012731098257</v>
      </c>
      <c r="AG510" s="4">
        <f>$O$510*$AA$510</f>
        <v>11622.914313145331</v>
      </c>
    </row>
    <row r="511" spans="1:33" ht="11.25" customHeight="1" x14ac:dyDescent="0.25">
      <c r="A511" s="3" t="s">
        <v>21</v>
      </c>
      <c r="B511" s="3" t="s">
        <v>33</v>
      </c>
      <c r="C511" s="3" t="s">
        <v>23</v>
      </c>
      <c r="D511" s="3" t="s">
        <v>43</v>
      </c>
      <c r="E511" s="3" t="s">
        <v>25</v>
      </c>
      <c r="F511" s="3" t="s">
        <v>25</v>
      </c>
      <c r="G511" s="3" t="s">
        <v>25</v>
      </c>
      <c r="H511" s="3" t="s">
        <v>25</v>
      </c>
      <c r="I511" s="6">
        <v>44440</v>
      </c>
      <c r="J511" s="4">
        <v>0</v>
      </c>
      <c r="K511" s="4">
        <v>0</v>
      </c>
      <c r="L511" s="4">
        <v>52.673999999999999</v>
      </c>
      <c r="M511" s="4">
        <v>52.673999999999999</v>
      </c>
      <c r="N511" s="4">
        <v>52.673999999999999</v>
      </c>
      <c r="O511" s="4">
        <v>52.673999999999999</v>
      </c>
      <c r="P511" s="4">
        <v>107</v>
      </c>
      <c r="Q511" s="3" t="s">
        <v>26</v>
      </c>
      <c r="R511" s="3">
        <v>0</v>
      </c>
      <c r="S511" s="4">
        <v>0</v>
      </c>
      <c r="T511" s="4">
        <v>35</v>
      </c>
      <c r="U511" s="4">
        <v>83</v>
      </c>
      <c r="V511" s="4">
        <f>IF(ISERROR(VLOOKUP($S$511,'TAR FIN'!$A$1:$O$86,15,0)),0,VLOOKUP($S$511,'TAR FIN'!$A$1:$O$86,15,0))</f>
        <v>0</v>
      </c>
      <c r="W511" s="4">
        <f>IF(ISERROR(VLOOKUP($T$511,'TAR FIN'!$A$1:$O$86,15,0)),0,VLOOKUP($T$511,'TAR FIN'!$A$1:$O$86,15,0))</f>
        <v>489.03</v>
      </c>
      <c r="X511" s="4">
        <f>IF(ISERROR(VLOOKUP($U$511,'TAR FIN'!$A$1:$O$86,15,0)),0,VLOOKUP($U$511,'TAR FIN'!$A$1:$O$86,15,0))</f>
        <v>211.54</v>
      </c>
      <c r="Y511" s="4"/>
      <c r="Z511" s="4">
        <f ca="1">('TUSD BE'!$AM$48+'TUSD BF'!$AM$48+'TUSD CVA'!$AM$48)*1</f>
        <v>570.88759713673926</v>
      </c>
      <c r="AA511" s="4">
        <f>('TE BE'!$AB$39+'TE BF'!$AB$39+'TE CVA'!$AB$39)*1</f>
        <v>196.56876174373542</v>
      </c>
      <c r="AB511" s="4">
        <f>$K$511*$V$511</f>
        <v>0</v>
      </c>
      <c r="AC511" s="4">
        <f>$M$511*$W$511</f>
        <v>25759.166219999999</v>
      </c>
      <c r="AD511" s="4">
        <f>$O$511*$X$511</f>
        <v>11142.657959999999</v>
      </c>
      <c r="AE511" s="4">
        <f>$K$511*$Y$511</f>
        <v>0</v>
      </c>
      <c r="AF511" s="4">
        <f ca="1">$M$511*$Z$511</f>
        <v>30070.933291580604</v>
      </c>
      <c r="AG511" s="4">
        <f>$O$511*$AA$511</f>
        <v>10354.06295608952</v>
      </c>
    </row>
    <row r="512" spans="1:33" ht="11.25" customHeight="1" x14ac:dyDescent="0.25">
      <c r="A512" s="3" t="s">
        <v>21</v>
      </c>
      <c r="B512" s="3" t="s">
        <v>33</v>
      </c>
      <c r="C512" s="3" t="s">
        <v>23</v>
      </c>
      <c r="D512" s="3" t="s">
        <v>43</v>
      </c>
      <c r="E512" s="3" t="s">
        <v>25</v>
      </c>
      <c r="F512" s="3" t="s">
        <v>25</v>
      </c>
      <c r="G512" s="3" t="s">
        <v>25</v>
      </c>
      <c r="H512" s="3" t="s">
        <v>25</v>
      </c>
      <c r="I512" s="6">
        <v>44470</v>
      </c>
      <c r="J512" s="4">
        <v>0</v>
      </c>
      <c r="K512" s="4">
        <v>0</v>
      </c>
      <c r="L512" s="4">
        <v>51.392000000000003</v>
      </c>
      <c r="M512" s="4">
        <v>51.392000000000003</v>
      </c>
      <c r="N512" s="4">
        <v>51.392000000000003</v>
      </c>
      <c r="O512" s="4">
        <v>51.392000000000003</v>
      </c>
      <c r="P512" s="4">
        <v>107</v>
      </c>
      <c r="Q512" s="3" t="s">
        <v>26</v>
      </c>
      <c r="R512" s="3">
        <v>0</v>
      </c>
      <c r="S512" s="4">
        <v>0</v>
      </c>
      <c r="T512" s="4">
        <v>35</v>
      </c>
      <c r="U512" s="4">
        <v>83</v>
      </c>
      <c r="V512" s="4">
        <f>IF(ISERROR(VLOOKUP($S$512,'TAR FIN'!$A$1:$O$86,15,0)),0,VLOOKUP($S$512,'TAR FIN'!$A$1:$O$86,15,0))</f>
        <v>0</v>
      </c>
      <c r="W512" s="4">
        <f>IF(ISERROR(VLOOKUP($T$512,'TAR FIN'!$A$1:$O$86,15,0)),0,VLOOKUP($T$512,'TAR FIN'!$A$1:$O$86,15,0))</f>
        <v>489.03</v>
      </c>
      <c r="X512" s="4">
        <f>IF(ISERROR(VLOOKUP($U$512,'TAR FIN'!$A$1:$O$86,15,0)),0,VLOOKUP($U$512,'TAR FIN'!$A$1:$O$86,15,0))</f>
        <v>211.54</v>
      </c>
      <c r="Y512" s="4"/>
      <c r="Z512" s="4">
        <f ca="1">('TUSD BE'!$AM$48+'TUSD BF'!$AM$48+'TUSD CVA'!$AM$48)*1</f>
        <v>570.88759713673926</v>
      </c>
      <c r="AA512" s="4">
        <f>('TE BE'!$AB$39+'TE BF'!$AB$39+'TE CVA'!$AB$39)*1</f>
        <v>196.56876174373542</v>
      </c>
      <c r="AB512" s="4">
        <f>$K$512*$V$512</f>
        <v>0</v>
      </c>
      <c r="AC512" s="4">
        <f>$M$512*$W$512</f>
        <v>25132.229759999998</v>
      </c>
      <c r="AD512" s="4">
        <f>$O$512*$X$512</f>
        <v>10871.463680000001</v>
      </c>
      <c r="AE512" s="4">
        <f>$K$512*$Y$512</f>
        <v>0</v>
      </c>
      <c r="AF512" s="4">
        <f ca="1">$M$512*$Z$512</f>
        <v>29339.055392051305</v>
      </c>
      <c r="AG512" s="4">
        <f>$O$512*$AA$512</f>
        <v>10102.061803534052</v>
      </c>
    </row>
    <row r="513" spans="1:33" ht="11.25" customHeight="1" x14ac:dyDescent="0.25">
      <c r="A513" s="3" t="s">
        <v>21</v>
      </c>
      <c r="B513" s="3" t="s">
        <v>33</v>
      </c>
      <c r="C513" s="3" t="s">
        <v>23</v>
      </c>
      <c r="D513" s="3" t="s">
        <v>43</v>
      </c>
      <c r="E513" s="3" t="s">
        <v>25</v>
      </c>
      <c r="F513" s="3" t="s">
        <v>25</v>
      </c>
      <c r="G513" s="3" t="s">
        <v>25</v>
      </c>
      <c r="H513" s="3" t="s">
        <v>25</v>
      </c>
      <c r="I513" s="6">
        <v>44501</v>
      </c>
      <c r="J513" s="4">
        <v>0</v>
      </c>
      <c r="K513" s="4">
        <v>0</v>
      </c>
      <c r="L513" s="4">
        <v>46.539000000000001</v>
      </c>
      <c r="M513" s="4">
        <v>46.539000000000001</v>
      </c>
      <c r="N513" s="4">
        <v>46.539000000000001</v>
      </c>
      <c r="O513" s="4">
        <v>46.539000000000001</v>
      </c>
      <c r="P513" s="4">
        <v>107</v>
      </c>
      <c r="Q513" s="3" t="s">
        <v>26</v>
      </c>
      <c r="R513" s="3">
        <v>0</v>
      </c>
      <c r="S513" s="4">
        <v>0</v>
      </c>
      <c r="T513" s="4">
        <v>35</v>
      </c>
      <c r="U513" s="4">
        <v>83</v>
      </c>
      <c r="V513" s="4">
        <f>IF(ISERROR(VLOOKUP($S$513,'TAR FIN'!$A$1:$O$86,15,0)),0,VLOOKUP($S$513,'TAR FIN'!$A$1:$O$86,15,0))</f>
        <v>0</v>
      </c>
      <c r="W513" s="4">
        <f>IF(ISERROR(VLOOKUP($T$513,'TAR FIN'!$A$1:$O$86,15,0)),0,VLOOKUP($T$513,'TAR FIN'!$A$1:$O$86,15,0))</f>
        <v>489.03</v>
      </c>
      <c r="X513" s="4">
        <f>IF(ISERROR(VLOOKUP($U$513,'TAR FIN'!$A$1:$O$86,15,0)),0,VLOOKUP($U$513,'TAR FIN'!$A$1:$O$86,15,0))</f>
        <v>211.54</v>
      </c>
      <c r="Y513" s="4"/>
      <c r="Z513" s="4">
        <f ca="1">('TUSD BE'!$AM$48+'TUSD BF'!$AM$48+'TUSD CVA'!$AM$48)*1</f>
        <v>570.88759713673926</v>
      </c>
      <c r="AA513" s="4">
        <f>('TE BE'!$AB$39+'TE BF'!$AB$39+'TE CVA'!$AB$39)*1</f>
        <v>196.56876174373542</v>
      </c>
      <c r="AB513" s="4">
        <f>$K$513*$V$513</f>
        <v>0</v>
      </c>
      <c r="AC513" s="4">
        <f>$M$513*$W$513</f>
        <v>22758.96717</v>
      </c>
      <c r="AD513" s="4">
        <f>$O$513*$X$513</f>
        <v>9844.8600599999991</v>
      </c>
      <c r="AE513" s="4">
        <f>$K$513*$Y$513</f>
        <v>0</v>
      </c>
      <c r="AF513" s="4">
        <f ca="1">$M$513*$Z$513</f>
        <v>26568.53788314671</v>
      </c>
      <c r="AG513" s="4">
        <f>$O$513*$AA$513</f>
        <v>9148.1136027917037</v>
      </c>
    </row>
    <row r="514" spans="1:33" ht="11.25" customHeight="1" x14ac:dyDescent="0.25">
      <c r="A514" s="3" t="s">
        <v>21</v>
      </c>
      <c r="B514" s="3" t="s">
        <v>33</v>
      </c>
      <c r="C514" s="3" t="s">
        <v>23</v>
      </c>
      <c r="D514" s="3" t="s">
        <v>43</v>
      </c>
      <c r="E514" s="3" t="s">
        <v>25</v>
      </c>
      <c r="F514" s="3" t="s">
        <v>25</v>
      </c>
      <c r="G514" s="3" t="s">
        <v>25</v>
      </c>
      <c r="H514" s="3" t="s">
        <v>25</v>
      </c>
      <c r="I514" s="6">
        <v>44531</v>
      </c>
      <c r="J514" s="4">
        <v>0</v>
      </c>
      <c r="K514" s="4">
        <v>0</v>
      </c>
      <c r="L514" s="4">
        <v>59.417999999999999</v>
      </c>
      <c r="M514" s="4">
        <v>59.417999999999999</v>
      </c>
      <c r="N514" s="4">
        <v>59.417999999999999</v>
      </c>
      <c r="O514" s="4">
        <v>59.417999999999999</v>
      </c>
      <c r="P514" s="4">
        <v>107</v>
      </c>
      <c r="Q514" s="3" t="s">
        <v>26</v>
      </c>
      <c r="R514" s="3">
        <v>0</v>
      </c>
      <c r="S514" s="4">
        <v>0</v>
      </c>
      <c r="T514" s="4">
        <v>35</v>
      </c>
      <c r="U514" s="4">
        <v>83</v>
      </c>
      <c r="V514" s="4">
        <f>IF(ISERROR(VLOOKUP($S$514,'TAR FIN'!$A$1:$O$86,15,0)),0,VLOOKUP($S$514,'TAR FIN'!$A$1:$O$86,15,0))</f>
        <v>0</v>
      </c>
      <c r="W514" s="4">
        <f>IF(ISERROR(VLOOKUP($T$514,'TAR FIN'!$A$1:$O$86,15,0)),0,VLOOKUP($T$514,'TAR FIN'!$A$1:$O$86,15,0))</f>
        <v>489.03</v>
      </c>
      <c r="X514" s="4">
        <f>IF(ISERROR(VLOOKUP($U$514,'TAR FIN'!$A$1:$O$86,15,0)),0,VLOOKUP($U$514,'TAR FIN'!$A$1:$O$86,15,0))</f>
        <v>211.54</v>
      </c>
      <c r="Y514" s="4"/>
      <c r="Z514" s="4">
        <f ca="1">('TUSD BE'!$AM$48+'TUSD BF'!$AM$48+'TUSD CVA'!$AM$48)*1</f>
        <v>570.88759713673926</v>
      </c>
      <c r="AA514" s="4">
        <f>('TE BE'!$AB$39+'TE BF'!$AB$39+'TE CVA'!$AB$39)*1</f>
        <v>196.56876174373542</v>
      </c>
      <c r="AB514" s="4">
        <f>$K$514*$V$514</f>
        <v>0</v>
      </c>
      <c r="AC514" s="4">
        <f>$M$514*$W$514</f>
        <v>29057.184539999998</v>
      </c>
      <c r="AD514" s="4">
        <f>$O$514*$X$514</f>
        <v>12569.283719999999</v>
      </c>
      <c r="AE514" s="4">
        <f>$K$514*$Y$514</f>
        <v>0</v>
      </c>
      <c r="AF514" s="4">
        <f ca="1">$M$514*$Z$514</f>
        <v>33920.99924667077</v>
      </c>
      <c r="AG514" s="4">
        <f>$O$514*$AA$514</f>
        <v>11679.722685289271</v>
      </c>
    </row>
    <row r="515" spans="1:33" ht="11.25" customHeight="1" x14ac:dyDescent="0.25">
      <c r="A515" s="3" t="s">
        <v>27</v>
      </c>
      <c r="B515" s="3" t="s">
        <v>33</v>
      </c>
      <c r="C515" s="3" t="s">
        <v>23</v>
      </c>
      <c r="D515" s="3" t="s">
        <v>43</v>
      </c>
      <c r="E515" s="3" t="s">
        <v>25</v>
      </c>
      <c r="F515" s="3" t="s">
        <v>25</v>
      </c>
      <c r="G515" s="3" t="s">
        <v>25</v>
      </c>
      <c r="H515" s="3" t="s">
        <v>25</v>
      </c>
      <c r="I515" s="6">
        <v>44531</v>
      </c>
      <c r="J515" s="4">
        <v>0</v>
      </c>
      <c r="K515" s="4">
        <v>0</v>
      </c>
      <c r="L515" s="4">
        <v>-5.8000000000000003E-2</v>
      </c>
      <c r="M515" s="4">
        <v>-5.8000000000000003E-2</v>
      </c>
      <c r="N515" s="4">
        <v>-5.8000000000000003E-2</v>
      </c>
      <c r="O515" s="4">
        <v>-5.8000000000000003E-2</v>
      </c>
      <c r="P515" s="4">
        <v>0</v>
      </c>
      <c r="Q515" s="3" t="s">
        <v>26</v>
      </c>
      <c r="R515" s="3">
        <v>0</v>
      </c>
      <c r="S515" s="4">
        <v>0</v>
      </c>
      <c r="T515" s="4">
        <v>35</v>
      </c>
      <c r="U515" s="4">
        <v>83</v>
      </c>
      <c r="V515" s="4">
        <f>IF(ISERROR(VLOOKUP($S$515,'TAR FIN'!$A$1:$O$86,15,0)),0,VLOOKUP($S$515,'TAR FIN'!$A$1:$O$86,15,0))</f>
        <v>0</v>
      </c>
      <c r="W515" s="4">
        <f>IF(ISERROR(VLOOKUP($T$515,'TAR FIN'!$A$1:$O$86,15,0)),0,VLOOKUP($T$515,'TAR FIN'!$A$1:$O$86,15,0))</f>
        <v>489.03</v>
      </c>
      <c r="X515" s="4">
        <f>IF(ISERROR(VLOOKUP($U$515,'TAR FIN'!$A$1:$O$86,15,0)),0,VLOOKUP($U$515,'TAR FIN'!$A$1:$O$86,15,0))</f>
        <v>211.54</v>
      </c>
      <c r="Y515" s="4"/>
      <c r="Z515" s="4">
        <f ca="1">('TUSD BE'!$AM$48+'TUSD BF'!$AM$48+'TUSD CVA'!$AM$48)*1</f>
        <v>570.88759713673926</v>
      </c>
      <c r="AA515" s="4">
        <f>('TE BE'!$AB$39+'TE BF'!$AB$39+'TE CVA'!$AB$39)*1</f>
        <v>196.56876174373542</v>
      </c>
      <c r="AB515" s="4">
        <f>$K$515*$V$515</f>
        <v>0</v>
      </c>
      <c r="AC515" s="4">
        <f>$M$515*$W$515</f>
        <v>-28.36374</v>
      </c>
      <c r="AD515" s="4">
        <f>$O$515*$X$515</f>
        <v>-12.26932</v>
      </c>
      <c r="AE515" s="4">
        <f>$K$515*$Y$515</f>
        <v>0</v>
      </c>
      <c r="AF515" s="4">
        <f ca="1">$M$515*$Z$515</f>
        <v>-33.111480633930881</v>
      </c>
      <c r="AG515" s="4">
        <f>$O$515*$AA$515</f>
        <v>-11.400988181136656</v>
      </c>
    </row>
    <row r="516" spans="1:33" ht="11.25" customHeight="1" x14ac:dyDescent="0.25">
      <c r="A516" s="3" t="s">
        <v>21</v>
      </c>
      <c r="B516" s="3" t="s">
        <v>33</v>
      </c>
      <c r="C516" s="3" t="s">
        <v>23</v>
      </c>
      <c r="D516" s="3" t="s">
        <v>43</v>
      </c>
      <c r="E516" s="3" t="s">
        <v>25</v>
      </c>
      <c r="F516" s="3" t="s">
        <v>25</v>
      </c>
      <c r="G516" s="3" t="s">
        <v>25</v>
      </c>
      <c r="H516" s="3" t="s">
        <v>25</v>
      </c>
      <c r="I516" s="6">
        <v>44562</v>
      </c>
      <c r="J516" s="4">
        <v>0</v>
      </c>
      <c r="K516" s="4">
        <v>0</v>
      </c>
      <c r="L516" s="4">
        <v>59</v>
      </c>
      <c r="M516" s="4">
        <v>59</v>
      </c>
      <c r="N516" s="4">
        <v>59</v>
      </c>
      <c r="O516" s="4">
        <v>59</v>
      </c>
      <c r="P516" s="4">
        <v>107</v>
      </c>
      <c r="Q516" s="3" t="s">
        <v>26</v>
      </c>
      <c r="R516" s="3">
        <v>0</v>
      </c>
      <c r="S516" s="4">
        <v>0</v>
      </c>
      <c r="T516" s="4">
        <v>35</v>
      </c>
      <c r="U516" s="4">
        <v>83</v>
      </c>
      <c r="V516" s="4">
        <f>IF(ISERROR(VLOOKUP($S$516,'TAR FIN'!$A$1:$O$86,15,0)),0,VLOOKUP($S$516,'TAR FIN'!$A$1:$O$86,15,0))</f>
        <v>0</v>
      </c>
      <c r="W516" s="4">
        <f>IF(ISERROR(VLOOKUP($T$516,'TAR FIN'!$A$1:$O$86,15,0)),0,VLOOKUP($T$516,'TAR FIN'!$A$1:$O$86,15,0))</f>
        <v>489.03</v>
      </c>
      <c r="X516" s="4">
        <f>IF(ISERROR(VLOOKUP($U$516,'TAR FIN'!$A$1:$O$86,15,0)),0,VLOOKUP($U$516,'TAR FIN'!$A$1:$O$86,15,0))</f>
        <v>211.54</v>
      </c>
      <c r="Y516" s="4"/>
      <c r="Z516" s="4">
        <f ca="1">('TUSD BE'!$AM$48+'TUSD BF'!$AM$48+'TUSD CVA'!$AM$48)*1</f>
        <v>570.88759713673926</v>
      </c>
      <c r="AA516" s="4">
        <f>('TE BE'!$AB$39+'TE BF'!$AB$39+'TE CVA'!$AB$39)*1</f>
        <v>196.56876174373542</v>
      </c>
      <c r="AB516" s="4">
        <f>$K$516*$V$516</f>
        <v>0</v>
      </c>
      <c r="AC516" s="4">
        <f>$M$516*$W$516</f>
        <v>28852.769999999997</v>
      </c>
      <c r="AD516" s="4">
        <f>$O$516*$X$516</f>
        <v>12480.859999999999</v>
      </c>
      <c r="AE516" s="4">
        <f>$K$516*$Y$516</f>
        <v>0</v>
      </c>
      <c r="AF516" s="4">
        <f ca="1">$M$516*$Z$516</f>
        <v>33682.368231067616</v>
      </c>
      <c r="AG516" s="4">
        <f>$O$516*$AA$516</f>
        <v>11597.55694288039</v>
      </c>
    </row>
    <row r="517" spans="1:33" ht="11.25" customHeight="1" x14ac:dyDescent="0.25">
      <c r="A517" s="3" t="s">
        <v>21</v>
      </c>
      <c r="B517" s="3" t="s">
        <v>33</v>
      </c>
      <c r="C517" s="3" t="s">
        <v>23</v>
      </c>
      <c r="D517" s="3" t="s">
        <v>43</v>
      </c>
      <c r="E517" s="3" t="s">
        <v>25</v>
      </c>
      <c r="F517" s="3" t="s">
        <v>25</v>
      </c>
      <c r="G517" s="3" t="s">
        <v>25</v>
      </c>
      <c r="H517" s="3" t="s">
        <v>25</v>
      </c>
      <c r="I517" s="6">
        <v>44593</v>
      </c>
      <c r="J517" s="4">
        <v>0</v>
      </c>
      <c r="K517" s="4">
        <v>0</v>
      </c>
      <c r="L517" s="4">
        <v>56.345999999999997</v>
      </c>
      <c r="M517" s="4">
        <v>56.345999999999997</v>
      </c>
      <c r="N517" s="4">
        <v>56.345999999999997</v>
      </c>
      <c r="O517" s="4">
        <v>56.345999999999997</v>
      </c>
      <c r="P517" s="4">
        <v>106</v>
      </c>
      <c r="Q517" s="3" t="s">
        <v>26</v>
      </c>
      <c r="R517" s="3">
        <v>0</v>
      </c>
      <c r="S517" s="4">
        <v>0</v>
      </c>
      <c r="T517" s="4">
        <v>35</v>
      </c>
      <c r="U517" s="4">
        <v>83</v>
      </c>
      <c r="V517" s="4">
        <f>IF(ISERROR(VLOOKUP($S$517,'TAR FIN'!$A$1:$O$86,15,0)),0,VLOOKUP($S$517,'TAR FIN'!$A$1:$O$86,15,0))</f>
        <v>0</v>
      </c>
      <c r="W517" s="4">
        <f>IF(ISERROR(VLOOKUP($T$517,'TAR FIN'!$A$1:$O$86,15,0)),0,VLOOKUP($T$517,'TAR FIN'!$A$1:$O$86,15,0))</f>
        <v>489.03</v>
      </c>
      <c r="X517" s="4">
        <f>IF(ISERROR(VLOOKUP($U$517,'TAR FIN'!$A$1:$O$86,15,0)),0,VLOOKUP($U$517,'TAR FIN'!$A$1:$O$86,15,0))</f>
        <v>211.54</v>
      </c>
      <c r="Y517" s="4"/>
      <c r="Z517" s="4">
        <f ca="1">('TUSD BE'!$AM$48+'TUSD BF'!$AM$48+'TUSD CVA'!$AM$48)*1</f>
        <v>570.88759713673926</v>
      </c>
      <c r="AA517" s="4">
        <f>('TE BE'!$AB$39+'TE BF'!$AB$39+'TE CVA'!$AB$39)*1</f>
        <v>196.56876174373542</v>
      </c>
      <c r="AB517" s="4">
        <f>$K$517*$V$517</f>
        <v>0</v>
      </c>
      <c r="AC517" s="4">
        <f>$M$517*$W$517</f>
        <v>27554.884379999996</v>
      </c>
      <c r="AD517" s="4">
        <f>$O$517*$X$517</f>
        <v>11919.432839999999</v>
      </c>
      <c r="AE517" s="4">
        <f>$K$517*$Y$517</f>
        <v>0</v>
      </c>
      <c r="AF517" s="4">
        <f ca="1">$M$517*$Z$517</f>
        <v>32167.232548266707</v>
      </c>
      <c r="AG517" s="4">
        <f>$O$517*$AA$517</f>
        <v>11075.863449212515</v>
      </c>
    </row>
    <row r="518" spans="1:33" ht="11.25" customHeight="1" x14ac:dyDescent="0.25">
      <c r="A518" s="3" t="s">
        <v>21</v>
      </c>
      <c r="B518" s="3" t="s">
        <v>33</v>
      </c>
      <c r="C518" s="3" t="s">
        <v>23</v>
      </c>
      <c r="D518" s="3" t="s">
        <v>43</v>
      </c>
      <c r="E518" s="3" t="s">
        <v>25</v>
      </c>
      <c r="F518" s="3" t="s">
        <v>25</v>
      </c>
      <c r="G518" s="3" t="s">
        <v>25</v>
      </c>
      <c r="H518" s="3" t="s">
        <v>25</v>
      </c>
      <c r="I518" s="6">
        <v>44621</v>
      </c>
      <c r="J518" s="4">
        <v>0</v>
      </c>
      <c r="K518" s="4">
        <v>0</v>
      </c>
      <c r="L518" s="4">
        <v>60.597999999999999</v>
      </c>
      <c r="M518" s="4">
        <v>60.597999999999999</v>
      </c>
      <c r="N518" s="4">
        <v>60.597999999999999</v>
      </c>
      <c r="O518" s="4">
        <v>60.597999999999999</v>
      </c>
      <c r="P518" s="4">
        <v>108</v>
      </c>
      <c r="Q518" s="3" t="s">
        <v>26</v>
      </c>
      <c r="R518" s="3">
        <v>0</v>
      </c>
      <c r="S518" s="4">
        <v>0</v>
      </c>
      <c r="T518" s="4">
        <v>35</v>
      </c>
      <c r="U518" s="4">
        <v>83</v>
      </c>
      <c r="V518" s="4">
        <f>IF(ISERROR(VLOOKUP($S$518,'TAR FIN'!$A$1:$O$86,15,0)),0,VLOOKUP($S$518,'TAR FIN'!$A$1:$O$86,15,0))</f>
        <v>0</v>
      </c>
      <c r="W518" s="4">
        <f>IF(ISERROR(VLOOKUP($T$518,'TAR FIN'!$A$1:$O$86,15,0)),0,VLOOKUP($T$518,'TAR FIN'!$A$1:$O$86,15,0))</f>
        <v>489.03</v>
      </c>
      <c r="X518" s="4">
        <f>IF(ISERROR(VLOOKUP($U$518,'TAR FIN'!$A$1:$O$86,15,0)),0,VLOOKUP($U$518,'TAR FIN'!$A$1:$O$86,15,0))</f>
        <v>211.54</v>
      </c>
      <c r="Y518" s="4"/>
      <c r="Z518" s="4">
        <f ca="1">('TUSD BE'!$AM$48+'TUSD BF'!$AM$48+'TUSD CVA'!$AM$48)*1</f>
        <v>570.88759713673926</v>
      </c>
      <c r="AA518" s="4">
        <f>('TE BE'!$AB$39+'TE BF'!$AB$39+'TE CVA'!$AB$39)*1</f>
        <v>196.56876174373542</v>
      </c>
      <c r="AB518" s="4">
        <f>$K$518*$V$518</f>
        <v>0</v>
      </c>
      <c r="AC518" s="4">
        <f>$M$518*$W$518</f>
        <v>29634.239939999999</v>
      </c>
      <c r="AD518" s="4">
        <f>$O$518*$X$518</f>
        <v>12818.90092</v>
      </c>
      <c r="AE518" s="4">
        <f>$K$518*$Y$518</f>
        <v>0</v>
      </c>
      <c r="AF518" s="4">
        <f ca="1">$M$518*$Z$518</f>
        <v>34594.646611292126</v>
      </c>
      <c r="AG518" s="4">
        <f>$O$518*$AA$518</f>
        <v>11911.673824146879</v>
      </c>
    </row>
    <row r="519" spans="1:33" ht="11.25" customHeight="1" x14ac:dyDescent="0.25">
      <c r="A519" s="3" t="s">
        <v>21</v>
      </c>
      <c r="B519" s="3" t="s">
        <v>33</v>
      </c>
      <c r="C519" s="3" t="s">
        <v>23</v>
      </c>
      <c r="D519" s="3" t="s">
        <v>43</v>
      </c>
      <c r="E519" s="3" t="s">
        <v>25</v>
      </c>
      <c r="F519" s="3" t="s">
        <v>25</v>
      </c>
      <c r="G519" s="3" t="s">
        <v>25</v>
      </c>
      <c r="H519" s="3" t="s">
        <v>25</v>
      </c>
      <c r="I519" s="6">
        <v>44652</v>
      </c>
      <c r="J519" s="4">
        <v>0</v>
      </c>
      <c r="K519" s="4">
        <v>0</v>
      </c>
      <c r="L519" s="4">
        <v>56.607999999999997</v>
      </c>
      <c r="M519" s="4">
        <v>56.607999999999997</v>
      </c>
      <c r="N519" s="4">
        <v>56.607999999999997</v>
      </c>
      <c r="O519" s="4">
        <v>56.607999999999997</v>
      </c>
      <c r="P519" s="4">
        <v>107</v>
      </c>
      <c r="Q519" s="3" t="s">
        <v>26</v>
      </c>
      <c r="R519" s="3">
        <v>0</v>
      </c>
      <c r="S519" s="4">
        <v>0</v>
      </c>
      <c r="T519" s="4">
        <v>35</v>
      </c>
      <c r="U519" s="4">
        <v>83</v>
      </c>
      <c r="V519" s="4">
        <f>IF(ISERROR(VLOOKUP($S$519,'TAR FIN'!$A$1:$O$86,15,0)),0,VLOOKUP($S$519,'TAR FIN'!$A$1:$O$86,15,0))</f>
        <v>0</v>
      </c>
      <c r="W519" s="4">
        <f>IF(ISERROR(VLOOKUP($T$519,'TAR FIN'!$A$1:$O$86,15,0)),0,VLOOKUP($T$519,'TAR FIN'!$A$1:$O$86,15,0))</f>
        <v>489.03</v>
      </c>
      <c r="X519" s="4">
        <f>IF(ISERROR(VLOOKUP($U$519,'TAR FIN'!$A$1:$O$86,15,0)),0,VLOOKUP($U$519,'TAR FIN'!$A$1:$O$86,15,0))</f>
        <v>211.54</v>
      </c>
      <c r="Y519" s="4"/>
      <c r="Z519" s="4">
        <f ca="1">('TUSD BE'!$AM$48+'TUSD BF'!$AM$48+'TUSD CVA'!$AM$48)*1</f>
        <v>570.88759713673926</v>
      </c>
      <c r="AA519" s="4">
        <f>('TE BE'!$AB$39+'TE BF'!$AB$39+'TE CVA'!$AB$39)*1</f>
        <v>196.56876174373542</v>
      </c>
      <c r="AB519" s="4">
        <f>$K$519*$V$519</f>
        <v>0</v>
      </c>
      <c r="AC519" s="4">
        <f>$M$519*$W$519</f>
        <v>27683.010239999996</v>
      </c>
      <c r="AD519" s="4">
        <f>$O$519*$X$519</f>
        <v>11974.856319999999</v>
      </c>
      <c r="AE519" s="4">
        <f>$K$519*$Y$519</f>
        <v>0</v>
      </c>
      <c r="AF519" s="4">
        <f ca="1">$M$519*$Z$519</f>
        <v>32316.805098716533</v>
      </c>
      <c r="AG519" s="4">
        <f>$O$519*$AA$519</f>
        <v>11127.364464789374</v>
      </c>
    </row>
    <row r="520" spans="1:33" ht="11.25" customHeight="1" x14ac:dyDescent="0.25">
      <c r="A520" s="3" t="s">
        <v>21</v>
      </c>
      <c r="B520" s="3" t="s">
        <v>33</v>
      </c>
      <c r="C520" s="3" t="s">
        <v>23</v>
      </c>
      <c r="D520" s="3" t="s">
        <v>43</v>
      </c>
      <c r="E520" s="3" t="s">
        <v>25</v>
      </c>
      <c r="F520" s="3" t="s">
        <v>25</v>
      </c>
      <c r="G520" s="3" t="s">
        <v>25</v>
      </c>
      <c r="H520" s="3" t="s">
        <v>25</v>
      </c>
      <c r="I520" s="6">
        <v>44682</v>
      </c>
      <c r="J520" s="4">
        <v>0</v>
      </c>
      <c r="K520" s="4">
        <v>0</v>
      </c>
      <c r="L520" s="4">
        <v>47.890999999999998</v>
      </c>
      <c r="M520" s="4">
        <v>47.890999999999998</v>
      </c>
      <c r="N520" s="4">
        <v>47.890999999999998</v>
      </c>
      <c r="O520" s="4">
        <v>47.890999999999998</v>
      </c>
      <c r="P520" s="4">
        <v>109</v>
      </c>
      <c r="Q520" s="3" t="s">
        <v>26</v>
      </c>
      <c r="R520" s="3">
        <v>0</v>
      </c>
      <c r="S520" s="4">
        <v>0</v>
      </c>
      <c r="T520" s="4">
        <v>35</v>
      </c>
      <c r="U520" s="4">
        <v>83</v>
      </c>
      <c r="V520" s="4">
        <f>IF(ISERROR(VLOOKUP($S$520,'TAR FIN'!$A$1:$O$86,15,0)),0,VLOOKUP($S$520,'TAR FIN'!$A$1:$O$86,15,0))</f>
        <v>0</v>
      </c>
      <c r="W520" s="4">
        <f>IF(ISERROR(VLOOKUP($T$520,'TAR FIN'!$A$1:$O$86,15,0)),0,VLOOKUP($T$520,'TAR FIN'!$A$1:$O$86,15,0))</f>
        <v>489.03</v>
      </c>
      <c r="X520" s="4">
        <f>IF(ISERROR(VLOOKUP($U$520,'TAR FIN'!$A$1:$O$86,15,0)),0,VLOOKUP($U$520,'TAR FIN'!$A$1:$O$86,15,0))</f>
        <v>211.54</v>
      </c>
      <c r="Y520" s="4"/>
      <c r="Z520" s="4">
        <f ca="1">('TUSD BE'!$AM$48+'TUSD BF'!$AM$48+'TUSD CVA'!$AM$48)*1</f>
        <v>570.88759713673926</v>
      </c>
      <c r="AA520" s="4">
        <f>('TE BE'!$AB$39+'TE BF'!$AB$39+'TE CVA'!$AB$39)*1</f>
        <v>196.56876174373542</v>
      </c>
      <c r="AB520" s="4">
        <f>$K$520*$V$520</f>
        <v>0</v>
      </c>
      <c r="AC520" s="4">
        <f>$M$520*$W$520</f>
        <v>23420.135729999998</v>
      </c>
      <c r="AD520" s="4">
        <f>$O$520*$X$520</f>
        <v>10130.862139999999</v>
      </c>
      <c r="AE520" s="4">
        <f>$K$520*$Y$520</f>
        <v>0</v>
      </c>
      <c r="AF520" s="4">
        <f ca="1">$M$520*$Z$520</f>
        <v>27340.377914475579</v>
      </c>
      <c r="AG520" s="4">
        <f>$O$520*$AA$520</f>
        <v>9413.8745686692328</v>
      </c>
    </row>
    <row r="521" spans="1:33" ht="11.25" customHeight="1" x14ac:dyDescent="0.25">
      <c r="A521" s="3" t="s">
        <v>21</v>
      </c>
      <c r="B521" s="3" t="s">
        <v>33</v>
      </c>
      <c r="C521" s="3" t="s">
        <v>23</v>
      </c>
      <c r="D521" s="3" t="s">
        <v>43</v>
      </c>
      <c r="E521" s="3" t="s">
        <v>25</v>
      </c>
      <c r="F521" s="3" t="s">
        <v>25</v>
      </c>
      <c r="G521" s="3" t="s">
        <v>25</v>
      </c>
      <c r="H521" s="3" t="s">
        <v>25</v>
      </c>
      <c r="I521" s="6">
        <v>44713</v>
      </c>
      <c r="J521" s="4">
        <v>0</v>
      </c>
      <c r="K521" s="4">
        <v>0</v>
      </c>
      <c r="L521" s="4">
        <v>63.414999999999999</v>
      </c>
      <c r="M521" s="4">
        <v>63.414999999999999</v>
      </c>
      <c r="N521" s="4">
        <v>63.414999999999999</v>
      </c>
      <c r="O521" s="4">
        <v>63.414999999999999</v>
      </c>
      <c r="P521" s="4">
        <v>109</v>
      </c>
      <c r="Q521" s="3" t="s">
        <v>26</v>
      </c>
      <c r="R521" s="3">
        <v>0</v>
      </c>
      <c r="S521" s="4">
        <v>0</v>
      </c>
      <c r="T521" s="4">
        <v>35</v>
      </c>
      <c r="U521" s="4">
        <v>83</v>
      </c>
      <c r="V521" s="4">
        <f>IF(ISERROR(VLOOKUP($S$521,'TAR FIN'!$A$1:$O$86,15,0)),0,VLOOKUP($S$521,'TAR FIN'!$A$1:$O$86,15,0))</f>
        <v>0</v>
      </c>
      <c r="W521" s="4">
        <f>IF(ISERROR(VLOOKUP($T$521,'TAR FIN'!$A$1:$O$86,15,0)),0,VLOOKUP($T$521,'TAR FIN'!$A$1:$O$86,15,0))</f>
        <v>489.03</v>
      </c>
      <c r="X521" s="4">
        <f>IF(ISERROR(VLOOKUP($U$521,'TAR FIN'!$A$1:$O$86,15,0)),0,VLOOKUP($U$521,'TAR FIN'!$A$1:$O$86,15,0))</f>
        <v>211.54</v>
      </c>
      <c r="Y521" s="4"/>
      <c r="Z521" s="4">
        <f ca="1">('TUSD BE'!$AM$48+'TUSD BF'!$AM$48+'TUSD CVA'!$AM$48)*1</f>
        <v>570.88759713673926</v>
      </c>
      <c r="AA521" s="4">
        <f>('TE BE'!$AB$39+'TE BF'!$AB$39+'TE CVA'!$AB$39)*1</f>
        <v>196.56876174373542</v>
      </c>
      <c r="AB521" s="4">
        <f>$K$521*$V$521</f>
        <v>0</v>
      </c>
      <c r="AC521" s="4">
        <f>$M$521*$W$521</f>
        <v>31011.837449999999</v>
      </c>
      <c r="AD521" s="4">
        <f>$O$521*$X$521</f>
        <v>13414.809099999999</v>
      </c>
      <c r="AE521" s="4">
        <f>$K$521*$Y$521</f>
        <v>0</v>
      </c>
      <c r="AF521" s="4">
        <f ca="1">$M$521*$Z$521</f>
        <v>36202.836972426318</v>
      </c>
      <c r="AG521" s="4">
        <f>$O$521*$AA$521</f>
        <v>12465.408025978981</v>
      </c>
    </row>
    <row r="522" spans="1:33" ht="11.25" customHeight="1" x14ac:dyDescent="0.25">
      <c r="A522" s="3" t="s">
        <v>21</v>
      </c>
      <c r="B522" s="3" t="s">
        <v>33</v>
      </c>
      <c r="C522" s="3" t="s">
        <v>23</v>
      </c>
      <c r="D522" s="3" t="s">
        <v>47</v>
      </c>
      <c r="E522" s="3" t="s">
        <v>48</v>
      </c>
      <c r="F522" s="3" t="s">
        <v>25</v>
      </c>
      <c r="G522" s="3" t="s">
        <v>25</v>
      </c>
      <c r="H522" s="3" t="s">
        <v>25</v>
      </c>
      <c r="I522" s="6">
        <v>44378</v>
      </c>
      <c r="J522" s="4">
        <v>0</v>
      </c>
      <c r="K522" s="58">
        <v>0</v>
      </c>
      <c r="L522" s="4">
        <v>15.597</v>
      </c>
      <c r="M522" s="58">
        <v>15.597</v>
      </c>
      <c r="N522" s="4">
        <v>15.597</v>
      </c>
      <c r="O522" s="58">
        <v>15.597</v>
      </c>
      <c r="P522" s="4">
        <v>10</v>
      </c>
      <c r="Q522" s="3" t="s">
        <v>26</v>
      </c>
      <c r="R522" s="3">
        <v>0</v>
      </c>
      <c r="S522" s="4">
        <v>0</v>
      </c>
      <c r="T522" s="4">
        <v>35</v>
      </c>
      <c r="U522" s="4">
        <v>83</v>
      </c>
      <c r="V522" s="58">
        <f>IF(ISERROR(VLOOKUP($S$522,'TAR FIN'!$A$1:$O$86,15,0)),0,VLOOKUP($S$522,'TAR FIN'!$A$1:$O$86,15,0))</f>
        <v>0</v>
      </c>
      <c r="W522" s="58">
        <f>IF(ISERROR(VLOOKUP($T$522,'TAR FIN'!$A$1:$O$86,15,0)),0,VLOOKUP($T$522,'TAR FIN'!$A$1:$O$86,15,0))*(1-0.06)</f>
        <v>459.68819999999994</v>
      </c>
      <c r="X522" s="58">
        <f>IF(ISERROR(VLOOKUP($U$522,'TAR FIN'!$A$1:$O$86,15,0)),0,VLOOKUP($U$522,'TAR FIN'!$A$1:$O$86,15,0))*(1-0.06)</f>
        <v>198.84759999999997</v>
      </c>
      <c r="Y522" s="58"/>
      <c r="Z522" s="58">
        <f ca="1">('TUSD BE'!$AM$48+'TUSD BF'!$AM$48+'TUSD CVA'!$AM$48)*1*(1-0.03)</f>
        <v>553.76096922263707</v>
      </c>
      <c r="AA522" s="58">
        <f>('TE BE'!$AB$39+'TE BF'!$AB$39+'TE CVA'!$AB$39)*1*(1-0.03)</f>
        <v>190.67169889142335</v>
      </c>
      <c r="AB522" s="4">
        <f>$K$522*$V$522</f>
        <v>0</v>
      </c>
      <c r="AC522" s="4">
        <f>$M$522*$W$522</f>
        <v>7169.756855399999</v>
      </c>
      <c r="AD522" s="4">
        <f>$O$522*$X$522</f>
        <v>3101.4260171999995</v>
      </c>
      <c r="AE522" s="4">
        <f>$K$522*$Y$522</f>
        <v>0</v>
      </c>
      <c r="AF522" s="4">
        <f ca="1">$M$522*$Z$522</f>
        <v>8637.0098369654697</v>
      </c>
      <c r="AG522" s="4">
        <f>$O$522*$AA$522</f>
        <v>2973.9064876095299</v>
      </c>
    </row>
    <row r="523" spans="1:33" ht="11.25" customHeight="1" x14ac:dyDescent="0.25">
      <c r="A523" s="3" t="s">
        <v>21</v>
      </c>
      <c r="B523" s="3" t="s">
        <v>33</v>
      </c>
      <c r="C523" s="3" t="s">
        <v>23</v>
      </c>
      <c r="D523" s="3" t="s">
        <v>47</v>
      </c>
      <c r="E523" s="3" t="s">
        <v>48</v>
      </c>
      <c r="F523" s="3" t="s">
        <v>25</v>
      </c>
      <c r="G523" s="3" t="s">
        <v>25</v>
      </c>
      <c r="H523" s="3" t="s">
        <v>25</v>
      </c>
      <c r="I523" s="6">
        <v>44409</v>
      </c>
      <c r="J523" s="4">
        <v>0</v>
      </c>
      <c r="K523" s="58">
        <v>0</v>
      </c>
      <c r="L523" s="4">
        <v>21.338999999999999</v>
      </c>
      <c r="M523" s="58">
        <v>21.338999999999999</v>
      </c>
      <c r="N523" s="4">
        <v>21.338999999999999</v>
      </c>
      <c r="O523" s="58">
        <v>21.338999999999999</v>
      </c>
      <c r="P523" s="4">
        <v>11</v>
      </c>
      <c r="Q523" s="3" t="s">
        <v>26</v>
      </c>
      <c r="R523" s="3">
        <v>0</v>
      </c>
      <c r="S523" s="4">
        <v>0</v>
      </c>
      <c r="T523" s="4">
        <v>35</v>
      </c>
      <c r="U523" s="4">
        <v>83</v>
      </c>
      <c r="V523" s="58">
        <f>IF(ISERROR(VLOOKUP($S$523,'TAR FIN'!$A$1:$O$86,15,0)),0,VLOOKUP($S$523,'TAR FIN'!$A$1:$O$86,15,0))</f>
        <v>0</v>
      </c>
      <c r="W523" s="58">
        <f>IF(ISERROR(VLOOKUP($T$523,'TAR FIN'!$A$1:$O$86,15,0)),0,VLOOKUP($T$523,'TAR FIN'!$A$1:$O$86,15,0))*(1-0.06)</f>
        <v>459.68819999999994</v>
      </c>
      <c r="X523" s="58">
        <f>IF(ISERROR(VLOOKUP($U$523,'TAR FIN'!$A$1:$O$86,15,0)),0,VLOOKUP($U$523,'TAR FIN'!$A$1:$O$86,15,0))*(1-0.06)</f>
        <v>198.84759999999997</v>
      </c>
      <c r="Y523" s="58"/>
      <c r="Z523" s="58">
        <f ca="1">('TUSD BE'!$AM$48+'TUSD BF'!$AM$48+'TUSD CVA'!$AM$48)*1*(1-0.03)</f>
        <v>553.76096922263707</v>
      </c>
      <c r="AA523" s="58">
        <f>('TE BE'!$AB$39+'TE BF'!$AB$39+'TE CVA'!$AB$39)*1*(1-0.03)</f>
        <v>190.67169889142335</v>
      </c>
      <c r="AB523" s="4">
        <f>$K$523*$V$523</f>
        <v>0</v>
      </c>
      <c r="AC523" s="4">
        <f>$M$523*$W$523</f>
        <v>9809.2864997999986</v>
      </c>
      <c r="AD523" s="4">
        <f>$O$523*$X$523</f>
        <v>4243.2089363999994</v>
      </c>
      <c r="AE523" s="4">
        <f>$K$523*$Y$523</f>
        <v>0</v>
      </c>
      <c r="AF523" s="4">
        <f ca="1">$M$523*$Z$523</f>
        <v>11816.705322241853</v>
      </c>
      <c r="AG523" s="4">
        <f>$O$523*$AA$523</f>
        <v>4068.7433826440824</v>
      </c>
    </row>
    <row r="524" spans="1:33" ht="11.25" customHeight="1" x14ac:dyDescent="0.25">
      <c r="A524" s="3" t="s">
        <v>21</v>
      </c>
      <c r="B524" s="3" t="s">
        <v>33</v>
      </c>
      <c r="C524" s="3" t="s">
        <v>23</v>
      </c>
      <c r="D524" s="3" t="s">
        <v>47</v>
      </c>
      <c r="E524" s="3" t="s">
        <v>48</v>
      </c>
      <c r="F524" s="3" t="s">
        <v>25</v>
      </c>
      <c r="G524" s="3" t="s">
        <v>25</v>
      </c>
      <c r="H524" s="3" t="s">
        <v>25</v>
      </c>
      <c r="I524" s="6">
        <v>44440</v>
      </c>
      <c r="J524" s="4">
        <v>0</v>
      </c>
      <c r="K524" s="58">
        <v>0</v>
      </c>
      <c r="L524" s="4">
        <v>21.638000000000002</v>
      </c>
      <c r="M524" s="58">
        <v>21.638000000000002</v>
      </c>
      <c r="N524" s="4">
        <v>21.638000000000002</v>
      </c>
      <c r="O524" s="58">
        <v>21.638000000000002</v>
      </c>
      <c r="P524" s="4">
        <v>11</v>
      </c>
      <c r="Q524" s="3" t="s">
        <v>26</v>
      </c>
      <c r="R524" s="3">
        <v>0</v>
      </c>
      <c r="S524" s="4">
        <v>0</v>
      </c>
      <c r="T524" s="4">
        <v>35</v>
      </c>
      <c r="U524" s="4">
        <v>83</v>
      </c>
      <c r="V524" s="58">
        <f>IF(ISERROR(VLOOKUP($S$524,'TAR FIN'!$A$1:$O$86,15,0)),0,VLOOKUP($S$524,'TAR FIN'!$A$1:$O$86,15,0))</f>
        <v>0</v>
      </c>
      <c r="W524" s="58">
        <f>IF(ISERROR(VLOOKUP($T$524,'TAR FIN'!$A$1:$O$86,15,0)),0,VLOOKUP($T$524,'TAR FIN'!$A$1:$O$86,15,0))*(1-0.06)</f>
        <v>459.68819999999994</v>
      </c>
      <c r="X524" s="58">
        <f>IF(ISERROR(VLOOKUP($U$524,'TAR FIN'!$A$1:$O$86,15,0)),0,VLOOKUP($U$524,'TAR FIN'!$A$1:$O$86,15,0))*(1-0.06)</f>
        <v>198.84759999999997</v>
      </c>
      <c r="Y524" s="58"/>
      <c r="Z524" s="58">
        <f ca="1">('TUSD BE'!$AM$48+'TUSD BF'!$AM$48+'TUSD CVA'!$AM$48)*1*(1-0.03)</f>
        <v>553.76096922263707</v>
      </c>
      <c r="AA524" s="58">
        <f>('TE BE'!$AB$39+'TE BF'!$AB$39+'TE CVA'!$AB$39)*1*(1-0.03)</f>
        <v>190.67169889142335</v>
      </c>
      <c r="AB524" s="4">
        <f>$K$524*$V$524</f>
        <v>0</v>
      </c>
      <c r="AC524" s="4">
        <f>$M$524*$W$524</f>
        <v>9946.7332716000001</v>
      </c>
      <c r="AD524" s="4">
        <f>$O$524*$X$524</f>
        <v>4302.6643687999995</v>
      </c>
      <c r="AE524" s="4">
        <f>$K$524*$Y$524</f>
        <v>0</v>
      </c>
      <c r="AF524" s="4">
        <f ca="1">$M$524*$Z$524</f>
        <v>11982.279852039423</v>
      </c>
      <c r="AG524" s="4">
        <f>$O$524*$AA$524</f>
        <v>4125.7542206126191</v>
      </c>
    </row>
    <row r="525" spans="1:33" ht="11.25" customHeight="1" x14ac:dyDescent="0.25">
      <c r="A525" s="3" t="s">
        <v>21</v>
      </c>
      <c r="B525" s="3" t="s">
        <v>33</v>
      </c>
      <c r="C525" s="3" t="s">
        <v>23</v>
      </c>
      <c r="D525" s="3" t="s">
        <v>47</v>
      </c>
      <c r="E525" s="3" t="s">
        <v>48</v>
      </c>
      <c r="F525" s="3" t="s">
        <v>25</v>
      </c>
      <c r="G525" s="3" t="s">
        <v>25</v>
      </c>
      <c r="H525" s="3" t="s">
        <v>25</v>
      </c>
      <c r="I525" s="6">
        <v>44470</v>
      </c>
      <c r="J525" s="4">
        <v>0</v>
      </c>
      <c r="K525" s="58">
        <v>0</v>
      </c>
      <c r="L525" s="4">
        <v>20.704000000000001</v>
      </c>
      <c r="M525" s="58">
        <v>20.704000000000001</v>
      </c>
      <c r="N525" s="4">
        <v>20.704000000000001</v>
      </c>
      <c r="O525" s="58">
        <v>20.704000000000001</v>
      </c>
      <c r="P525" s="4">
        <v>11</v>
      </c>
      <c r="Q525" s="3" t="s">
        <v>26</v>
      </c>
      <c r="R525" s="3">
        <v>0</v>
      </c>
      <c r="S525" s="4">
        <v>0</v>
      </c>
      <c r="T525" s="4">
        <v>35</v>
      </c>
      <c r="U525" s="4">
        <v>83</v>
      </c>
      <c r="V525" s="58">
        <f>IF(ISERROR(VLOOKUP($S$525,'TAR FIN'!$A$1:$O$86,15,0)),0,VLOOKUP($S$525,'TAR FIN'!$A$1:$O$86,15,0))</f>
        <v>0</v>
      </c>
      <c r="W525" s="58">
        <f>IF(ISERROR(VLOOKUP($T$525,'TAR FIN'!$A$1:$O$86,15,0)),0,VLOOKUP($T$525,'TAR FIN'!$A$1:$O$86,15,0))*(1-0.06)</f>
        <v>459.68819999999994</v>
      </c>
      <c r="X525" s="58">
        <f>IF(ISERROR(VLOOKUP($U$525,'TAR FIN'!$A$1:$O$86,15,0)),0,VLOOKUP($U$525,'TAR FIN'!$A$1:$O$86,15,0))*(1-0.06)</f>
        <v>198.84759999999997</v>
      </c>
      <c r="Y525" s="58"/>
      <c r="Z525" s="58">
        <f ca="1">('TUSD BE'!$AM$48+'TUSD BF'!$AM$48+'TUSD CVA'!$AM$48)*1*(1-0.03)</f>
        <v>553.76096922263707</v>
      </c>
      <c r="AA525" s="58">
        <f>('TE BE'!$AB$39+'TE BF'!$AB$39+'TE CVA'!$AB$39)*1*(1-0.03)</f>
        <v>190.67169889142335</v>
      </c>
      <c r="AB525" s="4">
        <f>$K$525*$V$525</f>
        <v>0</v>
      </c>
      <c r="AC525" s="4">
        <f>$M$525*$W$525</f>
        <v>9517.3844927999999</v>
      </c>
      <c r="AD525" s="4">
        <f>$O$525*$X$525</f>
        <v>4116.9407103999993</v>
      </c>
      <c r="AE525" s="4">
        <f>$K$525*$Y$525</f>
        <v>0</v>
      </c>
      <c r="AF525" s="4">
        <f ca="1">$M$525*$Z$525</f>
        <v>11465.067106785478</v>
      </c>
      <c r="AG525" s="4">
        <f>$O$525*$AA$525</f>
        <v>3947.6668538480289</v>
      </c>
    </row>
    <row r="526" spans="1:33" ht="11.25" customHeight="1" x14ac:dyDescent="0.25">
      <c r="A526" s="3" t="s">
        <v>21</v>
      </c>
      <c r="B526" s="3" t="s">
        <v>33</v>
      </c>
      <c r="C526" s="3" t="s">
        <v>23</v>
      </c>
      <c r="D526" s="3" t="s">
        <v>47</v>
      </c>
      <c r="E526" s="3" t="s">
        <v>48</v>
      </c>
      <c r="F526" s="3" t="s">
        <v>25</v>
      </c>
      <c r="G526" s="3" t="s">
        <v>25</v>
      </c>
      <c r="H526" s="3" t="s">
        <v>25</v>
      </c>
      <c r="I526" s="6">
        <v>44501</v>
      </c>
      <c r="J526" s="4">
        <v>0</v>
      </c>
      <c r="K526" s="58">
        <v>0</v>
      </c>
      <c r="L526" s="4">
        <v>22.2</v>
      </c>
      <c r="M526" s="58">
        <v>22.2</v>
      </c>
      <c r="N526" s="4">
        <v>22.2</v>
      </c>
      <c r="O526" s="58">
        <v>22.2</v>
      </c>
      <c r="P526" s="4">
        <v>11</v>
      </c>
      <c r="Q526" s="3" t="s">
        <v>26</v>
      </c>
      <c r="R526" s="3">
        <v>0</v>
      </c>
      <c r="S526" s="4">
        <v>0</v>
      </c>
      <c r="T526" s="4">
        <v>35</v>
      </c>
      <c r="U526" s="4">
        <v>83</v>
      </c>
      <c r="V526" s="58">
        <f>IF(ISERROR(VLOOKUP($S$526,'TAR FIN'!$A$1:$O$86,15,0)),0,VLOOKUP($S$526,'TAR FIN'!$A$1:$O$86,15,0))</f>
        <v>0</v>
      </c>
      <c r="W526" s="58">
        <f>IF(ISERROR(VLOOKUP($T$526,'TAR FIN'!$A$1:$O$86,15,0)),0,VLOOKUP($T$526,'TAR FIN'!$A$1:$O$86,15,0))*(1-0.06)</f>
        <v>459.68819999999994</v>
      </c>
      <c r="X526" s="58">
        <f>IF(ISERROR(VLOOKUP($U$526,'TAR FIN'!$A$1:$O$86,15,0)),0,VLOOKUP($U$526,'TAR FIN'!$A$1:$O$86,15,0))*(1-0.06)</f>
        <v>198.84759999999997</v>
      </c>
      <c r="Y526" s="58"/>
      <c r="Z526" s="58">
        <f ca="1">('TUSD BE'!$AM$48+'TUSD BF'!$AM$48+'TUSD CVA'!$AM$48)*1*(1-0.03)</f>
        <v>553.76096922263707</v>
      </c>
      <c r="AA526" s="58">
        <f>('TE BE'!$AB$39+'TE BF'!$AB$39+'TE CVA'!$AB$39)*1*(1-0.03)</f>
        <v>190.67169889142335</v>
      </c>
      <c r="AB526" s="4">
        <f>$K$526*$V$526</f>
        <v>0</v>
      </c>
      <c r="AC526" s="4">
        <f>$M$526*$W$526</f>
        <v>10205.078039999999</v>
      </c>
      <c r="AD526" s="4">
        <f>$O$526*$X$526</f>
        <v>4414.4167199999993</v>
      </c>
      <c r="AE526" s="4">
        <f>$K$526*$Y$526</f>
        <v>0</v>
      </c>
      <c r="AF526" s="4">
        <f ca="1">$M$526*$Z$526</f>
        <v>12293.493516742543</v>
      </c>
      <c r="AG526" s="4">
        <f>$O$526*$AA$526</f>
        <v>4232.9117153895986</v>
      </c>
    </row>
    <row r="527" spans="1:33" ht="11.25" customHeight="1" x14ac:dyDescent="0.25">
      <c r="A527" s="3" t="s">
        <v>21</v>
      </c>
      <c r="B527" s="3" t="s">
        <v>33</v>
      </c>
      <c r="C527" s="3" t="s">
        <v>23</v>
      </c>
      <c r="D527" s="3" t="s">
        <v>47</v>
      </c>
      <c r="E527" s="3" t="s">
        <v>48</v>
      </c>
      <c r="F527" s="3" t="s">
        <v>25</v>
      </c>
      <c r="G527" s="3" t="s">
        <v>25</v>
      </c>
      <c r="H527" s="3" t="s">
        <v>25</v>
      </c>
      <c r="I527" s="6">
        <v>44531</v>
      </c>
      <c r="J527" s="4">
        <v>0</v>
      </c>
      <c r="K527" s="58">
        <v>0</v>
      </c>
      <c r="L527" s="4">
        <v>18.004999999999999</v>
      </c>
      <c r="M527" s="58">
        <v>18.004999999999999</v>
      </c>
      <c r="N527" s="4">
        <v>18.004999999999999</v>
      </c>
      <c r="O527" s="58">
        <v>18.004999999999999</v>
      </c>
      <c r="P527" s="4">
        <v>11</v>
      </c>
      <c r="Q527" s="3" t="s">
        <v>26</v>
      </c>
      <c r="R527" s="3">
        <v>0</v>
      </c>
      <c r="S527" s="4">
        <v>0</v>
      </c>
      <c r="T527" s="4">
        <v>35</v>
      </c>
      <c r="U527" s="4">
        <v>83</v>
      </c>
      <c r="V527" s="58">
        <f>IF(ISERROR(VLOOKUP($S$527,'TAR FIN'!$A$1:$O$86,15,0)),0,VLOOKUP($S$527,'TAR FIN'!$A$1:$O$86,15,0))</f>
        <v>0</v>
      </c>
      <c r="W527" s="58">
        <f>IF(ISERROR(VLOOKUP($T$527,'TAR FIN'!$A$1:$O$86,15,0)),0,VLOOKUP($T$527,'TAR FIN'!$A$1:$O$86,15,0))*(1-0.06)</f>
        <v>459.68819999999994</v>
      </c>
      <c r="X527" s="58">
        <f>IF(ISERROR(VLOOKUP($U$527,'TAR FIN'!$A$1:$O$86,15,0)),0,VLOOKUP($U$527,'TAR FIN'!$A$1:$O$86,15,0))*(1-0.06)</f>
        <v>198.84759999999997</v>
      </c>
      <c r="Y527" s="58"/>
      <c r="Z527" s="58">
        <f ca="1">('TUSD BE'!$AM$48+'TUSD BF'!$AM$48+'TUSD CVA'!$AM$48)*1*(1-0.03)</f>
        <v>553.76096922263707</v>
      </c>
      <c r="AA527" s="58">
        <f>('TE BE'!$AB$39+'TE BF'!$AB$39+'TE CVA'!$AB$39)*1*(1-0.03)</f>
        <v>190.67169889142335</v>
      </c>
      <c r="AB527" s="4">
        <f>$K$527*$V$527</f>
        <v>0</v>
      </c>
      <c r="AC527" s="4">
        <f>$M$527*$W$527</f>
        <v>8276.686040999999</v>
      </c>
      <c r="AD527" s="4">
        <f>$O$527*$X$527</f>
        <v>3580.2510379999994</v>
      </c>
      <c r="AE527" s="4">
        <f>$K$527*$Y$527</f>
        <v>0</v>
      </c>
      <c r="AF527" s="4">
        <f ca="1">$M$527*$Z$527</f>
        <v>9970.4662508535803</v>
      </c>
      <c r="AG527" s="4">
        <f>$O$527*$AA$527</f>
        <v>3433.0439385400773</v>
      </c>
    </row>
    <row r="528" spans="1:33" ht="11.25" customHeight="1" x14ac:dyDescent="0.25">
      <c r="A528" s="3" t="s">
        <v>21</v>
      </c>
      <c r="B528" s="3" t="s">
        <v>33</v>
      </c>
      <c r="C528" s="3" t="s">
        <v>23</v>
      </c>
      <c r="D528" s="3" t="s">
        <v>47</v>
      </c>
      <c r="E528" s="3" t="s">
        <v>48</v>
      </c>
      <c r="F528" s="3" t="s">
        <v>25</v>
      </c>
      <c r="G528" s="3" t="s">
        <v>25</v>
      </c>
      <c r="H528" s="3" t="s">
        <v>25</v>
      </c>
      <c r="I528" s="6">
        <v>44562</v>
      </c>
      <c r="J528" s="4">
        <v>0</v>
      </c>
      <c r="K528" s="58">
        <v>0</v>
      </c>
      <c r="L528" s="4">
        <v>22.184000000000001</v>
      </c>
      <c r="M528" s="58">
        <v>22.184000000000001</v>
      </c>
      <c r="N528" s="4">
        <v>22.184000000000001</v>
      </c>
      <c r="O528" s="58">
        <v>22.184000000000001</v>
      </c>
      <c r="P528" s="4">
        <v>11</v>
      </c>
      <c r="Q528" s="3" t="s">
        <v>26</v>
      </c>
      <c r="R528" s="3">
        <v>0</v>
      </c>
      <c r="S528" s="4">
        <v>0</v>
      </c>
      <c r="T528" s="4">
        <v>35</v>
      </c>
      <c r="U528" s="4">
        <v>83</v>
      </c>
      <c r="V528" s="58">
        <f>IF(ISERROR(VLOOKUP($S$528,'TAR FIN'!$A$1:$O$86,15,0)),0,VLOOKUP($S$528,'TAR FIN'!$A$1:$O$86,15,0))</f>
        <v>0</v>
      </c>
      <c r="W528" s="58">
        <f>IF(ISERROR(VLOOKUP($T$528,'TAR FIN'!$A$1:$O$86,15,0)),0,VLOOKUP($T$528,'TAR FIN'!$A$1:$O$86,15,0))*(1-0.06)</f>
        <v>459.68819999999994</v>
      </c>
      <c r="X528" s="58">
        <f>IF(ISERROR(VLOOKUP($U$528,'TAR FIN'!$A$1:$O$86,15,0)),0,VLOOKUP($U$528,'TAR FIN'!$A$1:$O$86,15,0))*(1-0.06)</f>
        <v>198.84759999999997</v>
      </c>
      <c r="Y528" s="58"/>
      <c r="Z528" s="58">
        <f ca="1">('TUSD BE'!$AM$48+'TUSD BF'!$AM$48+'TUSD CVA'!$AM$48)*1*(1-0.03)</f>
        <v>553.76096922263707</v>
      </c>
      <c r="AA528" s="58">
        <f>('TE BE'!$AB$39+'TE BF'!$AB$39+'TE CVA'!$AB$39)*1*(1-0.03)</f>
        <v>190.67169889142335</v>
      </c>
      <c r="AB528" s="4">
        <f>$K$528*$V$528</f>
        <v>0</v>
      </c>
      <c r="AC528" s="4">
        <f>$M$528*$W$528</f>
        <v>10197.723028799999</v>
      </c>
      <c r="AD528" s="4">
        <f>$O$528*$X$528</f>
        <v>4411.2351583999998</v>
      </c>
      <c r="AE528" s="4">
        <f>$K$528*$Y$528</f>
        <v>0</v>
      </c>
      <c r="AF528" s="4">
        <f ca="1">$M$528*$Z$528</f>
        <v>12284.633341234981</v>
      </c>
      <c r="AG528" s="4">
        <f>$O$528*$AA$528</f>
        <v>4229.8609682073356</v>
      </c>
    </row>
    <row r="529" spans="1:33" ht="11.25" customHeight="1" x14ac:dyDescent="0.25">
      <c r="A529" s="3" t="s">
        <v>21</v>
      </c>
      <c r="B529" s="3" t="s">
        <v>33</v>
      </c>
      <c r="C529" s="3" t="s">
        <v>23</v>
      </c>
      <c r="D529" s="3" t="s">
        <v>47</v>
      </c>
      <c r="E529" s="3" t="s">
        <v>48</v>
      </c>
      <c r="F529" s="3" t="s">
        <v>25</v>
      </c>
      <c r="G529" s="3" t="s">
        <v>25</v>
      </c>
      <c r="H529" s="3" t="s">
        <v>25</v>
      </c>
      <c r="I529" s="6">
        <v>44593</v>
      </c>
      <c r="J529" s="4">
        <v>0</v>
      </c>
      <c r="K529" s="58">
        <v>0</v>
      </c>
      <c r="L529" s="4">
        <v>21.664000000000001</v>
      </c>
      <c r="M529" s="58">
        <v>21.664000000000001</v>
      </c>
      <c r="N529" s="4">
        <v>21.664000000000001</v>
      </c>
      <c r="O529" s="58">
        <v>21.664000000000001</v>
      </c>
      <c r="P529" s="4">
        <v>11</v>
      </c>
      <c r="Q529" s="3" t="s">
        <v>26</v>
      </c>
      <c r="R529" s="3">
        <v>0</v>
      </c>
      <c r="S529" s="4">
        <v>0</v>
      </c>
      <c r="T529" s="4">
        <v>35</v>
      </c>
      <c r="U529" s="4">
        <v>83</v>
      </c>
      <c r="V529" s="58">
        <f>IF(ISERROR(VLOOKUP($S$529,'TAR FIN'!$A$1:$O$86,15,0)),0,VLOOKUP($S$529,'TAR FIN'!$A$1:$O$86,15,0))</f>
        <v>0</v>
      </c>
      <c r="W529" s="58">
        <f>IF(ISERROR(VLOOKUP($T$529,'TAR FIN'!$A$1:$O$86,15,0)),0,VLOOKUP($T$529,'TAR FIN'!$A$1:$O$86,15,0))*(1-0.06)</f>
        <v>459.68819999999994</v>
      </c>
      <c r="X529" s="58">
        <f>IF(ISERROR(VLOOKUP($U$529,'TAR FIN'!$A$1:$O$86,15,0)),0,VLOOKUP($U$529,'TAR FIN'!$A$1:$O$86,15,0))*(1-0.06)</f>
        <v>198.84759999999997</v>
      </c>
      <c r="Y529" s="58"/>
      <c r="Z529" s="58">
        <f ca="1">('TUSD BE'!$AM$48+'TUSD BF'!$AM$48+'TUSD CVA'!$AM$48)*1*(1-0.03)</f>
        <v>553.76096922263707</v>
      </c>
      <c r="AA529" s="58">
        <f>('TE BE'!$AB$39+'TE BF'!$AB$39+'TE CVA'!$AB$39)*1*(1-0.03)</f>
        <v>190.67169889142335</v>
      </c>
      <c r="AB529" s="4">
        <f>$K$529*$V$529</f>
        <v>0</v>
      </c>
      <c r="AC529" s="4">
        <f>$M$529*$W$529</f>
        <v>9958.6851647999993</v>
      </c>
      <c r="AD529" s="4">
        <f>$O$529*$X$529</f>
        <v>4307.8344063999994</v>
      </c>
      <c r="AE529" s="4">
        <f>$K$529*$Y$529</f>
        <v>0</v>
      </c>
      <c r="AF529" s="4">
        <f ca="1">$M$529*$Z$529</f>
        <v>11996.677637239211</v>
      </c>
      <c r="AG529" s="4">
        <f>$O$529*$AA$529</f>
        <v>4130.711684783796</v>
      </c>
    </row>
    <row r="530" spans="1:33" ht="11.25" customHeight="1" x14ac:dyDescent="0.25">
      <c r="A530" s="3" t="s">
        <v>21</v>
      </c>
      <c r="B530" s="3" t="s">
        <v>33</v>
      </c>
      <c r="C530" s="3" t="s">
        <v>23</v>
      </c>
      <c r="D530" s="3" t="s">
        <v>47</v>
      </c>
      <c r="E530" s="3" t="s">
        <v>48</v>
      </c>
      <c r="F530" s="3" t="s">
        <v>25</v>
      </c>
      <c r="G530" s="3" t="s">
        <v>25</v>
      </c>
      <c r="H530" s="3" t="s">
        <v>25</v>
      </c>
      <c r="I530" s="6">
        <v>44621</v>
      </c>
      <c r="J530" s="4">
        <v>0</v>
      </c>
      <c r="K530" s="58">
        <v>0</v>
      </c>
      <c r="L530" s="4">
        <v>22.236999999999998</v>
      </c>
      <c r="M530" s="58">
        <v>22.236999999999998</v>
      </c>
      <c r="N530" s="4">
        <v>22.236999999999998</v>
      </c>
      <c r="O530" s="58">
        <v>22.236999999999998</v>
      </c>
      <c r="P530" s="4">
        <v>11</v>
      </c>
      <c r="Q530" s="3" t="s">
        <v>26</v>
      </c>
      <c r="R530" s="3">
        <v>0</v>
      </c>
      <c r="S530" s="4">
        <v>0</v>
      </c>
      <c r="T530" s="4">
        <v>35</v>
      </c>
      <c r="U530" s="4">
        <v>83</v>
      </c>
      <c r="V530" s="58">
        <f>IF(ISERROR(VLOOKUP($S$530,'TAR FIN'!$A$1:$O$86,15,0)),0,VLOOKUP($S$530,'TAR FIN'!$A$1:$O$86,15,0))</f>
        <v>0</v>
      </c>
      <c r="W530" s="58">
        <f>IF(ISERROR(VLOOKUP($T$530,'TAR FIN'!$A$1:$O$86,15,0)),0,VLOOKUP($T$530,'TAR FIN'!$A$1:$O$86,15,0))*(1-0.06)</f>
        <v>459.68819999999994</v>
      </c>
      <c r="X530" s="58">
        <f>IF(ISERROR(VLOOKUP($U$530,'TAR FIN'!$A$1:$O$86,15,0)),0,VLOOKUP($U$530,'TAR FIN'!$A$1:$O$86,15,0))*(1-0.06)</f>
        <v>198.84759999999997</v>
      </c>
      <c r="Y530" s="58"/>
      <c r="Z530" s="58">
        <f ca="1">('TUSD BE'!$AM$48+'TUSD BF'!$AM$48+'TUSD CVA'!$AM$48)*1*(1-0.03)</f>
        <v>553.76096922263707</v>
      </c>
      <c r="AA530" s="58">
        <f>('TE BE'!$AB$39+'TE BF'!$AB$39+'TE CVA'!$AB$39)*1*(1-0.03)</f>
        <v>190.67169889142335</v>
      </c>
      <c r="AB530" s="4">
        <f>$K$530*$V$530</f>
        <v>0</v>
      </c>
      <c r="AC530" s="4">
        <f>$M$530*$W$530</f>
        <v>10222.086503399998</v>
      </c>
      <c r="AD530" s="4">
        <f>$O$530*$X$530</f>
        <v>4421.7740811999993</v>
      </c>
      <c r="AE530" s="4">
        <f>$K$530*$Y$530</f>
        <v>0</v>
      </c>
      <c r="AF530" s="4">
        <f ca="1">$M$530*$Z$530</f>
        <v>12313.982672603779</v>
      </c>
      <c r="AG530" s="4">
        <f>$O$530*$AA$530</f>
        <v>4239.9665682485811</v>
      </c>
    </row>
    <row r="531" spans="1:33" ht="11.25" customHeight="1" x14ac:dyDescent="0.25">
      <c r="A531" s="3" t="s">
        <v>21</v>
      </c>
      <c r="B531" s="3" t="s">
        <v>33</v>
      </c>
      <c r="C531" s="3" t="s">
        <v>23</v>
      </c>
      <c r="D531" s="3" t="s">
        <v>47</v>
      </c>
      <c r="E531" s="3" t="s">
        <v>48</v>
      </c>
      <c r="F531" s="3" t="s">
        <v>25</v>
      </c>
      <c r="G531" s="3" t="s">
        <v>25</v>
      </c>
      <c r="H531" s="3" t="s">
        <v>25</v>
      </c>
      <c r="I531" s="6">
        <v>44652</v>
      </c>
      <c r="J531" s="4">
        <v>0</v>
      </c>
      <c r="K531" s="58">
        <v>0</v>
      </c>
      <c r="L531" s="4">
        <v>22.102</v>
      </c>
      <c r="M531" s="58">
        <v>22.102</v>
      </c>
      <c r="N531" s="4">
        <v>22.102</v>
      </c>
      <c r="O531" s="58">
        <v>22.102</v>
      </c>
      <c r="P531" s="4">
        <v>11</v>
      </c>
      <c r="Q531" s="3" t="s">
        <v>26</v>
      </c>
      <c r="R531" s="3">
        <v>0</v>
      </c>
      <c r="S531" s="4">
        <v>0</v>
      </c>
      <c r="T531" s="4">
        <v>35</v>
      </c>
      <c r="U531" s="4">
        <v>83</v>
      </c>
      <c r="V531" s="58">
        <f>IF(ISERROR(VLOOKUP($S$531,'TAR FIN'!$A$1:$O$86,15,0)),0,VLOOKUP($S$531,'TAR FIN'!$A$1:$O$86,15,0))</f>
        <v>0</v>
      </c>
      <c r="W531" s="58">
        <f>IF(ISERROR(VLOOKUP($T$531,'TAR FIN'!$A$1:$O$86,15,0)),0,VLOOKUP($T$531,'TAR FIN'!$A$1:$O$86,15,0))*(1-0.06)</f>
        <v>459.68819999999994</v>
      </c>
      <c r="X531" s="58">
        <f>IF(ISERROR(VLOOKUP($U$531,'TAR FIN'!$A$1:$O$86,15,0)),0,VLOOKUP($U$531,'TAR FIN'!$A$1:$O$86,15,0))*(1-0.06)</f>
        <v>198.84759999999997</v>
      </c>
      <c r="Y531" s="58"/>
      <c r="Z531" s="58">
        <f ca="1">('TUSD BE'!$AM$48+'TUSD BF'!$AM$48+'TUSD CVA'!$AM$48)*1*(1-0.03)</f>
        <v>553.76096922263707</v>
      </c>
      <c r="AA531" s="58">
        <f>('TE BE'!$AB$39+'TE BF'!$AB$39+'TE CVA'!$AB$39)*1*(1-0.03)</f>
        <v>190.67169889142335</v>
      </c>
      <c r="AB531" s="4">
        <f>$K$531*$V$531</f>
        <v>0</v>
      </c>
      <c r="AC531" s="4">
        <f>$M$531*$W$531</f>
        <v>10160.0285964</v>
      </c>
      <c r="AD531" s="4">
        <f>$O$531*$X$531</f>
        <v>4394.9296551999996</v>
      </c>
      <c r="AE531" s="4">
        <f>$K$531*$Y$531</f>
        <v>0</v>
      </c>
      <c r="AF531" s="4">
        <f ca="1">$M$531*$Z$531</f>
        <v>12239.224941758725</v>
      </c>
      <c r="AG531" s="4">
        <f>$O$531*$AA$531</f>
        <v>4214.2258888982387</v>
      </c>
    </row>
    <row r="532" spans="1:33" ht="11.25" customHeight="1" x14ac:dyDescent="0.25">
      <c r="A532" s="3" t="s">
        <v>21</v>
      </c>
      <c r="B532" s="3" t="s">
        <v>33</v>
      </c>
      <c r="C532" s="3" t="s">
        <v>23</v>
      </c>
      <c r="D532" s="3" t="s">
        <v>47</v>
      </c>
      <c r="E532" s="3" t="s">
        <v>48</v>
      </c>
      <c r="F532" s="3" t="s">
        <v>25</v>
      </c>
      <c r="G532" s="3" t="s">
        <v>25</v>
      </c>
      <c r="H532" s="3" t="s">
        <v>25</v>
      </c>
      <c r="I532" s="6">
        <v>44682</v>
      </c>
      <c r="J532" s="4">
        <v>0</v>
      </c>
      <c r="K532" s="58">
        <v>0</v>
      </c>
      <c r="L532" s="4">
        <v>21.713000000000001</v>
      </c>
      <c r="M532" s="58">
        <v>21.713000000000001</v>
      </c>
      <c r="N532" s="4">
        <v>21.713000000000001</v>
      </c>
      <c r="O532" s="58">
        <v>21.713000000000001</v>
      </c>
      <c r="P532" s="4">
        <v>11</v>
      </c>
      <c r="Q532" s="3" t="s">
        <v>26</v>
      </c>
      <c r="R532" s="3">
        <v>0</v>
      </c>
      <c r="S532" s="4">
        <v>0</v>
      </c>
      <c r="T532" s="4">
        <v>35</v>
      </c>
      <c r="U532" s="4">
        <v>83</v>
      </c>
      <c r="V532" s="58">
        <f>IF(ISERROR(VLOOKUP($S$532,'TAR FIN'!$A$1:$O$86,15,0)),0,VLOOKUP($S$532,'TAR FIN'!$A$1:$O$86,15,0))</f>
        <v>0</v>
      </c>
      <c r="W532" s="58">
        <f>IF(ISERROR(VLOOKUP($T$532,'TAR FIN'!$A$1:$O$86,15,0)),0,VLOOKUP($T$532,'TAR FIN'!$A$1:$O$86,15,0))*(1-0.06)</f>
        <v>459.68819999999994</v>
      </c>
      <c r="X532" s="58">
        <f>IF(ISERROR(VLOOKUP($U$532,'TAR FIN'!$A$1:$O$86,15,0)),0,VLOOKUP($U$532,'TAR FIN'!$A$1:$O$86,15,0))*(1-0.06)</f>
        <v>198.84759999999997</v>
      </c>
      <c r="Y532" s="58"/>
      <c r="Z532" s="58">
        <f ca="1">('TUSD BE'!$AM$48+'TUSD BF'!$AM$48+'TUSD CVA'!$AM$48)*1*(1-0.03)</f>
        <v>553.76096922263707</v>
      </c>
      <c r="AA532" s="58">
        <f>('TE BE'!$AB$39+'TE BF'!$AB$39+'TE CVA'!$AB$39)*1*(1-0.03)</f>
        <v>190.67169889142335</v>
      </c>
      <c r="AB532" s="4">
        <f>$K$532*$V$532</f>
        <v>0</v>
      </c>
      <c r="AC532" s="4">
        <f>$M$532*$W$532</f>
        <v>9981.2098865999997</v>
      </c>
      <c r="AD532" s="4">
        <f>$O$532*$X$532</f>
        <v>4317.5779387999992</v>
      </c>
      <c r="AE532" s="4">
        <f>$K$532*$Y$532</f>
        <v>0</v>
      </c>
      <c r="AF532" s="4">
        <f ca="1">$M$532*$Z$532</f>
        <v>12023.811924731119</v>
      </c>
      <c r="AG532" s="4">
        <f>$O$532*$AA$532</f>
        <v>4140.0545980294755</v>
      </c>
    </row>
    <row r="533" spans="1:33" ht="11.25" customHeight="1" x14ac:dyDescent="0.25">
      <c r="A533" s="3" t="s">
        <v>21</v>
      </c>
      <c r="B533" s="3" t="s">
        <v>33</v>
      </c>
      <c r="C533" s="3" t="s">
        <v>23</v>
      </c>
      <c r="D533" s="3" t="s">
        <v>47</v>
      </c>
      <c r="E533" s="3" t="s">
        <v>48</v>
      </c>
      <c r="F533" s="3" t="s">
        <v>25</v>
      </c>
      <c r="G533" s="3" t="s">
        <v>25</v>
      </c>
      <c r="H533" s="3" t="s">
        <v>25</v>
      </c>
      <c r="I533" s="6">
        <v>44713</v>
      </c>
      <c r="J533" s="4">
        <v>0</v>
      </c>
      <c r="K533" s="58">
        <v>0</v>
      </c>
      <c r="L533" s="4">
        <v>22.547000000000001</v>
      </c>
      <c r="M533" s="58">
        <v>22.547000000000001</v>
      </c>
      <c r="N533" s="4">
        <v>22.547000000000001</v>
      </c>
      <c r="O533" s="58">
        <v>22.547000000000001</v>
      </c>
      <c r="P533" s="4">
        <v>11</v>
      </c>
      <c r="Q533" s="3" t="s">
        <v>26</v>
      </c>
      <c r="R533" s="3">
        <v>0</v>
      </c>
      <c r="S533" s="4">
        <v>0</v>
      </c>
      <c r="T533" s="4">
        <v>35</v>
      </c>
      <c r="U533" s="4">
        <v>83</v>
      </c>
      <c r="V533" s="58">
        <f>IF(ISERROR(VLOOKUP($S$533,'TAR FIN'!$A$1:$O$86,15,0)),0,VLOOKUP($S$533,'TAR FIN'!$A$1:$O$86,15,0))</f>
        <v>0</v>
      </c>
      <c r="W533" s="58">
        <f>IF(ISERROR(VLOOKUP($T$533,'TAR FIN'!$A$1:$O$86,15,0)),0,VLOOKUP($T$533,'TAR FIN'!$A$1:$O$86,15,0))*(1-0.06)</f>
        <v>459.68819999999994</v>
      </c>
      <c r="X533" s="58">
        <f>IF(ISERROR(VLOOKUP($U$533,'TAR FIN'!$A$1:$O$86,15,0)),0,VLOOKUP($U$533,'TAR FIN'!$A$1:$O$86,15,0))*(1-0.06)</f>
        <v>198.84759999999997</v>
      </c>
      <c r="Y533" s="58"/>
      <c r="Z533" s="58">
        <f ca="1">('TUSD BE'!$AM$48+'TUSD BF'!$AM$48+'TUSD CVA'!$AM$48)*1*(1-0.03)</f>
        <v>553.76096922263707</v>
      </c>
      <c r="AA533" s="58">
        <f>('TE BE'!$AB$39+'TE BF'!$AB$39+'TE CVA'!$AB$39)*1*(1-0.03)</f>
        <v>190.67169889142335</v>
      </c>
      <c r="AB533" s="4">
        <f>$K$533*$V$533</f>
        <v>0</v>
      </c>
      <c r="AC533" s="4">
        <f>$M$533*$W$533</f>
        <v>10364.589845399998</v>
      </c>
      <c r="AD533" s="4">
        <f>$O$533*$X$533</f>
        <v>4483.4168371999995</v>
      </c>
      <c r="AE533" s="4">
        <f>$K$533*$Y$533</f>
        <v>0</v>
      </c>
      <c r="AF533" s="4">
        <f ca="1">$M$533*$Z$533</f>
        <v>12485.648573062799</v>
      </c>
      <c r="AG533" s="4">
        <f>$O$533*$AA$533</f>
        <v>4299.0747949049219</v>
      </c>
    </row>
    <row r="534" spans="1:33" ht="11.25" customHeight="1" x14ac:dyDescent="0.25">
      <c r="A534" s="3" t="s">
        <v>21</v>
      </c>
      <c r="B534" s="3" t="s">
        <v>44</v>
      </c>
      <c r="C534" s="3" t="s">
        <v>23</v>
      </c>
      <c r="D534" s="3" t="s">
        <v>45</v>
      </c>
      <c r="E534" s="3" t="s">
        <v>46</v>
      </c>
      <c r="F534" s="3" t="s">
        <v>25</v>
      </c>
      <c r="G534" s="3" t="s">
        <v>25</v>
      </c>
      <c r="H534" s="3" t="s">
        <v>25</v>
      </c>
      <c r="I534" s="6">
        <v>44378</v>
      </c>
      <c r="J534" s="4">
        <v>0</v>
      </c>
      <c r="K534" s="4">
        <v>0</v>
      </c>
      <c r="L534" s="4">
        <v>70.344999999999999</v>
      </c>
      <c r="M534" s="4">
        <v>70.344999999999999</v>
      </c>
      <c r="N534" s="4">
        <v>70.344999999999999</v>
      </c>
      <c r="O534" s="4">
        <v>70.344999999999999</v>
      </c>
      <c r="P534" s="4">
        <v>27</v>
      </c>
      <c r="Q534" s="3" t="s">
        <v>26</v>
      </c>
      <c r="R534" s="3">
        <v>0</v>
      </c>
      <c r="S534" s="4">
        <v>0</v>
      </c>
      <c r="T534" s="4">
        <v>43</v>
      </c>
      <c r="U534" s="4">
        <v>81</v>
      </c>
      <c r="V534" s="4">
        <f>IF(ISERROR(VLOOKUP($S$534,'TAR FIN'!$A$1:$O$86,15,0)),0,VLOOKUP($S$534,'TAR FIN'!$A$1:$O$86,15,0))</f>
        <v>0</v>
      </c>
      <c r="W534" s="4">
        <f>IF(ISERROR(VLOOKUP($T$534,'TAR FIN'!$A$1:$O$86,15,0)),0,VLOOKUP($T$534,'TAR FIN'!$A$1:$O$86,15,0))</f>
        <v>268.97000000000003</v>
      </c>
      <c r="X534" s="4">
        <f>IF(ISERROR(VLOOKUP($U$534,'TAR FIN'!$A$1:$O$86,15,0)),0,VLOOKUP($U$534,'TAR FIN'!$A$1:$O$86,15,0))</f>
        <v>116.35</v>
      </c>
      <c r="Y534" s="4"/>
      <c r="Z534" s="4">
        <f ca="1">('TUSD BE'!$AM$50+'TUSD BF'!$AM$50+'TUSD CVA'!$AM$50)*1</f>
        <v>313.98817842520663</v>
      </c>
      <c r="AA534" s="4">
        <f>('TE BE'!$AB$41+'TE BF'!$AB$41+'TE CVA'!$AB$41)*1</f>
        <v>108.11281895905451</v>
      </c>
      <c r="AB534" s="4">
        <f>$K$534*$V$534</f>
        <v>0</v>
      </c>
      <c r="AC534" s="4">
        <f>$M$534*$W$534</f>
        <v>18920.694650000001</v>
      </c>
      <c r="AD534" s="4">
        <f>$O$534*$X$534</f>
        <v>8184.6407499999996</v>
      </c>
      <c r="AE534" s="4">
        <f>$K$534*$Y$534</f>
        <v>0</v>
      </c>
      <c r="AF534" s="4">
        <f ca="1">$M$534*$Z$534</f>
        <v>22087.498411321161</v>
      </c>
      <c r="AG534" s="4">
        <f>$O$534*$AA$534</f>
        <v>7605.1962496746892</v>
      </c>
    </row>
    <row r="535" spans="1:33" ht="11.25" customHeight="1" x14ac:dyDescent="0.25">
      <c r="A535" s="3" t="s">
        <v>21</v>
      </c>
      <c r="B535" s="3" t="s">
        <v>44</v>
      </c>
      <c r="C535" s="3" t="s">
        <v>23</v>
      </c>
      <c r="D535" s="3" t="s">
        <v>45</v>
      </c>
      <c r="E535" s="3" t="s">
        <v>46</v>
      </c>
      <c r="F535" s="3" t="s">
        <v>25</v>
      </c>
      <c r="G535" s="3" t="s">
        <v>25</v>
      </c>
      <c r="H535" s="3" t="s">
        <v>25</v>
      </c>
      <c r="I535" s="6">
        <v>44409</v>
      </c>
      <c r="J535" s="4">
        <v>0</v>
      </c>
      <c r="K535" s="4">
        <v>0</v>
      </c>
      <c r="L535" s="4">
        <v>74.613</v>
      </c>
      <c r="M535" s="4">
        <v>74.613</v>
      </c>
      <c r="N535" s="4">
        <v>74.613</v>
      </c>
      <c r="O535" s="4">
        <v>74.613</v>
      </c>
      <c r="P535" s="4">
        <v>27</v>
      </c>
      <c r="Q535" s="3" t="s">
        <v>26</v>
      </c>
      <c r="R535" s="3">
        <v>0</v>
      </c>
      <c r="S535" s="4">
        <v>0</v>
      </c>
      <c r="T535" s="4">
        <v>43</v>
      </c>
      <c r="U535" s="4">
        <v>81</v>
      </c>
      <c r="V535" s="4">
        <f>IF(ISERROR(VLOOKUP($S$535,'TAR FIN'!$A$1:$O$86,15,0)),0,VLOOKUP($S$535,'TAR FIN'!$A$1:$O$86,15,0))</f>
        <v>0</v>
      </c>
      <c r="W535" s="4">
        <f>IF(ISERROR(VLOOKUP($T$535,'TAR FIN'!$A$1:$O$86,15,0)),0,VLOOKUP($T$535,'TAR FIN'!$A$1:$O$86,15,0))</f>
        <v>268.97000000000003</v>
      </c>
      <c r="X535" s="4">
        <f>IF(ISERROR(VLOOKUP($U$535,'TAR FIN'!$A$1:$O$86,15,0)),0,VLOOKUP($U$535,'TAR FIN'!$A$1:$O$86,15,0))</f>
        <v>116.35</v>
      </c>
      <c r="Y535" s="4"/>
      <c r="Z535" s="4">
        <f ca="1">('TUSD BE'!$AM$50+'TUSD BF'!$AM$50+'TUSD CVA'!$AM$50)*1</f>
        <v>313.98817842520663</v>
      </c>
      <c r="AA535" s="4">
        <f>('TE BE'!$AB$41+'TE BF'!$AB$41+'TE CVA'!$AB$41)*1</f>
        <v>108.11281895905451</v>
      </c>
      <c r="AB535" s="4">
        <f>$K$535*$V$535</f>
        <v>0</v>
      </c>
      <c r="AC535" s="4">
        <f>$M$535*$W$535</f>
        <v>20068.658610000002</v>
      </c>
      <c r="AD535" s="4">
        <f>$O$535*$X$535</f>
        <v>8681.2225500000004</v>
      </c>
      <c r="AE535" s="4">
        <f>$K$535*$Y$535</f>
        <v>0</v>
      </c>
      <c r="AF535" s="4">
        <f ca="1">$M$535*$Z$535</f>
        <v>23427.599956839942</v>
      </c>
      <c r="AG535" s="4">
        <f>$O$535*$AA$535</f>
        <v>8066.621760991934</v>
      </c>
    </row>
    <row r="536" spans="1:33" ht="11.25" customHeight="1" x14ac:dyDescent="0.25">
      <c r="A536" s="3" t="s">
        <v>21</v>
      </c>
      <c r="B536" s="3" t="s">
        <v>44</v>
      </c>
      <c r="C536" s="3" t="s">
        <v>23</v>
      </c>
      <c r="D536" s="3" t="s">
        <v>45</v>
      </c>
      <c r="E536" s="3" t="s">
        <v>46</v>
      </c>
      <c r="F536" s="3" t="s">
        <v>25</v>
      </c>
      <c r="G536" s="3" t="s">
        <v>25</v>
      </c>
      <c r="H536" s="3" t="s">
        <v>25</v>
      </c>
      <c r="I536" s="6">
        <v>44440</v>
      </c>
      <c r="J536" s="4">
        <v>0</v>
      </c>
      <c r="K536" s="4">
        <v>0</v>
      </c>
      <c r="L536" s="4">
        <v>74.100999999999999</v>
      </c>
      <c r="M536" s="4">
        <v>74.100999999999999</v>
      </c>
      <c r="N536" s="4">
        <v>74.100999999999999</v>
      </c>
      <c r="O536" s="4">
        <v>74.100999999999999</v>
      </c>
      <c r="P536" s="4">
        <v>28</v>
      </c>
      <c r="Q536" s="3" t="s">
        <v>26</v>
      </c>
      <c r="R536" s="3">
        <v>0</v>
      </c>
      <c r="S536" s="4">
        <v>0</v>
      </c>
      <c r="T536" s="4">
        <v>43</v>
      </c>
      <c r="U536" s="4">
        <v>81</v>
      </c>
      <c r="V536" s="4">
        <f>IF(ISERROR(VLOOKUP($S$536,'TAR FIN'!$A$1:$O$86,15,0)),0,VLOOKUP($S$536,'TAR FIN'!$A$1:$O$86,15,0))</f>
        <v>0</v>
      </c>
      <c r="W536" s="4">
        <f>IF(ISERROR(VLOOKUP($T$536,'TAR FIN'!$A$1:$O$86,15,0)),0,VLOOKUP($T$536,'TAR FIN'!$A$1:$O$86,15,0))</f>
        <v>268.97000000000003</v>
      </c>
      <c r="X536" s="4">
        <f>IF(ISERROR(VLOOKUP($U$536,'TAR FIN'!$A$1:$O$86,15,0)),0,VLOOKUP($U$536,'TAR FIN'!$A$1:$O$86,15,0))</f>
        <v>116.35</v>
      </c>
      <c r="Y536" s="4"/>
      <c r="Z536" s="4">
        <f ca="1">('TUSD BE'!$AM$50+'TUSD BF'!$AM$50+'TUSD CVA'!$AM$50)*1</f>
        <v>313.98817842520663</v>
      </c>
      <c r="AA536" s="4">
        <f>('TE BE'!$AB$41+'TE BF'!$AB$41+'TE CVA'!$AB$41)*1</f>
        <v>108.11281895905451</v>
      </c>
      <c r="AB536" s="4">
        <f>$K$536*$V$536</f>
        <v>0</v>
      </c>
      <c r="AC536" s="4">
        <f>$M$536*$W$536</f>
        <v>19930.945970000001</v>
      </c>
      <c r="AD536" s="4">
        <f>$O$536*$X$536</f>
        <v>8621.6513500000001</v>
      </c>
      <c r="AE536" s="4">
        <f>$K$536*$Y$536</f>
        <v>0</v>
      </c>
      <c r="AF536" s="4">
        <f ca="1">$M$536*$Z$536</f>
        <v>23266.838009486237</v>
      </c>
      <c r="AG536" s="4">
        <f>$O$536*$AA$536</f>
        <v>8011.2679976848976</v>
      </c>
    </row>
    <row r="537" spans="1:33" ht="11.25" customHeight="1" x14ac:dyDescent="0.25">
      <c r="A537" s="3" t="s">
        <v>21</v>
      </c>
      <c r="B537" s="3" t="s">
        <v>44</v>
      </c>
      <c r="C537" s="3" t="s">
        <v>23</v>
      </c>
      <c r="D537" s="3" t="s">
        <v>45</v>
      </c>
      <c r="E537" s="3" t="s">
        <v>46</v>
      </c>
      <c r="F537" s="3" t="s">
        <v>25</v>
      </c>
      <c r="G537" s="3" t="s">
        <v>25</v>
      </c>
      <c r="H537" s="3" t="s">
        <v>25</v>
      </c>
      <c r="I537" s="6">
        <v>44470</v>
      </c>
      <c r="J537" s="4">
        <v>0</v>
      </c>
      <c r="K537" s="4">
        <v>0</v>
      </c>
      <c r="L537" s="4">
        <v>75.506</v>
      </c>
      <c r="M537" s="4">
        <v>75.506</v>
      </c>
      <c r="N537" s="4">
        <v>75.506</v>
      </c>
      <c r="O537" s="4">
        <v>75.506</v>
      </c>
      <c r="P537" s="4">
        <v>28</v>
      </c>
      <c r="Q537" s="3" t="s">
        <v>26</v>
      </c>
      <c r="R537" s="3">
        <v>0</v>
      </c>
      <c r="S537" s="4">
        <v>0</v>
      </c>
      <c r="T537" s="4">
        <v>43</v>
      </c>
      <c r="U537" s="4">
        <v>81</v>
      </c>
      <c r="V537" s="4">
        <f>IF(ISERROR(VLOOKUP($S$537,'TAR FIN'!$A$1:$O$86,15,0)),0,VLOOKUP($S$537,'TAR FIN'!$A$1:$O$86,15,0))</f>
        <v>0</v>
      </c>
      <c r="W537" s="4">
        <f>IF(ISERROR(VLOOKUP($T$537,'TAR FIN'!$A$1:$O$86,15,0)),0,VLOOKUP($T$537,'TAR FIN'!$A$1:$O$86,15,0))</f>
        <v>268.97000000000003</v>
      </c>
      <c r="X537" s="4">
        <f>IF(ISERROR(VLOOKUP($U$537,'TAR FIN'!$A$1:$O$86,15,0)),0,VLOOKUP($U$537,'TAR FIN'!$A$1:$O$86,15,0))</f>
        <v>116.35</v>
      </c>
      <c r="Y537" s="4"/>
      <c r="Z537" s="4">
        <f ca="1">('TUSD BE'!$AM$50+'TUSD BF'!$AM$50+'TUSD CVA'!$AM$50)*1</f>
        <v>313.98817842520663</v>
      </c>
      <c r="AA537" s="4">
        <f>('TE BE'!$AB$41+'TE BF'!$AB$41+'TE CVA'!$AB$41)*1</f>
        <v>108.11281895905451</v>
      </c>
      <c r="AB537" s="4">
        <f>$K$537*$V$537</f>
        <v>0</v>
      </c>
      <c r="AC537" s="4">
        <f>$M$537*$W$537</f>
        <v>20308.848820000003</v>
      </c>
      <c r="AD537" s="4">
        <f>$O$537*$X$537</f>
        <v>8785.1230999999989</v>
      </c>
      <c r="AE537" s="4">
        <f>$K$537*$Y$537</f>
        <v>0</v>
      </c>
      <c r="AF537" s="4">
        <f ca="1">$M$537*$Z$537</f>
        <v>23707.991400173651</v>
      </c>
      <c r="AG537" s="4">
        <f>$O$537*$AA$537</f>
        <v>8163.1665083223697</v>
      </c>
    </row>
    <row r="538" spans="1:33" ht="11.25" customHeight="1" x14ac:dyDescent="0.25">
      <c r="A538" s="3" t="s">
        <v>21</v>
      </c>
      <c r="B538" s="3" t="s">
        <v>44</v>
      </c>
      <c r="C538" s="3" t="s">
        <v>23</v>
      </c>
      <c r="D538" s="3" t="s">
        <v>45</v>
      </c>
      <c r="E538" s="3" t="s">
        <v>46</v>
      </c>
      <c r="F538" s="3" t="s">
        <v>25</v>
      </c>
      <c r="G538" s="3" t="s">
        <v>25</v>
      </c>
      <c r="H538" s="3" t="s">
        <v>25</v>
      </c>
      <c r="I538" s="6">
        <v>44501</v>
      </c>
      <c r="J538" s="4">
        <v>0</v>
      </c>
      <c r="K538" s="4">
        <v>0</v>
      </c>
      <c r="L538" s="4">
        <v>73.221999999999994</v>
      </c>
      <c r="M538" s="4">
        <v>73.221999999999994</v>
      </c>
      <c r="N538" s="4">
        <v>73.221999999999994</v>
      </c>
      <c r="O538" s="4">
        <v>73.221999999999994</v>
      </c>
      <c r="P538" s="4">
        <v>28</v>
      </c>
      <c r="Q538" s="3" t="s">
        <v>26</v>
      </c>
      <c r="R538" s="3">
        <v>0</v>
      </c>
      <c r="S538" s="4">
        <v>0</v>
      </c>
      <c r="T538" s="4">
        <v>43</v>
      </c>
      <c r="U538" s="4">
        <v>81</v>
      </c>
      <c r="V538" s="4">
        <f>IF(ISERROR(VLOOKUP($S$538,'TAR FIN'!$A$1:$O$86,15,0)),0,VLOOKUP($S$538,'TAR FIN'!$A$1:$O$86,15,0))</f>
        <v>0</v>
      </c>
      <c r="W538" s="4">
        <f>IF(ISERROR(VLOOKUP($T$538,'TAR FIN'!$A$1:$O$86,15,0)),0,VLOOKUP($T$538,'TAR FIN'!$A$1:$O$86,15,0))</f>
        <v>268.97000000000003</v>
      </c>
      <c r="X538" s="4">
        <f>IF(ISERROR(VLOOKUP($U$538,'TAR FIN'!$A$1:$O$86,15,0)),0,VLOOKUP($U$538,'TAR FIN'!$A$1:$O$86,15,0))</f>
        <v>116.35</v>
      </c>
      <c r="Y538" s="4"/>
      <c r="Z538" s="4">
        <f ca="1">('TUSD BE'!$AM$50+'TUSD BF'!$AM$50+'TUSD CVA'!$AM$50)*1</f>
        <v>313.98817842520663</v>
      </c>
      <c r="AA538" s="4">
        <f>('TE BE'!$AB$41+'TE BF'!$AB$41+'TE CVA'!$AB$41)*1</f>
        <v>108.11281895905451</v>
      </c>
      <c r="AB538" s="4">
        <f>$K$538*$V$538</f>
        <v>0</v>
      </c>
      <c r="AC538" s="4">
        <f>$M$538*$W$538</f>
        <v>19694.521339999999</v>
      </c>
      <c r="AD538" s="4">
        <f>$O$538*$X$538</f>
        <v>8519.3796999999995</v>
      </c>
      <c r="AE538" s="4">
        <f>$K$538*$Y$538</f>
        <v>0</v>
      </c>
      <c r="AF538" s="4">
        <f ca="1">$M$538*$Z$538</f>
        <v>22990.842400650479</v>
      </c>
      <c r="AG538" s="4">
        <f>$O$538*$AA$538</f>
        <v>7916.236829819889</v>
      </c>
    </row>
    <row r="539" spans="1:33" ht="11.25" customHeight="1" x14ac:dyDescent="0.25">
      <c r="A539" s="3" t="s">
        <v>21</v>
      </c>
      <c r="B539" s="3" t="s">
        <v>44</v>
      </c>
      <c r="C539" s="3" t="s">
        <v>23</v>
      </c>
      <c r="D539" s="3" t="s">
        <v>45</v>
      </c>
      <c r="E539" s="3" t="s">
        <v>46</v>
      </c>
      <c r="F539" s="3" t="s">
        <v>25</v>
      </c>
      <c r="G539" s="3" t="s">
        <v>25</v>
      </c>
      <c r="H539" s="3" t="s">
        <v>25</v>
      </c>
      <c r="I539" s="6">
        <v>44531</v>
      </c>
      <c r="J539" s="4">
        <v>0</v>
      </c>
      <c r="K539" s="4">
        <v>0</v>
      </c>
      <c r="L539" s="4">
        <v>85.138000000000005</v>
      </c>
      <c r="M539" s="4">
        <v>85.138000000000005</v>
      </c>
      <c r="N539" s="4">
        <v>85.138000000000005</v>
      </c>
      <c r="O539" s="4">
        <v>85.138000000000005</v>
      </c>
      <c r="P539" s="4">
        <v>28</v>
      </c>
      <c r="Q539" s="3" t="s">
        <v>26</v>
      </c>
      <c r="R539" s="3">
        <v>0</v>
      </c>
      <c r="S539" s="4">
        <v>0</v>
      </c>
      <c r="T539" s="4">
        <v>43</v>
      </c>
      <c r="U539" s="4">
        <v>81</v>
      </c>
      <c r="V539" s="4">
        <f>IF(ISERROR(VLOOKUP($S$539,'TAR FIN'!$A$1:$O$86,15,0)),0,VLOOKUP($S$539,'TAR FIN'!$A$1:$O$86,15,0))</f>
        <v>0</v>
      </c>
      <c r="W539" s="4">
        <f>IF(ISERROR(VLOOKUP($T$539,'TAR FIN'!$A$1:$O$86,15,0)),0,VLOOKUP($T$539,'TAR FIN'!$A$1:$O$86,15,0))</f>
        <v>268.97000000000003</v>
      </c>
      <c r="X539" s="4">
        <f>IF(ISERROR(VLOOKUP($U$539,'TAR FIN'!$A$1:$O$86,15,0)),0,VLOOKUP($U$539,'TAR FIN'!$A$1:$O$86,15,0))</f>
        <v>116.35</v>
      </c>
      <c r="Y539" s="4"/>
      <c r="Z539" s="4">
        <f ca="1">('TUSD BE'!$AM$50+'TUSD BF'!$AM$50+'TUSD CVA'!$AM$50)*1</f>
        <v>313.98817842520663</v>
      </c>
      <c r="AA539" s="4">
        <f>('TE BE'!$AB$41+'TE BF'!$AB$41+'TE CVA'!$AB$41)*1</f>
        <v>108.11281895905451</v>
      </c>
      <c r="AB539" s="4">
        <f>$K$539*$V$539</f>
        <v>0</v>
      </c>
      <c r="AC539" s="4">
        <f>$M$539*$W$539</f>
        <v>22899.567860000003</v>
      </c>
      <c r="AD539" s="4">
        <f>$O$539*$X$539</f>
        <v>9905.8063000000002</v>
      </c>
      <c r="AE539" s="4">
        <f>$K$539*$Y$539</f>
        <v>0</v>
      </c>
      <c r="AF539" s="4">
        <f ca="1">$M$539*$Z$539</f>
        <v>26732.325534765245</v>
      </c>
      <c r="AG539" s="4">
        <f>$O$539*$AA$539</f>
        <v>9204.5091805359825</v>
      </c>
    </row>
    <row r="540" spans="1:33" ht="11.25" customHeight="1" x14ac:dyDescent="0.25">
      <c r="A540" s="3" t="s">
        <v>21</v>
      </c>
      <c r="B540" s="3" t="s">
        <v>44</v>
      </c>
      <c r="C540" s="3" t="s">
        <v>23</v>
      </c>
      <c r="D540" s="3" t="s">
        <v>45</v>
      </c>
      <c r="E540" s="3" t="s">
        <v>46</v>
      </c>
      <c r="F540" s="3" t="s">
        <v>25</v>
      </c>
      <c r="G540" s="3" t="s">
        <v>25</v>
      </c>
      <c r="H540" s="3" t="s">
        <v>25</v>
      </c>
      <c r="I540" s="6">
        <v>44562</v>
      </c>
      <c r="J540" s="4">
        <v>0</v>
      </c>
      <c r="K540" s="4">
        <v>0</v>
      </c>
      <c r="L540" s="4">
        <v>76.95</v>
      </c>
      <c r="M540" s="4">
        <v>76.95</v>
      </c>
      <c r="N540" s="4">
        <v>76.95</v>
      </c>
      <c r="O540" s="4">
        <v>76.95</v>
      </c>
      <c r="P540" s="4">
        <v>28</v>
      </c>
      <c r="Q540" s="3" t="s">
        <v>26</v>
      </c>
      <c r="R540" s="3">
        <v>0</v>
      </c>
      <c r="S540" s="4">
        <v>0</v>
      </c>
      <c r="T540" s="4">
        <v>43</v>
      </c>
      <c r="U540" s="4">
        <v>81</v>
      </c>
      <c r="V540" s="4">
        <f>IF(ISERROR(VLOOKUP($S$540,'TAR FIN'!$A$1:$O$86,15,0)),0,VLOOKUP($S$540,'TAR FIN'!$A$1:$O$86,15,0))</f>
        <v>0</v>
      </c>
      <c r="W540" s="4">
        <f>IF(ISERROR(VLOOKUP($T$540,'TAR FIN'!$A$1:$O$86,15,0)),0,VLOOKUP($T$540,'TAR FIN'!$A$1:$O$86,15,0))</f>
        <v>268.97000000000003</v>
      </c>
      <c r="X540" s="4">
        <f>IF(ISERROR(VLOOKUP($U$540,'TAR FIN'!$A$1:$O$86,15,0)),0,VLOOKUP($U$540,'TAR FIN'!$A$1:$O$86,15,0))</f>
        <v>116.35</v>
      </c>
      <c r="Y540" s="4"/>
      <c r="Z540" s="4">
        <f ca="1">('TUSD BE'!$AM$50+'TUSD BF'!$AM$50+'TUSD CVA'!$AM$50)*1</f>
        <v>313.98817842520663</v>
      </c>
      <c r="AA540" s="4">
        <f>('TE BE'!$AB$41+'TE BF'!$AB$41+'TE CVA'!$AB$41)*1</f>
        <v>108.11281895905451</v>
      </c>
      <c r="AB540" s="4">
        <f>$K$540*$V$540</f>
        <v>0</v>
      </c>
      <c r="AC540" s="4">
        <f>$M$540*$W$540</f>
        <v>20697.241500000004</v>
      </c>
      <c r="AD540" s="4">
        <f>$O$540*$X$540</f>
        <v>8953.1324999999997</v>
      </c>
      <c r="AE540" s="4">
        <f>$K$540*$Y$540</f>
        <v>0</v>
      </c>
      <c r="AF540" s="4">
        <f ca="1">$M$540*$Z$540</f>
        <v>24161.390329819649</v>
      </c>
      <c r="AG540" s="4">
        <f>$O$540*$AA$540</f>
        <v>8319.2814188992452</v>
      </c>
    </row>
    <row r="541" spans="1:33" ht="11.25" customHeight="1" x14ac:dyDescent="0.25">
      <c r="A541" s="3" t="s">
        <v>21</v>
      </c>
      <c r="B541" s="3" t="s">
        <v>44</v>
      </c>
      <c r="C541" s="3" t="s">
        <v>23</v>
      </c>
      <c r="D541" s="3" t="s">
        <v>45</v>
      </c>
      <c r="E541" s="3" t="s">
        <v>46</v>
      </c>
      <c r="F541" s="3" t="s">
        <v>25</v>
      </c>
      <c r="G541" s="3" t="s">
        <v>25</v>
      </c>
      <c r="H541" s="3" t="s">
        <v>25</v>
      </c>
      <c r="I541" s="6">
        <v>44593</v>
      </c>
      <c r="J541" s="4">
        <v>0</v>
      </c>
      <c r="K541" s="4">
        <v>0</v>
      </c>
      <c r="L541" s="4">
        <v>75.739999999999995</v>
      </c>
      <c r="M541" s="4">
        <v>75.739999999999995</v>
      </c>
      <c r="N541" s="4">
        <v>75.739999999999995</v>
      </c>
      <c r="O541" s="4">
        <v>75.739999999999995</v>
      </c>
      <c r="P541" s="4">
        <v>28</v>
      </c>
      <c r="Q541" s="3" t="s">
        <v>26</v>
      </c>
      <c r="R541" s="3">
        <v>0</v>
      </c>
      <c r="S541" s="4">
        <v>0</v>
      </c>
      <c r="T541" s="4">
        <v>43</v>
      </c>
      <c r="U541" s="4">
        <v>81</v>
      </c>
      <c r="V541" s="4">
        <f>IF(ISERROR(VLOOKUP($S$541,'TAR FIN'!$A$1:$O$86,15,0)),0,VLOOKUP($S$541,'TAR FIN'!$A$1:$O$86,15,0))</f>
        <v>0</v>
      </c>
      <c r="W541" s="4">
        <f>IF(ISERROR(VLOOKUP($T$541,'TAR FIN'!$A$1:$O$86,15,0)),0,VLOOKUP($T$541,'TAR FIN'!$A$1:$O$86,15,0))</f>
        <v>268.97000000000003</v>
      </c>
      <c r="X541" s="4">
        <f>IF(ISERROR(VLOOKUP($U$541,'TAR FIN'!$A$1:$O$86,15,0)),0,VLOOKUP($U$541,'TAR FIN'!$A$1:$O$86,15,0))</f>
        <v>116.35</v>
      </c>
      <c r="Y541" s="4"/>
      <c r="Z541" s="4">
        <f ca="1">('TUSD BE'!$AM$50+'TUSD BF'!$AM$50+'TUSD CVA'!$AM$50)*1</f>
        <v>313.98817842520663</v>
      </c>
      <c r="AA541" s="4">
        <f>('TE BE'!$AB$41+'TE BF'!$AB$41+'TE CVA'!$AB$41)*1</f>
        <v>108.11281895905451</v>
      </c>
      <c r="AB541" s="4">
        <f>$K$541*$V$541</f>
        <v>0</v>
      </c>
      <c r="AC541" s="4">
        <f>$M$541*$W$541</f>
        <v>20371.787800000002</v>
      </c>
      <c r="AD541" s="4">
        <f>$O$541*$X$541</f>
        <v>8812.3489999999983</v>
      </c>
      <c r="AE541" s="4">
        <f>$K$541*$Y$541</f>
        <v>0</v>
      </c>
      <c r="AF541" s="4">
        <f ca="1">$M$541*$Z$541</f>
        <v>23781.464633925149</v>
      </c>
      <c r="AG541" s="4">
        <f>$O$541*$AA$541</f>
        <v>8188.464907958788</v>
      </c>
    </row>
    <row r="542" spans="1:33" ht="11.25" customHeight="1" x14ac:dyDescent="0.25">
      <c r="A542" s="3" t="s">
        <v>21</v>
      </c>
      <c r="B542" s="3" t="s">
        <v>44</v>
      </c>
      <c r="C542" s="3" t="s">
        <v>23</v>
      </c>
      <c r="D542" s="3" t="s">
        <v>45</v>
      </c>
      <c r="E542" s="3" t="s">
        <v>46</v>
      </c>
      <c r="F542" s="3" t="s">
        <v>25</v>
      </c>
      <c r="G542" s="3" t="s">
        <v>25</v>
      </c>
      <c r="H542" s="3" t="s">
        <v>25</v>
      </c>
      <c r="I542" s="6">
        <v>44621</v>
      </c>
      <c r="J542" s="4">
        <v>0</v>
      </c>
      <c r="K542" s="4">
        <v>0</v>
      </c>
      <c r="L542" s="4">
        <v>75.369</v>
      </c>
      <c r="M542" s="4">
        <v>75.369</v>
      </c>
      <c r="N542" s="4">
        <v>75.369</v>
      </c>
      <c r="O542" s="4">
        <v>75.369</v>
      </c>
      <c r="P542" s="4">
        <v>28</v>
      </c>
      <c r="Q542" s="3" t="s">
        <v>26</v>
      </c>
      <c r="R542" s="3">
        <v>0</v>
      </c>
      <c r="S542" s="4">
        <v>0</v>
      </c>
      <c r="T542" s="4">
        <v>43</v>
      </c>
      <c r="U542" s="4">
        <v>81</v>
      </c>
      <c r="V542" s="4">
        <f>IF(ISERROR(VLOOKUP($S$542,'TAR FIN'!$A$1:$O$86,15,0)),0,VLOOKUP($S$542,'TAR FIN'!$A$1:$O$86,15,0))</f>
        <v>0</v>
      </c>
      <c r="W542" s="4">
        <f>IF(ISERROR(VLOOKUP($T$542,'TAR FIN'!$A$1:$O$86,15,0)),0,VLOOKUP($T$542,'TAR FIN'!$A$1:$O$86,15,0))</f>
        <v>268.97000000000003</v>
      </c>
      <c r="X542" s="4">
        <f>IF(ISERROR(VLOOKUP($U$542,'TAR FIN'!$A$1:$O$86,15,0)),0,VLOOKUP($U$542,'TAR FIN'!$A$1:$O$86,15,0))</f>
        <v>116.35</v>
      </c>
      <c r="Y542" s="4"/>
      <c r="Z542" s="4">
        <f ca="1">('TUSD BE'!$AM$50+'TUSD BF'!$AM$50+'TUSD CVA'!$AM$50)*1</f>
        <v>313.98817842520663</v>
      </c>
      <c r="AA542" s="4">
        <f>('TE BE'!$AB$41+'TE BF'!$AB$41+'TE CVA'!$AB$41)*1</f>
        <v>108.11281895905451</v>
      </c>
      <c r="AB542" s="4">
        <f>$K$542*$V$542</f>
        <v>0</v>
      </c>
      <c r="AC542" s="4">
        <f>$M$542*$W$542</f>
        <v>20271.999930000002</v>
      </c>
      <c r="AD542" s="4">
        <f>$O$542*$X$542</f>
        <v>8769.1831499999989</v>
      </c>
      <c r="AE542" s="4">
        <f>$K$542*$Y$542</f>
        <v>0</v>
      </c>
      <c r="AF542" s="4">
        <f ca="1">$M$542*$Z$542</f>
        <v>23664.975019729398</v>
      </c>
      <c r="AG542" s="4">
        <f>$O$542*$AA$542</f>
        <v>8148.355052124979</v>
      </c>
    </row>
    <row r="543" spans="1:33" ht="11.25" customHeight="1" x14ac:dyDescent="0.25">
      <c r="A543" s="3" t="s">
        <v>21</v>
      </c>
      <c r="B543" s="3" t="s">
        <v>44</v>
      </c>
      <c r="C543" s="3" t="s">
        <v>23</v>
      </c>
      <c r="D543" s="3" t="s">
        <v>45</v>
      </c>
      <c r="E543" s="3" t="s">
        <v>46</v>
      </c>
      <c r="F543" s="3" t="s">
        <v>25</v>
      </c>
      <c r="G543" s="3" t="s">
        <v>25</v>
      </c>
      <c r="H543" s="3" t="s">
        <v>25</v>
      </c>
      <c r="I543" s="6">
        <v>44652</v>
      </c>
      <c r="J543" s="4">
        <v>0</v>
      </c>
      <c r="K543" s="4">
        <v>0</v>
      </c>
      <c r="L543" s="4">
        <v>73.501999999999995</v>
      </c>
      <c r="M543" s="4">
        <v>73.501999999999995</v>
      </c>
      <c r="N543" s="4">
        <v>73.501999999999995</v>
      </c>
      <c r="O543" s="4">
        <v>73.501999999999995</v>
      </c>
      <c r="P543" s="4">
        <v>28</v>
      </c>
      <c r="Q543" s="3" t="s">
        <v>26</v>
      </c>
      <c r="R543" s="3">
        <v>0</v>
      </c>
      <c r="S543" s="4">
        <v>0</v>
      </c>
      <c r="T543" s="4">
        <v>43</v>
      </c>
      <c r="U543" s="4">
        <v>81</v>
      </c>
      <c r="V543" s="4">
        <f>IF(ISERROR(VLOOKUP($S$543,'TAR FIN'!$A$1:$O$86,15,0)),0,VLOOKUP($S$543,'TAR FIN'!$A$1:$O$86,15,0))</f>
        <v>0</v>
      </c>
      <c r="W543" s="4">
        <f>IF(ISERROR(VLOOKUP($T$543,'TAR FIN'!$A$1:$O$86,15,0)),0,VLOOKUP($T$543,'TAR FIN'!$A$1:$O$86,15,0))</f>
        <v>268.97000000000003</v>
      </c>
      <c r="X543" s="4">
        <f>IF(ISERROR(VLOOKUP($U$543,'TAR FIN'!$A$1:$O$86,15,0)),0,VLOOKUP($U$543,'TAR FIN'!$A$1:$O$86,15,0))</f>
        <v>116.35</v>
      </c>
      <c r="Y543" s="4"/>
      <c r="Z543" s="4">
        <f ca="1">('TUSD BE'!$AM$50+'TUSD BF'!$AM$50+'TUSD CVA'!$AM$50)*1</f>
        <v>313.98817842520663</v>
      </c>
      <c r="AA543" s="4">
        <f>('TE BE'!$AB$41+'TE BF'!$AB$41+'TE CVA'!$AB$41)*1</f>
        <v>108.11281895905451</v>
      </c>
      <c r="AB543" s="4">
        <f>$K$543*$V$543</f>
        <v>0</v>
      </c>
      <c r="AC543" s="4">
        <f>$M$543*$W$543</f>
        <v>19769.83294</v>
      </c>
      <c r="AD543" s="4">
        <f>$O$543*$X$543</f>
        <v>8551.957699999999</v>
      </c>
      <c r="AE543" s="4">
        <f>$K$543*$Y$543</f>
        <v>0</v>
      </c>
      <c r="AF543" s="4">
        <f ca="1">$M$543*$Z$543</f>
        <v>23078.759090609536</v>
      </c>
      <c r="AG543" s="4">
        <f>$O$543*$AA$543</f>
        <v>7946.5084191284241</v>
      </c>
    </row>
    <row r="544" spans="1:33" ht="11.25" customHeight="1" x14ac:dyDescent="0.25">
      <c r="A544" s="3" t="s">
        <v>21</v>
      </c>
      <c r="B544" s="3" t="s">
        <v>44</v>
      </c>
      <c r="C544" s="3" t="s">
        <v>23</v>
      </c>
      <c r="D544" s="3" t="s">
        <v>45</v>
      </c>
      <c r="E544" s="3" t="s">
        <v>46</v>
      </c>
      <c r="F544" s="3" t="s">
        <v>25</v>
      </c>
      <c r="G544" s="3" t="s">
        <v>25</v>
      </c>
      <c r="H544" s="3" t="s">
        <v>25</v>
      </c>
      <c r="I544" s="6">
        <v>44682</v>
      </c>
      <c r="J544" s="4">
        <v>0</v>
      </c>
      <c r="K544" s="4">
        <v>0</v>
      </c>
      <c r="L544" s="4">
        <v>75.978999999999999</v>
      </c>
      <c r="M544" s="4">
        <v>75.978999999999999</v>
      </c>
      <c r="N544" s="4">
        <v>75.978999999999999</v>
      </c>
      <c r="O544" s="4">
        <v>75.978999999999999</v>
      </c>
      <c r="P544" s="4">
        <v>28</v>
      </c>
      <c r="Q544" s="3" t="s">
        <v>26</v>
      </c>
      <c r="R544" s="3">
        <v>0</v>
      </c>
      <c r="S544" s="4">
        <v>0</v>
      </c>
      <c r="T544" s="4">
        <v>43</v>
      </c>
      <c r="U544" s="4">
        <v>81</v>
      </c>
      <c r="V544" s="4">
        <f>IF(ISERROR(VLOOKUP($S$544,'TAR FIN'!$A$1:$O$86,15,0)),0,VLOOKUP($S$544,'TAR FIN'!$A$1:$O$86,15,0))</f>
        <v>0</v>
      </c>
      <c r="W544" s="4">
        <f>IF(ISERROR(VLOOKUP($T$544,'TAR FIN'!$A$1:$O$86,15,0)),0,VLOOKUP($T$544,'TAR FIN'!$A$1:$O$86,15,0))</f>
        <v>268.97000000000003</v>
      </c>
      <c r="X544" s="4">
        <f>IF(ISERROR(VLOOKUP($U$544,'TAR FIN'!$A$1:$O$86,15,0)),0,VLOOKUP($U$544,'TAR FIN'!$A$1:$O$86,15,0))</f>
        <v>116.35</v>
      </c>
      <c r="Y544" s="4"/>
      <c r="Z544" s="4">
        <f ca="1">('TUSD BE'!$AM$50+'TUSD BF'!$AM$50+'TUSD CVA'!$AM$50)*1</f>
        <v>313.98817842520663</v>
      </c>
      <c r="AA544" s="4">
        <f>('TE BE'!$AB$41+'TE BF'!$AB$41+'TE CVA'!$AB$41)*1</f>
        <v>108.11281895905451</v>
      </c>
      <c r="AB544" s="4">
        <f>$K$544*$V$544</f>
        <v>0</v>
      </c>
      <c r="AC544" s="4">
        <f>$M$544*$W$544</f>
        <v>20436.071630000002</v>
      </c>
      <c r="AD544" s="4">
        <f>$O$544*$X$544</f>
        <v>8840.156649999999</v>
      </c>
      <c r="AE544" s="4">
        <f>$K$544*$Y$544</f>
        <v>0</v>
      </c>
      <c r="AF544" s="4">
        <f ca="1">$M$544*$Z$544</f>
        <v>23856.507808568775</v>
      </c>
      <c r="AG544" s="4">
        <f>$O$544*$AA$544</f>
        <v>8214.3038716900028</v>
      </c>
    </row>
    <row r="545" spans="1:33" ht="11.25" customHeight="1" x14ac:dyDescent="0.25">
      <c r="A545" s="3" t="s">
        <v>21</v>
      </c>
      <c r="B545" s="3" t="s">
        <v>44</v>
      </c>
      <c r="C545" s="3" t="s">
        <v>23</v>
      </c>
      <c r="D545" s="3" t="s">
        <v>45</v>
      </c>
      <c r="E545" s="3" t="s">
        <v>46</v>
      </c>
      <c r="F545" s="3" t="s">
        <v>25</v>
      </c>
      <c r="G545" s="3" t="s">
        <v>25</v>
      </c>
      <c r="H545" s="3" t="s">
        <v>25</v>
      </c>
      <c r="I545" s="6">
        <v>44713</v>
      </c>
      <c r="J545" s="4">
        <v>0</v>
      </c>
      <c r="K545" s="4">
        <v>0</v>
      </c>
      <c r="L545" s="4">
        <v>75.396000000000001</v>
      </c>
      <c r="M545" s="4">
        <v>75.396000000000001</v>
      </c>
      <c r="N545" s="4">
        <v>75.396000000000001</v>
      </c>
      <c r="O545" s="4">
        <v>75.396000000000001</v>
      </c>
      <c r="P545" s="4">
        <v>28</v>
      </c>
      <c r="Q545" s="3" t="s">
        <v>26</v>
      </c>
      <c r="R545" s="3">
        <v>0</v>
      </c>
      <c r="S545" s="4">
        <v>0</v>
      </c>
      <c r="T545" s="4">
        <v>43</v>
      </c>
      <c r="U545" s="4">
        <v>81</v>
      </c>
      <c r="V545" s="4">
        <f>IF(ISERROR(VLOOKUP($S$545,'TAR FIN'!$A$1:$O$86,15,0)),0,VLOOKUP($S$545,'TAR FIN'!$A$1:$O$86,15,0))</f>
        <v>0</v>
      </c>
      <c r="W545" s="4">
        <f>IF(ISERROR(VLOOKUP($T$545,'TAR FIN'!$A$1:$O$86,15,0)),0,VLOOKUP($T$545,'TAR FIN'!$A$1:$O$86,15,0))</f>
        <v>268.97000000000003</v>
      </c>
      <c r="X545" s="4">
        <f>IF(ISERROR(VLOOKUP($U$545,'TAR FIN'!$A$1:$O$86,15,0)),0,VLOOKUP($U$545,'TAR FIN'!$A$1:$O$86,15,0))</f>
        <v>116.35</v>
      </c>
      <c r="Y545" s="4"/>
      <c r="Z545" s="4">
        <f ca="1">('TUSD BE'!$AM$50+'TUSD BF'!$AM$50+'TUSD CVA'!$AM$50)*1</f>
        <v>313.98817842520663</v>
      </c>
      <c r="AA545" s="4">
        <f>('TE BE'!$AB$41+'TE BF'!$AB$41+'TE CVA'!$AB$41)*1</f>
        <v>108.11281895905451</v>
      </c>
      <c r="AB545" s="4">
        <f>$K$545*$V$545</f>
        <v>0</v>
      </c>
      <c r="AC545" s="4">
        <f>$M$545*$W$545</f>
        <v>20279.262120000003</v>
      </c>
      <c r="AD545" s="4">
        <f>$O$545*$X$545</f>
        <v>8772.3245999999999</v>
      </c>
      <c r="AE545" s="4">
        <f>$K$545*$Y$545</f>
        <v>0</v>
      </c>
      <c r="AF545" s="4">
        <f ca="1">$M$545*$Z$545</f>
        <v>23673.452700546881</v>
      </c>
      <c r="AG545" s="4">
        <f>$O$545*$AA$545</f>
        <v>8151.2740982368741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1F4E-0DB3-45E5-A2FA-442CD54E6319}">
  <dimension ref="A1:AJ546"/>
  <sheetViews>
    <sheetView showGridLines="0" topLeftCell="A212" workbookViewId="0">
      <selection activeCell="E230" sqref="E230"/>
    </sheetView>
  </sheetViews>
  <sheetFormatPr defaultRowHeight="11.25" customHeight="1" x14ac:dyDescent="0.25"/>
  <cols>
    <col min="1" max="1" width="19.140625" style="3" bestFit="1" customWidth="1"/>
    <col min="2" max="2" width="13.28515625" style="3" bestFit="1" customWidth="1"/>
    <col min="3" max="3" width="14.5703125" style="3" bestFit="1" customWidth="1"/>
    <col min="4" max="4" width="11.5703125" style="3" bestFit="1" customWidth="1"/>
    <col min="5" max="5" width="25.140625" style="3" bestFit="1" customWidth="1"/>
    <col min="6" max="6" width="12.85546875" style="3" bestFit="1" customWidth="1"/>
    <col min="7" max="7" width="27.140625" style="3" bestFit="1" customWidth="1"/>
    <col min="8" max="8" width="10.28515625" style="3" bestFit="1" customWidth="1"/>
    <col min="9" max="9" width="12.140625" style="6" bestFit="1" customWidth="1"/>
    <col min="10" max="10" width="7" style="4" bestFit="1" customWidth="1"/>
    <col min="11" max="11" width="7.85546875" style="4" bestFit="1" customWidth="1"/>
    <col min="12" max="12" width="11.28515625" style="4" bestFit="1" customWidth="1"/>
    <col min="13" max="13" width="12.5703125" style="4" bestFit="1" customWidth="1"/>
    <col min="14" max="14" width="9.140625" style="4" bestFit="1" customWidth="1"/>
    <col min="15" max="15" width="10.42578125" style="4" bestFit="1" customWidth="1"/>
    <col min="16" max="16" width="7.7109375" style="4" bestFit="1" customWidth="1"/>
    <col min="17" max="17" width="11.140625" style="3" bestFit="1" customWidth="1"/>
    <col min="18" max="18" width="13.140625" style="3" bestFit="1" customWidth="1"/>
    <col min="19" max="19" width="23" style="3" bestFit="1" customWidth="1"/>
    <col min="20" max="20" width="24.42578125" style="3" bestFit="1" customWidth="1"/>
    <col min="21" max="21" width="22.28515625" style="3" bestFit="1" customWidth="1"/>
    <col min="22" max="22" width="15.85546875" style="3" bestFit="1" customWidth="1"/>
    <col min="23" max="23" width="17.28515625" style="3" bestFit="1" customWidth="1"/>
    <col min="24" max="24" width="15.140625" style="3" bestFit="1" customWidth="1"/>
    <col min="25" max="25" width="20.85546875" style="3" bestFit="1" customWidth="1"/>
    <col min="26" max="26" width="22.42578125" style="3" bestFit="1" customWidth="1"/>
    <col min="27" max="27" width="20.140625" style="3" bestFit="1" customWidth="1"/>
    <col min="28" max="28" width="19.140625" style="3" bestFit="1" customWidth="1"/>
    <col min="29" max="29" width="20.5703125" style="3" bestFit="1" customWidth="1"/>
    <col min="30" max="30" width="19" style="3" bestFit="1" customWidth="1"/>
    <col min="31" max="31" width="20.42578125" style="3" bestFit="1" customWidth="1"/>
    <col min="32" max="32" width="32.140625" style="3" bestFit="1" customWidth="1"/>
    <col min="33" max="33" width="9.140625" style="3"/>
    <col min="34" max="34" width="32.140625" style="3" bestFit="1" customWidth="1"/>
    <col min="35" max="35" width="10" style="3" bestFit="1" customWidth="1"/>
    <col min="36" max="36" width="8.7109375" style="3" bestFit="1" customWidth="1"/>
    <col min="37" max="16384" width="9.140625" style="3"/>
  </cols>
  <sheetData>
    <row r="1" spans="1:36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537</v>
      </c>
      <c r="W1" s="1" t="s">
        <v>538</v>
      </c>
      <c r="X1" s="1" t="s">
        <v>539</v>
      </c>
      <c r="Y1" s="1" t="s">
        <v>540</v>
      </c>
      <c r="Z1" s="1" t="s">
        <v>541</v>
      </c>
      <c r="AA1" s="1" t="s">
        <v>542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H1" s="40" t="s">
        <v>587</v>
      </c>
      <c r="AI1" s="40" t="s">
        <v>593</v>
      </c>
      <c r="AJ1" s="40" t="s">
        <v>594</v>
      </c>
    </row>
    <row r="2" spans="1:36" ht="11.25" customHeight="1" x14ac:dyDescent="0.25">
      <c r="A2" s="3" t="s">
        <v>21</v>
      </c>
      <c r="B2" s="3" t="s">
        <v>35</v>
      </c>
      <c r="C2" s="3" t="s">
        <v>53</v>
      </c>
      <c r="D2" s="3" t="s">
        <v>25</v>
      </c>
      <c r="E2" s="3" t="s">
        <v>25</v>
      </c>
      <c r="F2" s="3" t="s">
        <v>25</v>
      </c>
      <c r="G2" s="3" t="s">
        <v>54</v>
      </c>
      <c r="H2" s="3" t="s">
        <v>25</v>
      </c>
      <c r="I2" s="6">
        <v>44378</v>
      </c>
      <c r="J2" s="4">
        <v>720</v>
      </c>
      <c r="K2" s="4">
        <v>360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3" t="s">
        <v>55</v>
      </c>
      <c r="R2" s="3">
        <v>15</v>
      </c>
      <c r="S2" s="3">
        <v>25</v>
      </c>
      <c r="T2" s="3">
        <v>0</v>
      </c>
      <c r="U2" s="3">
        <v>0</v>
      </c>
      <c r="V2" s="4">
        <f>IF(ISERROR(VLOOKUP($S$2,'TAR FIN'!$A$1:$O$86,15,0)),0,VLOOKUP($S$2,'TAR FIN'!$A$1:$O$86,15,0))</f>
        <v>9.1</v>
      </c>
      <c r="W2" s="4">
        <f>IF(ISERROR(VLOOKUP($T$2,'TAR FIN'!$A$1:$O$86,15,0)),0,VLOOKUP($T$2,'TAR FIN'!$A$1:$O$86,15,0))</f>
        <v>0</v>
      </c>
      <c r="X2" s="4">
        <f>IF(ISERROR(VLOOKUP($U$2,'TAR FIN'!$A$1:$O$86,15,0)),0,VLOOKUP($U$2,'TAR FIN'!$A$1:$O$86,15,0))</f>
        <v>0</v>
      </c>
      <c r="Y2" s="4">
        <f ca="1">('TUSD BE'!$AM$9+'TUSD BF'!$AM$9+'TUSD CVA'!$AM$9)*1</f>
        <v>12.091758575263867</v>
      </c>
      <c r="Z2" s="4"/>
      <c r="AA2" s="4"/>
      <c r="AB2" s="4">
        <f t="shared" ref="AB2:AB37" si="0">(J2-K2)*V2</f>
        <v>3276</v>
      </c>
      <c r="AC2" s="4">
        <f t="shared" ref="AC2:AC33" si="1">(L2-M2)*W2+(N2-O2)*X2</f>
        <v>0</v>
      </c>
      <c r="AD2" s="4">
        <f t="shared" ref="AD2:AD37" ca="1" si="2">(J2-K2)*Y2</f>
        <v>4353.033087094992</v>
      </c>
      <c r="AE2" s="4">
        <f t="shared" ref="AE2:AE33" si="3">(L2-M2)*Z2+(N2-O2)*AA2</f>
        <v>0</v>
      </c>
      <c r="AF2" s="3" t="s">
        <v>588</v>
      </c>
      <c r="AH2" s="41" t="s">
        <v>595</v>
      </c>
      <c r="AI2" s="42">
        <f t="shared" ref="AI2:AI9" si="4">SUMIF($AF$2:$AF$546,AH2,$AB$2:$AB$546)+SUMIF($AF$2:$AF$546,AH2,$AC$2:$AC$546)</f>
        <v>0</v>
      </c>
      <c r="AJ2" s="42">
        <f t="shared" ref="AJ2:AJ9" si="5">SUMIF($AF$2:$AF$546,AH2,$AD$2:$AD$546)+SUMIF($AF$2:$AF$546,AH2,$AE$2:$AE$546)</f>
        <v>0</v>
      </c>
    </row>
    <row r="3" spans="1:36" ht="11.25" customHeight="1" x14ac:dyDescent="0.25">
      <c r="A3" s="3" t="s">
        <v>21</v>
      </c>
      <c r="B3" s="3" t="s">
        <v>35</v>
      </c>
      <c r="C3" s="3" t="s">
        <v>53</v>
      </c>
      <c r="D3" s="3" t="s">
        <v>25</v>
      </c>
      <c r="E3" s="3" t="s">
        <v>25</v>
      </c>
      <c r="F3" s="3" t="s">
        <v>25</v>
      </c>
      <c r="G3" s="3" t="s">
        <v>56</v>
      </c>
      <c r="H3" s="3" t="s">
        <v>25</v>
      </c>
      <c r="I3" s="6">
        <v>44378</v>
      </c>
      <c r="J3" s="4">
        <v>1000</v>
      </c>
      <c r="K3" s="4">
        <v>500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3" t="s">
        <v>55</v>
      </c>
      <c r="R3" s="3">
        <v>28240</v>
      </c>
      <c r="S3" s="3">
        <v>25</v>
      </c>
      <c r="T3" s="3">
        <v>0</v>
      </c>
      <c r="U3" s="3">
        <v>0</v>
      </c>
      <c r="V3" s="4">
        <f>IF(ISERROR(VLOOKUP($S$3,'TAR FIN'!$A$1:$O$86,15,0)),0,VLOOKUP($S$3,'TAR FIN'!$A$1:$O$86,15,0))</f>
        <v>9.1</v>
      </c>
      <c r="W3" s="4">
        <f>IF(ISERROR(VLOOKUP($T$3,'TAR FIN'!$A$1:$O$86,15,0)),0,VLOOKUP($T$3,'TAR FIN'!$A$1:$O$86,15,0))</f>
        <v>0</v>
      </c>
      <c r="X3" s="4">
        <f>IF(ISERROR(VLOOKUP($U$3,'TAR FIN'!$A$1:$O$86,15,0)),0,VLOOKUP($U$3,'TAR FIN'!$A$1:$O$86,15,0))</f>
        <v>0</v>
      </c>
      <c r="Y3" s="4">
        <f ca="1">('TUSD BE'!$AM$9+'TUSD BF'!$AM$9+'TUSD CVA'!$AM$9)*1</f>
        <v>12.091758575263867</v>
      </c>
      <c r="Z3" s="4"/>
      <c r="AA3" s="4"/>
      <c r="AB3" s="4">
        <f t="shared" si="0"/>
        <v>4550</v>
      </c>
      <c r="AC3" s="4">
        <f t="shared" si="1"/>
        <v>0</v>
      </c>
      <c r="AD3" s="4">
        <f t="shared" ca="1" si="2"/>
        <v>6045.8792876319339</v>
      </c>
      <c r="AE3" s="4">
        <f t="shared" si="3"/>
        <v>0</v>
      </c>
      <c r="AF3" s="3" t="s">
        <v>588</v>
      </c>
      <c r="AH3" s="41" t="s">
        <v>588</v>
      </c>
      <c r="AI3" s="42">
        <f t="shared" si="4"/>
        <v>93912</v>
      </c>
      <c r="AJ3" s="42">
        <f t="shared" ca="1" si="5"/>
        <v>124786.94849672315</v>
      </c>
    </row>
    <row r="4" spans="1:36" ht="11.25" customHeight="1" x14ac:dyDescent="0.25">
      <c r="A4" s="3" t="s">
        <v>21</v>
      </c>
      <c r="B4" s="3" t="s">
        <v>35</v>
      </c>
      <c r="C4" s="3" t="s">
        <v>53</v>
      </c>
      <c r="D4" s="3" t="s">
        <v>25</v>
      </c>
      <c r="E4" s="3" t="s">
        <v>25</v>
      </c>
      <c r="F4" s="3" t="s">
        <v>25</v>
      </c>
      <c r="G4" s="3" t="s">
        <v>54</v>
      </c>
      <c r="H4" s="3" t="s">
        <v>25</v>
      </c>
      <c r="I4" s="6">
        <v>44409</v>
      </c>
      <c r="J4" s="4">
        <v>720</v>
      </c>
      <c r="K4" s="4">
        <v>360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3" t="s">
        <v>55</v>
      </c>
      <c r="R4" s="3">
        <v>15</v>
      </c>
      <c r="S4" s="3">
        <v>25</v>
      </c>
      <c r="T4" s="3">
        <v>0</v>
      </c>
      <c r="U4" s="3">
        <v>0</v>
      </c>
      <c r="V4" s="4">
        <f>IF(ISERROR(VLOOKUP($S$4,'TAR FIN'!$A$1:$O$86,15,0)),0,VLOOKUP($S$4,'TAR FIN'!$A$1:$O$86,15,0))</f>
        <v>9.1</v>
      </c>
      <c r="W4" s="4">
        <f>IF(ISERROR(VLOOKUP($T$4,'TAR FIN'!$A$1:$O$86,15,0)),0,VLOOKUP($T$4,'TAR FIN'!$A$1:$O$86,15,0))</f>
        <v>0</v>
      </c>
      <c r="X4" s="4">
        <f>IF(ISERROR(VLOOKUP($U$4,'TAR FIN'!$A$1:$O$86,15,0)),0,VLOOKUP($U$4,'TAR FIN'!$A$1:$O$86,15,0))</f>
        <v>0</v>
      </c>
      <c r="Y4" s="4">
        <f ca="1">('TUSD BE'!$AM$9+'TUSD BF'!$AM$9+'TUSD CVA'!$AM$9)*1</f>
        <v>12.091758575263867</v>
      </c>
      <c r="Z4" s="4"/>
      <c r="AA4" s="4"/>
      <c r="AB4" s="4">
        <f t="shared" si="0"/>
        <v>3276</v>
      </c>
      <c r="AC4" s="4">
        <f t="shared" si="1"/>
        <v>0</v>
      </c>
      <c r="AD4" s="4">
        <f t="shared" ca="1" si="2"/>
        <v>4353.033087094992</v>
      </c>
      <c r="AE4" s="4">
        <f t="shared" si="3"/>
        <v>0</v>
      </c>
      <c r="AF4" s="3" t="s">
        <v>588</v>
      </c>
      <c r="AH4" s="41" t="s">
        <v>596</v>
      </c>
      <c r="AI4" s="42">
        <f t="shared" si="4"/>
        <v>0</v>
      </c>
      <c r="AJ4" s="42">
        <f t="shared" si="5"/>
        <v>0</v>
      </c>
    </row>
    <row r="5" spans="1:36" ht="11.25" customHeight="1" x14ac:dyDescent="0.25">
      <c r="A5" s="3" t="s">
        <v>21</v>
      </c>
      <c r="B5" s="3" t="s">
        <v>35</v>
      </c>
      <c r="C5" s="3" t="s">
        <v>53</v>
      </c>
      <c r="D5" s="3" t="s">
        <v>25</v>
      </c>
      <c r="E5" s="3" t="s">
        <v>25</v>
      </c>
      <c r="F5" s="3" t="s">
        <v>25</v>
      </c>
      <c r="G5" s="3" t="s">
        <v>56</v>
      </c>
      <c r="H5" s="3" t="s">
        <v>25</v>
      </c>
      <c r="I5" s="6">
        <v>44409</v>
      </c>
      <c r="J5" s="4">
        <v>1000</v>
      </c>
      <c r="K5" s="4">
        <v>500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3" t="s">
        <v>55</v>
      </c>
      <c r="R5" s="3">
        <v>28240</v>
      </c>
      <c r="S5" s="3">
        <v>25</v>
      </c>
      <c r="T5" s="3">
        <v>0</v>
      </c>
      <c r="U5" s="3">
        <v>0</v>
      </c>
      <c r="V5" s="4">
        <f>IF(ISERROR(VLOOKUP($S$5,'TAR FIN'!$A$1:$O$86,15,0)),0,VLOOKUP($S$5,'TAR FIN'!$A$1:$O$86,15,0))</f>
        <v>9.1</v>
      </c>
      <c r="W5" s="4">
        <f>IF(ISERROR(VLOOKUP($T$5,'TAR FIN'!$A$1:$O$86,15,0)),0,VLOOKUP($T$5,'TAR FIN'!$A$1:$O$86,15,0))</f>
        <v>0</v>
      </c>
      <c r="X5" s="4">
        <f>IF(ISERROR(VLOOKUP($U$5,'TAR FIN'!$A$1:$O$86,15,0)),0,VLOOKUP($U$5,'TAR FIN'!$A$1:$O$86,15,0))</f>
        <v>0</v>
      </c>
      <c r="Y5" s="4">
        <f ca="1">('TUSD BE'!$AM$9+'TUSD BF'!$AM$9+'TUSD CVA'!$AM$9)*1</f>
        <v>12.091758575263867</v>
      </c>
      <c r="Z5" s="4"/>
      <c r="AA5" s="4"/>
      <c r="AB5" s="4">
        <f t="shared" si="0"/>
        <v>4550</v>
      </c>
      <c r="AC5" s="4">
        <f t="shared" si="1"/>
        <v>0</v>
      </c>
      <c r="AD5" s="4">
        <f t="shared" ca="1" si="2"/>
        <v>6045.8792876319339</v>
      </c>
      <c r="AE5" s="4">
        <f t="shared" si="3"/>
        <v>0</v>
      </c>
      <c r="AF5" s="3" t="s">
        <v>588</v>
      </c>
      <c r="AH5" s="41" t="s">
        <v>592</v>
      </c>
      <c r="AI5" s="42">
        <f t="shared" si="4"/>
        <v>10589.676006</v>
      </c>
      <c r="AJ5" s="42">
        <f t="shared" ca="1" si="5"/>
        <v>5800.3584147827396</v>
      </c>
    </row>
    <row r="6" spans="1:36" ht="11.25" customHeight="1" x14ac:dyDescent="0.25">
      <c r="A6" s="3" t="s">
        <v>21</v>
      </c>
      <c r="B6" s="3" t="s">
        <v>35</v>
      </c>
      <c r="C6" s="3" t="s">
        <v>53</v>
      </c>
      <c r="D6" s="3" t="s">
        <v>25</v>
      </c>
      <c r="E6" s="3" t="s">
        <v>25</v>
      </c>
      <c r="F6" s="3" t="s">
        <v>25</v>
      </c>
      <c r="G6" s="3" t="s">
        <v>54</v>
      </c>
      <c r="H6" s="3" t="s">
        <v>25</v>
      </c>
      <c r="I6" s="6">
        <v>44440</v>
      </c>
      <c r="J6" s="4">
        <v>720</v>
      </c>
      <c r="K6" s="4">
        <v>360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3" t="s">
        <v>55</v>
      </c>
      <c r="R6" s="3">
        <v>15</v>
      </c>
      <c r="S6" s="3">
        <v>25</v>
      </c>
      <c r="T6" s="3">
        <v>0</v>
      </c>
      <c r="U6" s="3">
        <v>0</v>
      </c>
      <c r="V6" s="4">
        <f>IF(ISERROR(VLOOKUP($S$6,'TAR FIN'!$A$1:$O$86,15,0)),0,VLOOKUP($S$6,'TAR FIN'!$A$1:$O$86,15,0))</f>
        <v>9.1</v>
      </c>
      <c r="W6" s="4">
        <f>IF(ISERROR(VLOOKUP($T$6,'TAR FIN'!$A$1:$O$86,15,0)),0,VLOOKUP($T$6,'TAR FIN'!$A$1:$O$86,15,0))</f>
        <v>0</v>
      </c>
      <c r="X6" s="4">
        <f>IF(ISERROR(VLOOKUP($U$6,'TAR FIN'!$A$1:$O$86,15,0)),0,VLOOKUP($U$6,'TAR FIN'!$A$1:$O$86,15,0))</f>
        <v>0</v>
      </c>
      <c r="Y6" s="4">
        <f ca="1">('TUSD BE'!$AM$9+'TUSD BF'!$AM$9+'TUSD CVA'!$AM$9)*1</f>
        <v>12.091758575263867</v>
      </c>
      <c r="Z6" s="4"/>
      <c r="AA6" s="4"/>
      <c r="AB6" s="4">
        <f t="shared" si="0"/>
        <v>3276</v>
      </c>
      <c r="AC6" s="4">
        <f t="shared" si="1"/>
        <v>0</v>
      </c>
      <c r="AD6" s="4">
        <f t="shared" ca="1" si="2"/>
        <v>4353.033087094992</v>
      </c>
      <c r="AE6" s="4">
        <f t="shared" si="3"/>
        <v>0</v>
      </c>
      <c r="AF6" s="3" t="s">
        <v>588</v>
      </c>
      <c r="AH6" s="41" t="s">
        <v>589</v>
      </c>
      <c r="AI6" s="42">
        <f t="shared" si="4"/>
        <v>1794459.1768003986</v>
      </c>
      <c r="AJ6" s="42">
        <f t="shared" ca="1" si="5"/>
        <v>983134.71504806657</v>
      </c>
    </row>
    <row r="7" spans="1:36" ht="11.25" customHeight="1" x14ac:dyDescent="0.25">
      <c r="A7" s="3" t="s">
        <v>21</v>
      </c>
      <c r="B7" s="3" t="s">
        <v>35</v>
      </c>
      <c r="C7" s="3" t="s">
        <v>53</v>
      </c>
      <c r="D7" s="3" t="s">
        <v>25</v>
      </c>
      <c r="E7" s="3" t="s">
        <v>25</v>
      </c>
      <c r="F7" s="3" t="s">
        <v>25</v>
      </c>
      <c r="G7" s="3" t="s">
        <v>56</v>
      </c>
      <c r="H7" s="3" t="s">
        <v>25</v>
      </c>
      <c r="I7" s="6">
        <v>44440</v>
      </c>
      <c r="J7" s="4">
        <v>1000</v>
      </c>
      <c r="K7" s="4">
        <v>500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3" t="s">
        <v>55</v>
      </c>
      <c r="R7" s="3">
        <v>28240</v>
      </c>
      <c r="S7" s="3">
        <v>25</v>
      </c>
      <c r="T7" s="3">
        <v>0</v>
      </c>
      <c r="U7" s="3">
        <v>0</v>
      </c>
      <c r="V7" s="4">
        <f>IF(ISERROR(VLOOKUP($S$7,'TAR FIN'!$A$1:$O$86,15,0)),0,VLOOKUP($S$7,'TAR FIN'!$A$1:$O$86,15,0))</f>
        <v>9.1</v>
      </c>
      <c r="W7" s="4">
        <f>IF(ISERROR(VLOOKUP($T$7,'TAR FIN'!$A$1:$O$86,15,0)),0,VLOOKUP($T$7,'TAR FIN'!$A$1:$O$86,15,0))</f>
        <v>0</v>
      </c>
      <c r="X7" s="4">
        <f>IF(ISERROR(VLOOKUP($U$7,'TAR FIN'!$A$1:$O$86,15,0)),0,VLOOKUP($U$7,'TAR FIN'!$A$1:$O$86,15,0))</f>
        <v>0</v>
      </c>
      <c r="Y7" s="4">
        <f ca="1">('TUSD BE'!$AM$9+'TUSD BF'!$AM$9+'TUSD CVA'!$AM$9)*1</f>
        <v>12.091758575263867</v>
      </c>
      <c r="Z7" s="4"/>
      <c r="AA7" s="4"/>
      <c r="AB7" s="4">
        <f t="shared" si="0"/>
        <v>4550</v>
      </c>
      <c r="AC7" s="4">
        <f t="shared" si="1"/>
        <v>0</v>
      </c>
      <c r="AD7" s="4">
        <f t="shared" ca="1" si="2"/>
        <v>6045.8792876319339</v>
      </c>
      <c r="AE7" s="4">
        <f t="shared" si="3"/>
        <v>0</v>
      </c>
      <c r="AF7" s="3" t="s">
        <v>588</v>
      </c>
      <c r="AH7" s="41" t="s">
        <v>590</v>
      </c>
      <c r="AI7" s="42">
        <f t="shared" si="4"/>
        <v>210568.58993099999</v>
      </c>
      <c r="AJ7" s="42">
        <f t="shared" ca="1" si="5"/>
        <v>219266.44967298425</v>
      </c>
    </row>
    <row r="8" spans="1:36" ht="11.25" customHeight="1" x14ac:dyDescent="0.25">
      <c r="A8" s="3" t="s">
        <v>21</v>
      </c>
      <c r="B8" s="3" t="s">
        <v>35</v>
      </c>
      <c r="C8" s="3" t="s">
        <v>53</v>
      </c>
      <c r="D8" s="3" t="s">
        <v>25</v>
      </c>
      <c r="E8" s="3" t="s">
        <v>25</v>
      </c>
      <c r="F8" s="3" t="s">
        <v>25</v>
      </c>
      <c r="G8" s="3" t="s">
        <v>54</v>
      </c>
      <c r="H8" s="3" t="s">
        <v>25</v>
      </c>
      <c r="I8" s="6">
        <v>44470</v>
      </c>
      <c r="J8" s="4">
        <v>720</v>
      </c>
      <c r="K8" s="4">
        <v>360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3" t="s">
        <v>55</v>
      </c>
      <c r="R8" s="3">
        <v>15</v>
      </c>
      <c r="S8" s="3">
        <v>25</v>
      </c>
      <c r="T8" s="3">
        <v>0</v>
      </c>
      <c r="U8" s="3">
        <v>0</v>
      </c>
      <c r="V8" s="4">
        <f>IF(ISERROR(VLOOKUP($S$8,'TAR FIN'!$A$1:$O$86,15,0)),0,VLOOKUP($S$8,'TAR FIN'!$A$1:$O$86,15,0))</f>
        <v>9.1</v>
      </c>
      <c r="W8" s="4">
        <f>IF(ISERROR(VLOOKUP($T$8,'TAR FIN'!$A$1:$O$86,15,0)),0,VLOOKUP($T$8,'TAR FIN'!$A$1:$O$86,15,0))</f>
        <v>0</v>
      </c>
      <c r="X8" s="4">
        <f>IF(ISERROR(VLOOKUP($U$8,'TAR FIN'!$A$1:$O$86,15,0)),0,VLOOKUP($U$8,'TAR FIN'!$A$1:$O$86,15,0))</f>
        <v>0</v>
      </c>
      <c r="Y8" s="4">
        <f ca="1">('TUSD BE'!$AM$9+'TUSD BF'!$AM$9+'TUSD CVA'!$AM$9)*1</f>
        <v>12.091758575263867</v>
      </c>
      <c r="Z8" s="4"/>
      <c r="AA8" s="4"/>
      <c r="AB8" s="4">
        <f t="shared" si="0"/>
        <v>3276</v>
      </c>
      <c r="AC8" s="4">
        <f t="shared" si="1"/>
        <v>0</v>
      </c>
      <c r="AD8" s="4">
        <f t="shared" ca="1" si="2"/>
        <v>4353.033087094992</v>
      </c>
      <c r="AE8" s="4">
        <f t="shared" si="3"/>
        <v>0</v>
      </c>
      <c r="AF8" s="3" t="s">
        <v>588</v>
      </c>
      <c r="AH8" s="41" t="s">
        <v>591</v>
      </c>
      <c r="AI8" s="42">
        <f t="shared" si="4"/>
        <v>26975.661459999992</v>
      </c>
      <c r="AJ8" s="42">
        <f t="shared" ca="1" si="5"/>
        <v>28197.356728617015</v>
      </c>
    </row>
    <row r="9" spans="1:36" ht="11.25" customHeight="1" x14ac:dyDescent="0.25">
      <c r="A9" s="3" t="s">
        <v>21</v>
      </c>
      <c r="B9" s="3" t="s">
        <v>35</v>
      </c>
      <c r="C9" s="3" t="s">
        <v>53</v>
      </c>
      <c r="D9" s="3" t="s">
        <v>25</v>
      </c>
      <c r="E9" s="3" t="s">
        <v>25</v>
      </c>
      <c r="F9" s="3" t="s">
        <v>25</v>
      </c>
      <c r="G9" s="3" t="s">
        <v>56</v>
      </c>
      <c r="H9" s="3" t="s">
        <v>25</v>
      </c>
      <c r="I9" s="6">
        <v>44470</v>
      </c>
      <c r="J9" s="4">
        <v>1000</v>
      </c>
      <c r="K9" s="4">
        <v>500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3" t="s">
        <v>55</v>
      </c>
      <c r="R9" s="3">
        <v>28240</v>
      </c>
      <c r="S9" s="3">
        <v>25</v>
      </c>
      <c r="T9" s="3">
        <v>0</v>
      </c>
      <c r="U9" s="3">
        <v>0</v>
      </c>
      <c r="V9" s="4">
        <f>IF(ISERROR(VLOOKUP($S$9,'TAR FIN'!$A$1:$O$86,15,0)),0,VLOOKUP($S$9,'TAR FIN'!$A$1:$O$86,15,0))</f>
        <v>9.1</v>
      </c>
      <c r="W9" s="4">
        <f>IF(ISERROR(VLOOKUP($T$9,'TAR FIN'!$A$1:$O$86,15,0)),0,VLOOKUP($T$9,'TAR FIN'!$A$1:$O$86,15,0))</f>
        <v>0</v>
      </c>
      <c r="X9" s="4">
        <f>IF(ISERROR(VLOOKUP($U$9,'TAR FIN'!$A$1:$O$86,15,0)),0,VLOOKUP($U$9,'TAR FIN'!$A$1:$O$86,15,0))</f>
        <v>0</v>
      </c>
      <c r="Y9" s="4">
        <f ca="1">('TUSD BE'!$AM$9+'TUSD BF'!$AM$9+'TUSD CVA'!$AM$9)*1</f>
        <v>12.091758575263867</v>
      </c>
      <c r="Z9" s="4"/>
      <c r="AA9" s="4"/>
      <c r="AB9" s="4">
        <f t="shared" si="0"/>
        <v>4550</v>
      </c>
      <c r="AC9" s="4">
        <f t="shared" si="1"/>
        <v>0</v>
      </c>
      <c r="AD9" s="4">
        <f t="shared" ca="1" si="2"/>
        <v>6045.8792876319339</v>
      </c>
      <c r="AE9" s="4">
        <f t="shared" si="3"/>
        <v>0</v>
      </c>
      <c r="AF9" s="3" t="s">
        <v>588</v>
      </c>
      <c r="AH9" s="41" t="s">
        <v>597</v>
      </c>
      <c r="AI9" s="42">
        <f t="shared" si="4"/>
        <v>0</v>
      </c>
      <c r="AJ9" s="42">
        <f t="shared" si="5"/>
        <v>0</v>
      </c>
    </row>
    <row r="10" spans="1:36" ht="11.25" customHeight="1" x14ac:dyDescent="0.25">
      <c r="A10" s="3" t="s">
        <v>21</v>
      </c>
      <c r="B10" s="3" t="s">
        <v>35</v>
      </c>
      <c r="C10" s="3" t="s">
        <v>53</v>
      </c>
      <c r="D10" s="3" t="s">
        <v>25</v>
      </c>
      <c r="E10" s="3" t="s">
        <v>25</v>
      </c>
      <c r="F10" s="3" t="s">
        <v>25</v>
      </c>
      <c r="G10" s="3" t="s">
        <v>54</v>
      </c>
      <c r="H10" s="3" t="s">
        <v>25</v>
      </c>
      <c r="I10" s="6">
        <v>44501</v>
      </c>
      <c r="J10" s="4">
        <v>720</v>
      </c>
      <c r="K10" s="4">
        <v>360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3" t="s">
        <v>55</v>
      </c>
      <c r="R10" s="3">
        <v>15</v>
      </c>
      <c r="S10" s="3">
        <v>25</v>
      </c>
      <c r="T10" s="3">
        <v>0</v>
      </c>
      <c r="U10" s="3">
        <v>0</v>
      </c>
      <c r="V10" s="4">
        <f>IF(ISERROR(VLOOKUP($S$10,'TAR FIN'!$A$1:$O$86,15,0)),0,VLOOKUP($S$10,'TAR FIN'!$A$1:$O$86,15,0))</f>
        <v>9.1</v>
      </c>
      <c r="W10" s="4">
        <f>IF(ISERROR(VLOOKUP($T$10,'TAR FIN'!$A$1:$O$86,15,0)),0,VLOOKUP($T$10,'TAR FIN'!$A$1:$O$86,15,0))</f>
        <v>0</v>
      </c>
      <c r="X10" s="4">
        <f>IF(ISERROR(VLOOKUP($U$10,'TAR FIN'!$A$1:$O$86,15,0)),0,VLOOKUP($U$10,'TAR FIN'!$A$1:$O$86,15,0))</f>
        <v>0</v>
      </c>
      <c r="Y10" s="4">
        <f ca="1">('TUSD BE'!$AM$9+'TUSD BF'!$AM$9+'TUSD CVA'!$AM$9)*1</f>
        <v>12.091758575263867</v>
      </c>
      <c r="Z10" s="4"/>
      <c r="AA10" s="4"/>
      <c r="AB10" s="4">
        <f t="shared" si="0"/>
        <v>3276</v>
      </c>
      <c r="AC10" s="4">
        <f t="shared" si="1"/>
        <v>0</v>
      </c>
      <c r="AD10" s="4">
        <f t="shared" ca="1" si="2"/>
        <v>4353.033087094992</v>
      </c>
      <c r="AE10" s="4">
        <f t="shared" si="3"/>
        <v>0</v>
      </c>
      <c r="AF10" s="3" t="s">
        <v>588</v>
      </c>
    </row>
    <row r="11" spans="1:36" ht="11.25" customHeight="1" x14ac:dyDescent="0.25">
      <c r="A11" s="3" t="s">
        <v>21</v>
      </c>
      <c r="B11" s="3" t="s">
        <v>35</v>
      </c>
      <c r="C11" s="3" t="s">
        <v>53</v>
      </c>
      <c r="D11" s="3" t="s">
        <v>25</v>
      </c>
      <c r="E11" s="3" t="s">
        <v>25</v>
      </c>
      <c r="F11" s="3" t="s">
        <v>25</v>
      </c>
      <c r="G11" s="3" t="s">
        <v>56</v>
      </c>
      <c r="H11" s="3" t="s">
        <v>25</v>
      </c>
      <c r="I11" s="6">
        <v>44501</v>
      </c>
      <c r="J11" s="4">
        <v>1000</v>
      </c>
      <c r="K11" s="4">
        <v>500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3" t="s">
        <v>55</v>
      </c>
      <c r="R11" s="3">
        <v>28240</v>
      </c>
      <c r="S11" s="3">
        <v>25</v>
      </c>
      <c r="T11" s="3">
        <v>0</v>
      </c>
      <c r="U11" s="3">
        <v>0</v>
      </c>
      <c r="V11" s="4">
        <f>IF(ISERROR(VLOOKUP($S$11,'TAR FIN'!$A$1:$O$86,15,0)),0,VLOOKUP($S$11,'TAR FIN'!$A$1:$O$86,15,0))</f>
        <v>9.1</v>
      </c>
      <c r="W11" s="4">
        <f>IF(ISERROR(VLOOKUP($T$11,'TAR FIN'!$A$1:$O$86,15,0)),0,VLOOKUP($T$11,'TAR FIN'!$A$1:$O$86,15,0))</f>
        <v>0</v>
      </c>
      <c r="X11" s="4">
        <f>IF(ISERROR(VLOOKUP($U$11,'TAR FIN'!$A$1:$O$86,15,0)),0,VLOOKUP($U$11,'TAR FIN'!$A$1:$O$86,15,0))</f>
        <v>0</v>
      </c>
      <c r="Y11" s="4">
        <f ca="1">('TUSD BE'!$AM$9+'TUSD BF'!$AM$9+'TUSD CVA'!$AM$9)*1</f>
        <v>12.091758575263867</v>
      </c>
      <c r="Z11" s="4"/>
      <c r="AA11" s="4"/>
      <c r="AB11" s="4">
        <f t="shared" si="0"/>
        <v>4550</v>
      </c>
      <c r="AC11" s="4">
        <f t="shared" si="1"/>
        <v>0</v>
      </c>
      <c r="AD11" s="4">
        <f t="shared" ca="1" si="2"/>
        <v>6045.8792876319339</v>
      </c>
      <c r="AE11" s="4">
        <f t="shared" si="3"/>
        <v>0</v>
      </c>
      <c r="AF11" s="3" t="s">
        <v>588</v>
      </c>
    </row>
    <row r="12" spans="1:36" ht="11.25" customHeight="1" x14ac:dyDescent="0.25">
      <c r="A12" s="3" t="s">
        <v>21</v>
      </c>
      <c r="B12" s="3" t="s">
        <v>35</v>
      </c>
      <c r="C12" s="3" t="s">
        <v>53</v>
      </c>
      <c r="D12" s="3" t="s">
        <v>25</v>
      </c>
      <c r="E12" s="3" t="s">
        <v>25</v>
      </c>
      <c r="F12" s="3" t="s">
        <v>25</v>
      </c>
      <c r="G12" s="3" t="s">
        <v>54</v>
      </c>
      <c r="H12" s="3" t="s">
        <v>25</v>
      </c>
      <c r="I12" s="6">
        <v>44531</v>
      </c>
      <c r="J12" s="4">
        <v>720</v>
      </c>
      <c r="K12" s="4">
        <v>360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3" t="s">
        <v>55</v>
      </c>
      <c r="R12" s="3">
        <v>15</v>
      </c>
      <c r="S12" s="3">
        <v>25</v>
      </c>
      <c r="T12" s="3">
        <v>0</v>
      </c>
      <c r="U12" s="3">
        <v>0</v>
      </c>
      <c r="V12" s="4">
        <f>IF(ISERROR(VLOOKUP($S$12,'TAR FIN'!$A$1:$O$86,15,0)),0,VLOOKUP($S$12,'TAR FIN'!$A$1:$O$86,15,0))</f>
        <v>9.1</v>
      </c>
      <c r="W12" s="4">
        <f>IF(ISERROR(VLOOKUP($T$12,'TAR FIN'!$A$1:$O$86,15,0)),0,VLOOKUP($T$12,'TAR FIN'!$A$1:$O$86,15,0))</f>
        <v>0</v>
      </c>
      <c r="X12" s="4">
        <f>IF(ISERROR(VLOOKUP($U$12,'TAR FIN'!$A$1:$O$86,15,0)),0,VLOOKUP($U$12,'TAR FIN'!$A$1:$O$86,15,0))</f>
        <v>0</v>
      </c>
      <c r="Y12" s="4">
        <f ca="1">('TUSD BE'!$AM$9+'TUSD BF'!$AM$9+'TUSD CVA'!$AM$9)*1</f>
        <v>12.091758575263867</v>
      </c>
      <c r="Z12" s="4"/>
      <c r="AA12" s="4"/>
      <c r="AB12" s="4">
        <f t="shared" si="0"/>
        <v>3276</v>
      </c>
      <c r="AC12" s="4">
        <f t="shared" si="1"/>
        <v>0</v>
      </c>
      <c r="AD12" s="4">
        <f t="shared" ca="1" si="2"/>
        <v>4353.033087094992</v>
      </c>
      <c r="AE12" s="4">
        <f t="shared" si="3"/>
        <v>0</v>
      </c>
      <c r="AF12" s="3" t="s">
        <v>588</v>
      </c>
    </row>
    <row r="13" spans="1:36" ht="11.25" customHeight="1" x14ac:dyDescent="0.25">
      <c r="A13" s="3" t="s">
        <v>21</v>
      </c>
      <c r="B13" s="3" t="s">
        <v>35</v>
      </c>
      <c r="C13" s="3" t="s">
        <v>53</v>
      </c>
      <c r="D13" s="3" t="s">
        <v>25</v>
      </c>
      <c r="E13" s="3" t="s">
        <v>25</v>
      </c>
      <c r="F13" s="3" t="s">
        <v>25</v>
      </c>
      <c r="G13" s="3" t="s">
        <v>56</v>
      </c>
      <c r="H13" s="3" t="s">
        <v>25</v>
      </c>
      <c r="I13" s="6">
        <v>44531</v>
      </c>
      <c r="J13" s="4">
        <v>1000</v>
      </c>
      <c r="K13" s="4">
        <v>500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3" t="s">
        <v>55</v>
      </c>
      <c r="R13" s="3">
        <v>28240</v>
      </c>
      <c r="S13" s="3">
        <v>25</v>
      </c>
      <c r="T13" s="3">
        <v>0</v>
      </c>
      <c r="U13" s="3">
        <v>0</v>
      </c>
      <c r="V13" s="4">
        <f>IF(ISERROR(VLOOKUP($S$13,'TAR FIN'!$A$1:$O$86,15,0)),0,VLOOKUP($S$13,'TAR FIN'!$A$1:$O$86,15,0))</f>
        <v>9.1</v>
      </c>
      <c r="W13" s="4">
        <f>IF(ISERROR(VLOOKUP($T$13,'TAR FIN'!$A$1:$O$86,15,0)),0,VLOOKUP($T$13,'TAR FIN'!$A$1:$O$86,15,0))</f>
        <v>0</v>
      </c>
      <c r="X13" s="4">
        <f>IF(ISERROR(VLOOKUP($U$13,'TAR FIN'!$A$1:$O$86,15,0)),0,VLOOKUP($U$13,'TAR FIN'!$A$1:$O$86,15,0))</f>
        <v>0</v>
      </c>
      <c r="Y13" s="4">
        <f ca="1">('TUSD BE'!$AM$9+'TUSD BF'!$AM$9+'TUSD CVA'!$AM$9)*1</f>
        <v>12.091758575263867</v>
      </c>
      <c r="Z13" s="4"/>
      <c r="AA13" s="4"/>
      <c r="AB13" s="4">
        <f t="shared" si="0"/>
        <v>4550</v>
      </c>
      <c r="AC13" s="4">
        <f t="shared" si="1"/>
        <v>0</v>
      </c>
      <c r="AD13" s="4">
        <f t="shared" ca="1" si="2"/>
        <v>6045.8792876319339</v>
      </c>
      <c r="AE13" s="4">
        <f t="shared" si="3"/>
        <v>0</v>
      </c>
      <c r="AF13" s="3" t="s">
        <v>588</v>
      </c>
    </row>
    <row r="14" spans="1:36" ht="11.25" customHeight="1" x14ac:dyDescent="0.25">
      <c r="A14" s="3" t="s">
        <v>21</v>
      </c>
      <c r="B14" s="3" t="s">
        <v>35</v>
      </c>
      <c r="C14" s="3" t="s">
        <v>53</v>
      </c>
      <c r="D14" s="3" t="s">
        <v>25</v>
      </c>
      <c r="E14" s="3" t="s">
        <v>25</v>
      </c>
      <c r="F14" s="3" t="s">
        <v>25</v>
      </c>
      <c r="G14" s="3" t="s">
        <v>54</v>
      </c>
      <c r="H14" s="3" t="s">
        <v>25</v>
      </c>
      <c r="I14" s="6">
        <v>44562</v>
      </c>
      <c r="J14" s="4">
        <v>720</v>
      </c>
      <c r="K14" s="4">
        <v>360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3" t="s">
        <v>55</v>
      </c>
      <c r="R14" s="3">
        <v>15</v>
      </c>
      <c r="S14" s="3">
        <v>25</v>
      </c>
      <c r="T14" s="3">
        <v>0</v>
      </c>
      <c r="U14" s="3">
        <v>0</v>
      </c>
      <c r="V14" s="4">
        <f>IF(ISERROR(VLOOKUP($S$14,'TAR FIN'!$A$1:$O$86,15,0)),0,VLOOKUP($S$14,'TAR FIN'!$A$1:$O$86,15,0))</f>
        <v>9.1</v>
      </c>
      <c r="W14" s="4">
        <f>IF(ISERROR(VLOOKUP($T$14,'TAR FIN'!$A$1:$O$86,15,0)),0,VLOOKUP($T$14,'TAR FIN'!$A$1:$O$86,15,0))</f>
        <v>0</v>
      </c>
      <c r="X14" s="4">
        <f>IF(ISERROR(VLOOKUP($U$14,'TAR FIN'!$A$1:$O$86,15,0)),0,VLOOKUP($U$14,'TAR FIN'!$A$1:$O$86,15,0))</f>
        <v>0</v>
      </c>
      <c r="Y14" s="4">
        <f ca="1">('TUSD BE'!$AM$9+'TUSD BF'!$AM$9+'TUSD CVA'!$AM$9)*1</f>
        <v>12.091758575263867</v>
      </c>
      <c r="Z14" s="4"/>
      <c r="AA14" s="4"/>
      <c r="AB14" s="4">
        <f t="shared" si="0"/>
        <v>3276</v>
      </c>
      <c r="AC14" s="4">
        <f t="shared" si="1"/>
        <v>0</v>
      </c>
      <c r="AD14" s="4">
        <f t="shared" ca="1" si="2"/>
        <v>4353.033087094992</v>
      </c>
      <c r="AE14" s="4">
        <f t="shared" si="3"/>
        <v>0</v>
      </c>
      <c r="AF14" s="3" t="s">
        <v>588</v>
      </c>
    </row>
    <row r="15" spans="1:36" ht="11.25" customHeight="1" x14ac:dyDescent="0.25">
      <c r="A15" s="3" t="s">
        <v>21</v>
      </c>
      <c r="B15" s="3" t="s">
        <v>35</v>
      </c>
      <c r="C15" s="3" t="s">
        <v>53</v>
      </c>
      <c r="D15" s="3" t="s">
        <v>25</v>
      </c>
      <c r="E15" s="3" t="s">
        <v>25</v>
      </c>
      <c r="F15" s="3" t="s">
        <v>25</v>
      </c>
      <c r="G15" s="3" t="s">
        <v>56</v>
      </c>
      <c r="H15" s="3" t="s">
        <v>25</v>
      </c>
      <c r="I15" s="6">
        <v>44562</v>
      </c>
      <c r="J15" s="4">
        <v>1000</v>
      </c>
      <c r="K15" s="4">
        <v>500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3" t="s">
        <v>55</v>
      </c>
      <c r="R15" s="3">
        <v>28240</v>
      </c>
      <c r="S15" s="3">
        <v>25</v>
      </c>
      <c r="T15" s="3">
        <v>0</v>
      </c>
      <c r="U15" s="3">
        <v>0</v>
      </c>
      <c r="V15" s="4">
        <f>IF(ISERROR(VLOOKUP($S$15,'TAR FIN'!$A$1:$O$86,15,0)),0,VLOOKUP($S$15,'TAR FIN'!$A$1:$O$86,15,0))</f>
        <v>9.1</v>
      </c>
      <c r="W15" s="4">
        <f>IF(ISERROR(VLOOKUP($T$15,'TAR FIN'!$A$1:$O$86,15,0)),0,VLOOKUP($T$15,'TAR FIN'!$A$1:$O$86,15,0))</f>
        <v>0</v>
      </c>
      <c r="X15" s="4">
        <f>IF(ISERROR(VLOOKUP($U$15,'TAR FIN'!$A$1:$O$86,15,0)),0,VLOOKUP($U$15,'TAR FIN'!$A$1:$O$86,15,0))</f>
        <v>0</v>
      </c>
      <c r="Y15" s="4">
        <f ca="1">('TUSD BE'!$AM$9+'TUSD BF'!$AM$9+'TUSD CVA'!$AM$9)*1</f>
        <v>12.091758575263867</v>
      </c>
      <c r="Z15" s="4"/>
      <c r="AA15" s="4"/>
      <c r="AB15" s="4">
        <f t="shared" si="0"/>
        <v>4550</v>
      </c>
      <c r="AC15" s="4">
        <f t="shared" si="1"/>
        <v>0</v>
      </c>
      <c r="AD15" s="4">
        <f t="shared" ca="1" si="2"/>
        <v>6045.8792876319339</v>
      </c>
      <c r="AE15" s="4">
        <f t="shared" si="3"/>
        <v>0</v>
      </c>
      <c r="AF15" s="3" t="s">
        <v>588</v>
      </c>
    </row>
    <row r="16" spans="1:36" ht="11.25" customHeight="1" x14ac:dyDescent="0.25">
      <c r="A16" s="3" t="s">
        <v>21</v>
      </c>
      <c r="B16" s="3" t="s">
        <v>35</v>
      </c>
      <c r="C16" s="3" t="s">
        <v>53</v>
      </c>
      <c r="D16" s="3" t="s">
        <v>25</v>
      </c>
      <c r="E16" s="3" t="s">
        <v>25</v>
      </c>
      <c r="F16" s="3" t="s">
        <v>25</v>
      </c>
      <c r="G16" s="3" t="s">
        <v>54</v>
      </c>
      <c r="H16" s="3" t="s">
        <v>25</v>
      </c>
      <c r="I16" s="6">
        <v>44593</v>
      </c>
      <c r="J16" s="4">
        <v>720</v>
      </c>
      <c r="K16" s="4">
        <v>360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3" t="s">
        <v>55</v>
      </c>
      <c r="R16" s="3">
        <v>15</v>
      </c>
      <c r="S16" s="3">
        <v>25</v>
      </c>
      <c r="T16" s="3">
        <v>0</v>
      </c>
      <c r="U16" s="3">
        <v>0</v>
      </c>
      <c r="V16" s="4">
        <f>IF(ISERROR(VLOOKUP($S$16,'TAR FIN'!$A$1:$O$86,15,0)),0,VLOOKUP($S$16,'TAR FIN'!$A$1:$O$86,15,0))</f>
        <v>9.1</v>
      </c>
      <c r="W16" s="4">
        <f>IF(ISERROR(VLOOKUP($T$16,'TAR FIN'!$A$1:$O$86,15,0)),0,VLOOKUP($T$16,'TAR FIN'!$A$1:$O$86,15,0))</f>
        <v>0</v>
      </c>
      <c r="X16" s="4">
        <f>IF(ISERROR(VLOOKUP($U$16,'TAR FIN'!$A$1:$O$86,15,0)),0,VLOOKUP($U$16,'TAR FIN'!$A$1:$O$86,15,0))</f>
        <v>0</v>
      </c>
      <c r="Y16" s="4">
        <f ca="1">('TUSD BE'!$AM$9+'TUSD BF'!$AM$9+'TUSD CVA'!$AM$9)*1</f>
        <v>12.091758575263867</v>
      </c>
      <c r="Z16" s="4"/>
      <c r="AA16" s="4"/>
      <c r="AB16" s="4">
        <f t="shared" si="0"/>
        <v>3276</v>
      </c>
      <c r="AC16" s="4">
        <f t="shared" si="1"/>
        <v>0</v>
      </c>
      <c r="AD16" s="4">
        <f t="shared" ca="1" si="2"/>
        <v>4353.033087094992</v>
      </c>
      <c r="AE16" s="4">
        <f t="shared" si="3"/>
        <v>0</v>
      </c>
      <c r="AF16" s="3" t="s">
        <v>588</v>
      </c>
    </row>
    <row r="17" spans="1:32" ht="11.25" customHeight="1" x14ac:dyDescent="0.25">
      <c r="A17" s="3" t="s">
        <v>21</v>
      </c>
      <c r="B17" s="3" t="s">
        <v>35</v>
      </c>
      <c r="C17" s="3" t="s">
        <v>53</v>
      </c>
      <c r="D17" s="3" t="s">
        <v>25</v>
      </c>
      <c r="E17" s="3" t="s">
        <v>25</v>
      </c>
      <c r="F17" s="3" t="s">
        <v>25</v>
      </c>
      <c r="G17" s="3" t="s">
        <v>56</v>
      </c>
      <c r="H17" s="3" t="s">
        <v>25</v>
      </c>
      <c r="I17" s="6">
        <v>44593</v>
      </c>
      <c r="J17" s="4">
        <v>1000</v>
      </c>
      <c r="K17" s="4">
        <v>500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3" t="s">
        <v>55</v>
      </c>
      <c r="R17" s="3">
        <v>28240</v>
      </c>
      <c r="S17" s="3">
        <v>25</v>
      </c>
      <c r="T17" s="3">
        <v>0</v>
      </c>
      <c r="U17" s="3">
        <v>0</v>
      </c>
      <c r="V17" s="4">
        <f>IF(ISERROR(VLOOKUP($S$17,'TAR FIN'!$A$1:$O$86,15,0)),0,VLOOKUP($S$17,'TAR FIN'!$A$1:$O$86,15,0))</f>
        <v>9.1</v>
      </c>
      <c r="W17" s="4">
        <f>IF(ISERROR(VLOOKUP($T$17,'TAR FIN'!$A$1:$O$86,15,0)),0,VLOOKUP($T$17,'TAR FIN'!$A$1:$O$86,15,0))</f>
        <v>0</v>
      </c>
      <c r="X17" s="4">
        <f>IF(ISERROR(VLOOKUP($U$17,'TAR FIN'!$A$1:$O$86,15,0)),0,VLOOKUP($U$17,'TAR FIN'!$A$1:$O$86,15,0))</f>
        <v>0</v>
      </c>
      <c r="Y17" s="4">
        <f ca="1">('TUSD BE'!$AM$9+'TUSD BF'!$AM$9+'TUSD CVA'!$AM$9)*1</f>
        <v>12.091758575263867</v>
      </c>
      <c r="Z17" s="4"/>
      <c r="AA17" s="4"/>
      <c r="AB17" s="4">
        <f t="shared" si="0"/>
        <v>4550</v>
      </c>
      <c r="AC17" s="4">
        <f t="shared" si="1"/>
        <v>0</v>
      </c>
      <c r="AD17" s="4">
        <f t="shared" ca="1" si="2"/>
        <v>6045.8792876319339</v>
      </c>
      <c r="AE17" s="4">
        <f t="shared" si="3"/>
        <v>0</v>
      </c>
      <c r="AF17" s="3" t="s">
        <v>588</v>
      </c>
    </row>
    <row r="18" spans="1:32" ht="11.25" customHeight="1" x14ac:dyDescent="0.25">
      <c r="A18" s="3" t="s">
        <v>21</v>
      </c>
      <c r="B18" s="3" t="s">
        <v>35</v>
      </c>
      <c r="C18" s="3" t="s">
        <v>53</v>
      </c>
      <c r="D18" s="3" t="s">
        <v>25</v>
      </c>
      <c r="E18" s="3" t="s">
        <v>25</v>
      </c>
      <c r="F18" s="3" t="s">
        <v>25</v>
      </c>
      <c r="G18" s="3" t="s">
        <v>54</v>
      </c>
      <c r="H18" s="3" t="s">
        <v>25</v>
      </c>
      <c r="I18" s="6">
        <v>44621</v>
      </c>
      <c r="J18" s="4">
        <v>720</v>
      </c>
      <c r="K18" s="4">
        <v>360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3" t="s">
        <v>55</v>
      </c>
      <c r="R18" s="3">
        <v>15</v>
      </c>
      <c r="S18" s="3">
        <v>25</v>
      </c>
      <c r="T18" s="3">
        <v>0</v>
      </c>
      <c r="U18" s="3">
        <v>0</v>
      </c>
      <c r="V18" s="4">
        <f>IF(ISERROR(VLOOKUP($S$18,'TAR FIN'!$A$1:$O$86,15,0)),0,VLOOKUP($S$18,'TAR FIN'!$A$1:$O$86,15,0))</f>
        <v>9.1</v>
      </c>
      <c r="W18" s="4">
        <f>IF(ISERROR(VLOOKUP($T$18,'TAR FIN'!$A$1:$O$86,15,0)),0,VLOOKUP($T$18,'TAR FIN'!$A$1:$O$86,15,0))</f>
        <v>0</v>
      </c>
      <c r="X18" s="4">
        <f>IF(ISERROR(VLOOKUP($U$18,'TAR FIN'!$A$1:$O$86,15,0)),0,VLOOKUP($U$18,'TAR FIN'!$A$1:$O$86,15,0))</f>
        <v>0</v>
      </c>
      <c r="Y18" s="4">
        <f ca="1">('TUSD BE'!$AM$9+'TUSD BF'!$AM$9+'TUSD CVA'!$AM$9)*1</f>
        <v>12.091758575263867</v>
      </c>
      <c r="Z18" s="4"/>
      <c r="AA18" s="4"/>
      <c r="AB18" s="4">
        <f t="shared" si="0"/>
        <v>3276</v>
      </c>
      <c r="AC18" s="4">
        <f t="shared" si="1"/>
        <v>0</v>
      </c>
      <c r="AD18" s="4">
        <f t="shared" ca="1" si="2"/>
        <v>4353.033087094992</v>
      </c>
      <c r="AE18" s="4">
        <f t="shared" si="3"/>
        <v>0</v>
      </c>
      <c r="AF18" s="3" t="s">
        <v>588</v>
      </c>
    </row>
    <row r="19" spans="1:32" ht="11.25" customHeight="1" x14ac:dyDescent="0.25">
      <c r="A19" s="3" t="s">
        <v>21</v>
      </c>
      <c r="B19" s="3" t="s">
        <v>35</v>
      </c>
      <c r="C19" s="3" t="s">
        <v>53</v>
      </c>
      <c r="D19" s="3" t="s">
        <v>25</v>
      </c>
      <c r="E19" s="3" t="s">
        <v>25</v>
      </c>
      <c r="F19" s="3" t="s">
        <v>25</v>
      </c>
      <c r="G19" s="3" t="s">
        <v>56</v>
      </c>
      <c r="H19" s="3" t="s">
        <v>25</v>
      </c>
      <c r="I19" s="6">
        <v>44621</v>
      </c>
      <c r="J19" s="4">
        <v>1000</v>
      </c>
      <c r="K19" s="4">
        <v>500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3" t="s">
        <v>55</v>
      </c>
      <c r="R19" s="3">
        <v>28240</v>
      </c>
      <c r="S19" s="3">
        <v>25</v>
      </c>
      <c r="T19" s="3">
        <v>0</v>
      </c>
      <c r="U19" s="3">
        <v>0</v>
      </c>
      <c r="V19" s="4">
        <f>IF(ISERROR(VLOOKUP($S$19,'TAR FIN'!$A$1:$O$86,15,0)),0,VLOOKUP($S$19,'TAR FIN'!$A$1:$O$86,15,0))</f>
        <v>9.1</v>
      </c>
      <c r="W19" s="4">
        <f>IF(ISERROR(VLOOKUP($T$19,'TAR FIN'!$A$1:$O$86,15,0)),0,VLOOKUP($T$19,'TAR FIN'!$A$1:$O$86,15,0))</f>
        <v>0</v>
      </c>
      <c r="X19" s="4">
        <f>IF(ISERROR(VLOOKUP($U$19,'TAR FIN'!$A$1:$O$86,15,0)),0,VLOOKUP($U$19,'TAR FIN'!$A$1:$O$86,15,0))</f>
        <v>0</v>
      </c>
      <c r="Y19" s="4">
        <f ca="1">('TUSD BE'!$AM$9+'TUSD BF'!$AM$9+'TUSD CVA'!$AM$9)*1</f>
        <v>12.091758575263867</v>
      </c>
      <c r="Z19" s="4"/>
      <c r="AA19" s="4"/>
      <c r="AB19" s="4">
        <f t="shared" si="0"/>
        <v>4550</v>
      </c>
      <c r="AC19" s="4">
        <f t="shared" si="1"/>
        <v>0</v>
      </c>
      <c r="AD19" s="4">
        <f t="shared" ca="1" si="2"/>
        <v>6045.8792876319339</v>
      </c>
      <c r="AE19" s="4">
        <f t="shared" si="3"/>
        <v>0</v>
      </c>
      <c r="AF19" s="3" t="s">
        <v>588</v>
      </c>
    </row>
    <row r="20" spans="1:32" ht="11.25" customHeight="1" x14ac:dyDescent="0.25">
      <c r="A20" s="3" t="s">
        <v>21</v>
      </c>
      <c r="B20" s="3" t="s">
        <v>35</v>
      </c>
      <c r="C20" s="3" t="s">
        <v>53</v>
      </c>
      <c r="D20" s="3" t="s">
        <v>25</v>
      </c>
      <c r="E20" s="3" t="s">
        <v>25</v>
      </c>
      <c r="F20" s="3" t="s">
        <v>25</v>
      </c>
      <c r="G20" s="3" t="s">
        <v>54</v>
      </c>
      <c r="H20" s="3" t="s">
        <v>25</v>
      </c>
      <c r="I20" s="6">
        <v>44652</v>
      </c>
      <c r="J20" s="4">
        <v>720</v>
      </c>
      <c r="K20" s="4">
        <v>360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3" t="s">
        <v>55</v>
      </c>
      <c r="R20" s="3">
        <v>15</v>
      </c>
      <c r="S20" s="3">
        <v>25</v>
      </c>
      <c r="T20" s="3">
        <v>0</v>
      </c>
      <c r="U20" s="3">
        <v>0</v>
      </c>
      <c r="V20" s="4">
        <f>IF(ISERROR(VLOOKUP($S$20,'TAR FIN'!$A$1:$O$86,15,0)),0,VLOOKUP($S$20,'TAR FIN'!$A$1:$O$86,15,0))</f>
        <v>9.1</v>
      </c>
      <c r="W20" s="4">
        <f>IF(ISERROR(VLOOKUP($T$20,'TAR FIN'!$A$1:$O$86,15,0)),0,VLOOKUP($T$20,'TAR FIN'!$A$1:$O$86,15,0))</f>
        <v>0</v>
      </c>
      <c r="X20" s="4">
        <f>IF(ISERROR(VLOOKUP($U$20,'TAR FIN'!$A$1:$O$86,15,0)),0,VLOOKUP($U$20,'TAR FIN'!$A$1:$O$86,15,0))</f>
        <v>0</v>
      </c>
      <c r="Y20" s="4">
        <f ca="1">('TUSD BE'!$AM$9+'TUSD BF'!$AM$9+'TUSD CVA'!$AM$9)*1</f>
        <v>12.091758575263867</v>
      </c>
      <c r="Z20" s="4"/>
      <c r="AA20" s="4"/>
      <c r="AB20" s="4">
        <f t="shared" si="0"/>
        <v>3276</v>
      </c>
      <c r="AC20" s="4">
        <f t="shared" si="1"/>
        <v>0</v>
      </c>
      <c r="AD20" s="4">
        <f t="shared" ca="1" si="2"/>
        <v>4353.033087094992</v>
      </c>
      <c r="AE20" s="4">
        <f t="shared" si="3"/>
        <v>0</v>
      </c>
      <c r="AF20" s="3" t="s">
        <v>588</v>
      </c>
    </row>
    <row r="21" spans="1:32" ht="11.25" customHeight="1" x14ac:dyDescent="0.25">
      <c r="A21" s="3" t="s">
        <v>21</v>
      </c>
      <c r="B21" s="3" t="s">
        <v>35</v>
      </c>
      <c r="C21" s="3" t="s">
        <v>53</v>
      </c>
      <c r="D21" s="3" t="s">
        <v>25</v>
      </c>
      <c r="E21" s="3" t="s">
        <v>25</v>
      </c>
      <c r="F21" s="3" t="s">
        <v>25</v>
      </c>
      <c r="G21" s="3" t="s">
        <v>56</v>
      </c>
      <c r="H21" s="3" t="s">
        <v>25</v>
      </c>
      <c r="I21" s="6">
        <v>44652</v>
      </c>
      <c r="J21" s="4">
        <v>1000</v>
      </c>
      <c r="K21" s="4">
        <v>500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3" t="s">
        <v>55</v>
      </c>
      <c r="R21" s="3">
        <v>28240</v>
      </c>
      <c r="S21" s="3">
        <v>25</v>
      </c>
      <c r="T21" s="3">
        <v>0</v>
      </c>
      <c r="U21" s="3">
        <v>0</v>
      </c>
      <c r="V21" s="4">
        <f>IF(ISERROR(VLOOKUP($S$21,'TAR FIN'!$A$1:$O$86,15,0)),0,VLOOKUP($S$21,'TAR FIN'!$A$1:$O$86,15,0))</f>
        <v>9.1</v>
      </c>
      <c r="W21" s="4">
        <f>IF(ISERROR(VLOOKUP($T$21,'TAR FIN'!$A$1:$O$86,15,0)),0,VLOOKUP($T$21,'TAR FIN'!$A$1:$O$86,15,0))</f>
        <v>0</v>
      </c>
      <c r="X21" s="4">
        <f>IF(ISERROR(VLOOKUP($U$21,'TAR FIN'!$A$1:$O$86,15,0)),0,VLOOKUP($U$21,'TAR FIN'!$A$1:$O$86,15,0))</f>
        <v>0</v>
      </c>
      <c r="Y21" s="4">
        <f ca="1">('TUSD BE'!$AM$9+'TUSD BF'!$AM$9+'TUSD CVA'!$AM$9)*1</f>
        <v>12.091758575263867</v>
      </c>
      <c r="Z21" s="4"/>
      <c r="AA21" s="4"/>
      <c r="AB21" s="4">
        <f t="shared" si="0"/>
        <v>4550</v>
      </c>
      <c r="AC21" s="4">
        <f t="shared" si="1"/>
        <v>0</v>
      </c>
      <c r="AD21" s="4">
        <f t="shared" ca="1" si="2"/>
        <v>6045.8792876319339</v>
      </c>
      <c r="AE21" s="4">
        <f t="shared" si="3"/>
        <v>0</v>
      </c>
      <c r="AF21" s="3" t="s">
        <v>588</v>
      </c>
    </row>
    <row r="22" spans="1:32" ht="11.25" customHeight="1" x14ac:dyDescent="0.25">
      <c r="A22" s="3" t="s">
        <v>21</v>
      </c>
      <c r="B22" s="3" t="s">
        <v>35</v>
      </c>
      <c r="C22" s="3" t="s">
        <v>53</v>
      </c>
      <c r="D22" s="3" t="s">
        <v>25</v>
      </c>
      <c r="E22" s="3" t="s">
        <v>25</v>
      </c>
      <c r="F22" s="3" t="s">
        <v>25</v>
      </c>
      <c r="G22" s="3" t="s">
        <v>54</v>
      </c>
      <c r="H22" s="3" t="s">
        <v>25</v>
      </c>
      <c r="I22" s="6">
        <v>44682</v>
      </c>
      <c r="J22" s="4">
        <v>720</v>
      </c>
      <c r="K22" s="4">
        <v>360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3" t="s">
        <v>55</v>
      </c>
      <c r="R22" s="3">
        <v>15</v>
      </c>
      <c r="S22" s="3">
        <v>25</v>
      </c>
      <c r="T22" s="3">
        <v>0</v>
      </c>
      <c r="U22" s="3">
        <v>0</v>
      </c>
      <c r="V22" s="4">
        <f>IF(ISERROR(VLOOKUP($S$22,'TAR FIN'!$A$1:$O$86,15,0)),0,VLOOKUP($S$22,'TAR FIN'!$A$1:$O$86,15,0))</f>
        <v>9.1</v>
      </c>
      <c r="W22" s="4">
        <f>IF(ISERROR(VLOOKUP($T$22,'TAR FIN'!$A$1:$O$86,15,0)),0,VLOOKUP($T$22,'TAR FIN'!$A$1:$O$86,15,0))</f>
        <v>0</v>
      </c>
      <c r="X22" s="4">
        <f>IF(ISERROR(VLOOKUP($U$22,'TAR FIN'!$A$1:$O$86,15,0)),0,VLOOKUP($U$22,'TAR FIN'!$A$1:$O$86,15,0))</f>
        <v>0</v>
      </c>
      <c r="Y22" s="4">
        <f ca="1">('TUSD BE'!$AM$9+'TUSD BF'!$AM$9+'TUSD CVA'!$AM$9)*1</f>
        <v>12.091758575263867</v>
      </c>
      <c r="Z22" s="4"/>
      <c r="AA22" s="4"/>
      <c r="AB22" s="4">
        <f t="shared" si="0"/>
        <v>3276</v>
      </c>
      <c r="AC22" s="4">
        <f t="shared" si="1"/>
        <v>0</v>
      </c>
      <c r="AD22" s="4">
        <f t="shared" ca="1" si="2"/>
        <v>4353.033087094992</v>
      </c>
      <c r="AE22" s="4">
        <f t="shared" si="3"/>
        <v>0</v>
      </c>
      <c r="AF22" s="3" t="s">
        <v>588</v>
      </c>
    </row>
    <row r="23" spans="1:32" ht="11.25" customHeight="1" x14ac:dyDescent="0.25">
      <c r="A23" s="3" t="s">
        <v>21</v>
      </c>
      <c r="B23" s="3" t="s">
        <v>35</v>
      </c>
      <c r="C23" s="3" t="s">
        <v>53</v>
      </c>
      <c r="D23" s="3" t="s">
        <v>25</v>
      </c>
      <c r="E23" s="3" t="s">
        <v>25</v>
      </c>
      <c r="F23" s="3" t="s">
        <v>25</v>
      </c>
      <c r="G23" s="3" t="s">
        <v>56</v>
      </c>
      <c r="H23" s="3" t="s">
        <v>25</v>
      </c>
      <c r="I23" s="6">
        <v>44682</v>
      </c>
      <c r="J23" s="4">
        <v>1000</v>
      </c>
      <c r="K23" s="4">
        <v>500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3" t="s">
        <v>55</v>
      </c>
      <c r="R23" s="3">
        <v>28240</v>
      </c>
      <c r="S23" s="3">
        <v>25</v>
      </c>
      <c r="T23" s="3">
        <v>0</v>
      </c>
      <c r="U23" s="3">
        <v>0</v>
      </c>
      <c r="V23" s="4">
        <f>IF(ISERROR(VLOOKUP($S$23,'TAR FIN'!$A$1:$O$86,15,0)),0,VLOOKUP($S$23,'TAR FIN'!$A$1:$O$86,15,0))</f>
        <v>9.1</v>
      </c>
      <c r="W23" s="4">
        <f>IF(ISERROR(VLOOKUP($T$23,'TAR FIN'!$A$1:$O$86,15,0)),0,VLOOKUP($T$23,'TAR FIN'!$A$1:$O$86,15,0))</f>
        <v>0</v>
      </c>
      <c r="X23" s="4">
        <f>IF(ISERROR(VLOOKUP($U$23,'TAR FIN'!$A$1:$O$86,15,0)),0,VLOOKUP($U$23,'TAR FIN'!$A$1:$O$86,15,0))</f>
        <v>0</v>
      </c>
      <c r="Y23" s="4">
        <f ca="1">('TUSD BE'!$AM$9+'TUSD BF'!$AM$9+'TUSD CVA'!$AM$9)*1</f>
        <v>12.091758575263867</v>
      </c>
      <c r="Z23" s="4"/>
      <c r="AA23" s="4"/>
      <c r="AB23" s="4">
        <f t="shared" si="0"/>
        <v>4550</v>
      </c>
      <c r="AC23" s="4">
        <f t="shared" si="1"/>
        <v>0</v>
      </c>
      <c r="AD23" s="4">
        <f t="shared" ca="1" si="2"/>
        <v>6045.8792876319339</v>
      </c>
      <c r="AE23" s="4">
        <f t="shared" si="3"/>
        <v>0</v>
      </c>
      <c r="AF23" s="3" t="s">
        <v>588</v>
      </c>
    </row>
    <row r="24" spans="1:32" ht="11.25" customHeight="1" x14ac:dyDescent="0.25">
      <c r="A24" s="3" t="s">
        <v>21</v>
      </c>
      <c r="B24" s="3" t="s">
        <v>35</v>
      </c>
      <c r="C24" s="3" t="s">
        <v>53</v>
      </c>
      <c r="D24" s="3" t="s">
        <v>25</v>
      </c>
      <c r="E24" s="3" t="s">
        <v>25</v>
      </c>
      <c r="F24" s="3" t="s">
        <v>25</v>
      </c>
      <c r="G24" s="3" t="s">
        <v>54</v>
      </c>
      <c r="H24" s="3" t="s">
        <v>25</v>
      </c>
      <c r="I24" s="6">
        <v>44713</v>
      </c>
      <c r="J24" s="4">
        <v>720</v>
      </c>
      <c r="K24" s="4">
        <v>360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3" t="s">
        <v>55</v>
      </c>
      <c r="R24" s="3">
        <v>15</v>
      </c>
      <c r="S24" s="3">
        <v>25</v>
      </c>
      <c r="T24" s="3">
        <v>0</v>
      </c>
      <c r="U24" s="3">
        <v>0</v>
      </c>
      <c r="V24" s="4">
        <f>IF(ISERROR(VLOOKUP($S$24,'TAR FIN'!$A$1:$O$86,15,0)),0,VLOOKUP($S$24,'TAR FIN'!$A$1:$O$86,15,0))</f>
        <v>9.1</v>
      </c>
      <c r="W24" s="4">
        <f>IF(ISERROR(VLOOKUP($T$24,'TAR FIN'!$A$1:$O$86,15,0)),0,VLOOKUP($T$24,'TAR FIN'!$A$1:$O$86,15,0))</f>
        <v>0</v>
      </c>
      <c r="X24" s="4">
        <f>IF(ISERROR(VLOOKUP($U$24,'TAR FIN'!$A$1:$O$86,15,0)),0,VLOOKUP($U$24,'TAR FIN'!$A$1:$O$86,15,0))</f>
        <v>0</v>
      </c>
      <c r="Y24" s="4">
        <f ca="1">('TUSD BE'!$AM$9+'TUSD BF'!$AM$9+'TUSD CVA'!$AM$9)*1</f>
        <v>12.091758575263867</v>
      </c>
      <c r="Z24" s="4"/>
      <c r="AA24" s="4"/>
      <c r="AB24" s="4">
        <f t="shared" si="0"/>
        <v>3276</v>
      </c>
      <c r="AC24" s="4">
        <f t="shared" si="1"/>
        <v>0</v>
      </c>
      <c r="AD24" s="4">
        <f t="shared" ca="1" si="2"/>
        <v>4353.033087094992</v>
      </c>
      <c r="AE24" s="4">
        <f t="shared" si="3"/>
        <v>0</v>
      </c>
      <c r="AF24" s="3" t="s">
        <v>588</v>
      </c>
    </row>
    <row r="25" spans="1:32" ht="11.25" customHeight="1" x14ac:dyDescent="0.25">
      <c r="A25" s="3" t="s">
        <v>21</v>
      </c>
      <c r="B25" s="3" t="s">
        <v>35</v>
      </c>
      <c r="C25" s="3" t="s">
        <v>53</v>
      </c>
      <c r="D25" s="3" t="s">
        <v>25</v>
      </c>
      <c r="E25" s="3" t="s">
        <v>25</v>
      </c>
      <c r="F25" s="3" t="s">
        <v>25</v>
      </c>
      <c r="G25" s="3" t="s">
        <v>56</v>
      </c>
      <c r="H25" s="3" t="s">
        <v>25</v>
      </c>
      <c r="I25" s="6">
        <v>44713</v>
      </c>
      <c r="J25" s="4">
        <v>1000</v>
      </c>
      <c r="K25" s="4">
        <v>500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3" t="s">
        <v>55</v>
      </c>
      <c r="R25" s="3">
        <v>28240</v>
      </c>
      <c r="S25" s="3">
        <v>25</v>
      </c>
      <c r="T25" s="3">
        <v>0</v>
      </c>
      <c r="U25" s="3">
        <v>0</v>
      </c>
      <c r="V25" s="4">
        <f>IF(ISERROR(VLOOKUP($S$25,'TAR FIN'!$A$1:$O$86,15,0)),0,VLOOKUP($S$25,'TAR FIN'!$A$1:$O$86,15,0))</f>
        <v>9.1</v>
      </c>
      <c r="W25" s="4">
        <f>IF(ISERROR(VLOOKUP($T$25,'TAR FIN'!$A$1:$O$86,15,0)),0,VLOOKUP($T$25,'TAR FIN'!$A$1:$O$86,15,0))</f>
        <v>0</v>
      </c>
      <c r="X25" s="4">
        <f>IF(ISERROR(VLOOKUP($U$25,'TAR FIN'!$A$1:$O$86,15,0)),0,VLOOKUP($U$25,'TAR FIN'!$A$1:$O$86,15,0))</f>
        <v>0</v>
      </c>
      <c r="Y25" s="4">
        <f ca="1">('TUSD BE'!$AM$9+'TUSD BF'!$AM$9+'TUSD CVA'!$AM$9)*1</f>
        <v>12.091758575263867</v>
      </c>
      <c r="Z25" s="4"/>
      <c r="AA25" s="4"/>
      <c r="AB25" s="4">
        <f t="shared" si="0"/>
        <v>4550</v>
      </c>
      <c r="AC25" s="4">
        <f t="shared" si="1"/>
        <v>0</v>
      </c>
      <c r="AD25" s="4">
        <f t="shared" ca="1" si="2"/>
        <v>6045.8792876319339</v>
      </c>
      <c r="AE25" s="4">
        <f t="shared" si="3"/>
        <v>0</v>
      </c>
      <c r="AF25" s="3" t="s">
        <v>588</v>
      </c>
    </row>
    <row r="26" spans="1:32" ht="11.25" customHeight="1" x14ac:dyDescent="0.25">
      <c r="A26" s="3" t="s">
        <v>21</v>
      </c>
      <c r="B26" s="3" t="s">
        <v>35</v>
      </c>
      <c r="C26" s="3" t="s">
        <v>39</v>
      </c>
      <c r="D26" s="3" t="s">
        <v>42</v>
      </c>
      <c r="E26" s="3" t="s">
        <v>49</v>
      </c>
      <c r="F26" s="3" t="s">
        <v>51</v>
      </c>
      <c r="G26" s="3" t="s">
        <v>25</v>
      </c>
      <c r="H26" s="3" t="s">
        <v>38</v>
      </c>
      <c r="I26" s="6">
        <v>44378</v>
      </c>
      <c r="J26" s="4">
        <v>0</v>
      </c>
      <c r="K26" s="4">
        <v>0</v>
      </c>
      <c r="L26" s="4">
        <v>6.8289999999999997</v>
      </c>
      <c r="M26" s="4">
        <v>2.0487000000000002</v>
      </c>
      <c r="N26" s="4">
        <v>6.8289999999999997</v>
      </c>
      <c r="O26" s="4">
        <v>2.0487000000000002</v>
      </c>
      <c r="P26" s="4">
        <v>0</v>
      </c>
      <c r="Q26" s="3" t="s">
        <v>26</v>
      </c>
      <c r="R26" s="3">
        <v>0</v>
      </c>
      <c r="S26" s="3">
        <v>0</v>
      </c>
      <c r="T26" s="3">
        <v>3</v>
      </c>
      <c r="U26" s="3">
        <v>48</v>
      </c>
      <c r="V26" s="4">
        <f>IF(ISERROR(VLOOKUP($S$26,'TAR FIN'!$A$1:$O$86,15,0)),0,VLOOKUP($S$26,'TAR FIN'!$A$1:$O$86,15,0))</f>
        <v>0</v>
      </c>
      <c r="W26" s="4">
        <f>IF(ISERROR(VLOOKUP($T$26,'TAR FIN'!$A$1:$O$86,15,0)),0,VLOOKUP($T$26,'TAR FIN'!$A$1:$O$86,15,0))</f>
        <v>68.55</v>
      </c>
      <c r="X26" s="4">
        <f>IF(ISERROR(VLOOKUP($U$26,'TAR FIN'!$A$1:$O$86,15,0)),0,VLOOKUP($U$26,'TAR FIN'!$A$1:$O$86,15,0))</f>
        <v>211.54</v>
      </c>
      <c r="Y26" s="4"/>
      <c r="Z26" s="4">
        <f ca="1">('TUSD BE'!$AM$12+'TUSD BF'!$AM$12+'TUSD CVA'!$AM$12)*1</f>
        <v>96.693682586652571</v>
      </c>
      <c r="AA26" s="4">
        <f>('TE BE'!$AB$6+'TE BF'!$AB$6+'TE CVA'!$AB$6)*1</f>
        <v>196.56876174373542</v>
      </c>
      <c r="AB26" s="4">
        <f t="shared" si="0"/>
        <v>0</v>
      </c>
      <c r="AC26" s="4">
        <f t="shared" si="1"/>
        <v>1338.9142269999998</v>
      </c>
      <c r="AD26" s="4">
        <f t="shared" si="2"/>
        <v>0</v>
      </c>
      <c r="AE26" s="4">
        <f t="shared" ca="1" si="3"/>
        <v>1401.8824626325536</v>
      </c>
      <c r="AF26" s="3" t="s">
        <v>590</v>
      </c>
    </row>
    <row r="27" spans="1:32" ht="11.25" customHeight="1" x14ac:dyDescent="0.25">
      <c r="A27" s="3" t="s">
        <v>21</v>
      </c>
      <c r="B27" s="3" t="s">
        <v>35</v>
      </c>
      <c r="C27" s="3" t="s">
        <v>39</v>
      </c>
      <c r="D27" s="3" t="s">
        <v>42</v>
      </c>
      <c r="E27" s="3" t="s">
        <v>49</v>
      </c>
      <c r="F27" s="3" t="s">
        <v>51</v>
      </c>
      <c r="G27" s="3" t="s">
        <v>25</v>
      </c>
      <c r="H27" s="3" t="s">
        <v>38</v>
      </c>
      <c r="I27" s="6">
        <v>44409</v>
      </c>
      <c r="J27" s="4">
        <v>0</v>
      </c>
      <c r="K27" s="4">
        <v>0</v>
      </c>
      <c r="L27" s="4">
        <v>10.128</v>
      </c>
      <c r="M27" s="4">
        <v>3.0384000000000002</v>
      </c>
      <c r="N27" s="4">
        <v>10.128</v>
      </c>
      <c r="O27" s="4">
        <v>3.0384000000000002</v>
      </c>
      <c r="P27" s="4">
        <v>0</v>
      </c>
      <c r="Q27" s="3" t="s">
        <v>26</v>
      </c>
      <c r="R27" s="3">
        <v>0</v>
      </c>
      <c r="S27" s="3">
        <v>0</v>
      </c>
      <c r="T27" s="3">
        <v>3</v>
      </c>
      <c r="U27" s="3">
        <v>48</v>
      </c>
      <c r="V27" s="4">
        <f>IF(ISERROR(VLOOKUP($S$27,'TAR FIN'!$A$1:$O$86,15,0)),0,VLOOKUP($S$27,'TAR FIN'!$A$1:$O$86,15,0))</f>
        <v>0</v>
      </c>
      <c r="W27" s="4">
        <f>IF(ISERROR(VLOOKUP($T$27,'TAR FIN'!$A$1:$O$86,15,0)),0,VLOOKUP($T$27,'TAR FIN'!$A$1:$O$86,15,0))</f>
        <v>68.55</v>
      </c>
      <c r="X27" s="4">
        <f>IF(ISERROR(VLOOKUP($U$27,'TAR FIN'!$A$1:$O$86,15,0)),0,VLOOKUP($U$27,'TAR FIN'!$A$1:$O$86,15,0))</f>
        <v>211.54</v>
      </c>
      <c r="Y27" s="4"/>
      <c r="Z27" s="4">
        <f ca="1">('TUSD BE'!$AM$12+'TUSD BF'!$AM$12+'TUSD CVA'!$AM$12)*1</f>
        <v>96.693682586652571</v>
      </c>
      <c r="AA27" s="4">
        <f>('TE BE'!$AB$6+'TE BF'!$AB$6+'TE CVA'!$AB$6)*1</f>
        <v>196.56876174373542</v>
      </c>
      <c r="AB27" s="4">
        <f t="shared" si="0"/>
        <v>0</v>
      </c>
      <c r="AC27" s="4">
        <f t="shared" si="1"/>
        <v>1985.726064</v>
      </c>
      <c r="AD27" s="4">
        <f t="shared" si="2"/>
        <v>0</v>
      </c>
      <c r="AE27" s="4">
        <f t="shared" ca="1" si="3"/>
        <v>2079.1134253247187</v>
      </c>
      <c r="AF27" s="3" t="s">
        <v>590</v>
      </c>
    </row>
    <row r="28" spans="1:32" ht="11.25" customHeight="1" x14ac:dyDescent="0.25">
      <c r="A28" s="3" t="s">
        <v>21</v>
      </c>
      <c r="B28" s="3" t="s">
        <v>35</v>
      </c>
      <c r="C28" s="3" t="s">
        <v>39</v>
      </c>
      <c r="D28" s="3" t="s">
        <v>42</v>
      </c>
      <c r="E28" s="3" t="s">
        <v>49</v>
      </c>
      <c r="F28" s="3" t="s">
        <v>51</v>
      </c>
      <c r="G28" s="3" t="s">
        <v>25</v>
      </c>
      <c r="H28" s="3" t="s">
        <v>38</v>
      </c>
      <c r="I28" s="6">
        <v>44440</v>
      </c>
      <c r="J28" s="4">
        <v>0</v>
      </c>
      <c r="K28" s="4">
        <v>0</v>
      </c>
      <c r="L28" s="4">
        <v>14.759</v>
      </c>
      <c r="M28" s="4">
        <v>4.4276999999999997</v>
      </c>
      <c r="N28" s="4">
        <v>14.759</v>
      </c>
      <c r="O28" s="4">
        <v>4.4276999999999997</v>
      </c>
      <c r="P28" s="4">
        <v>0</v>
      </c>
      <c r="Q28" s="3" t="s">
        <v>26</v>
      </c>
      <c r="R28" s="3">
        <v>0</v>
      </c>
      <c r="S28" s="3">
        <v>0</v>
      </c>
      <c r="T28" s="3">
        <v>3</v>
      </c>
      <c r="U28" s="3">
        <v>48</v>
      </c>
      <c r="V28" s="4">
        <f>IF(ISERROR(VLOOKUP($S$28,'TAR FIN'!$A$1:$O$86,15,0)),0,VLOOKUP($S$28,'TAR FIN'!$A$1:$O$86,15,0))</f>
        <v>0</v>
      </c>
      <c r="W28" s="4">
        <f>IF(ISERROR(VLOOKUP($T$28,'TAR FIN'!$A$1:$O$86,15,0)),0,VLOOKUP($T$28,'TAR FIN'!$A$1:$O$86,15,0))</f>
        <v>68.55</v>
      </c>
      <c r="X28" s="4">
        <f>IF(ISERROR(VLOOKUP($U$28,'TAR FIN'!$A$1:$O$86,15,0)),0,VLOOKUP($U$28,'TAR FIN'!$A$1:$O$86,15,0))</f>
        <v>211.54</v>
      </c>
      <c r="Y28" s="4"/>
      <c r="Z28" s="4">
        <f ca="1">('TUSD BE'!$AM$12+'TUSD BF'!$AM$12+'TUSD CVA'!$AM$12)*1</f>
        <v>96.693682586652571</v>
      </c>
      <c r="AA28" s="4">
        <f>('TE BE'!$AB$6+'TE BF'!$AB$6+'TE CVA'!$AB$6)*1</f>
        <v>196.56876174373542</v>
      </c>
      <c r="AB28" s="4">
        <f t="shared" si="0"/>
        <v>0</v>
      </c>
      <c r="AC28" s="4">
        <f t="shared" si="1"/>
        <v>2893.6938169999999</v>
      </c>
      <c r="AD28" s="4">
        <f t="shared" si="2"/>
        <v>0</v>
      </c>
      <c r="AE28" s="4">
        <f t="shared" ca="1" si="3"/>
        <v>3029.7822911105377</v>
      </c>
      <c r="AF28" s="3" t="s">
        <v>590</v>
      </c>
    </row>
    <row r="29" spans="1:32" ht="11.25" customHeight="1" x14ac:dyDescent="0.25">
      <c r="A29" s="3" t="s">
        <v>21</v>
      </c>
      <c r="B29" s="3" t="s">
        <v>35</v>
      </c>
      <c r="C29" s="3" t="s">
        <v>39</v>
      </c>
      <c r="D29" s="3" t="s">
        <v>42</v>
      </c>
      <c r="E29" s="3" t="s">
        <v>49</v>
      </c>
      <c r="F29" s="3" t="s">
        <v>51</v>
      </c>
      <c r="G29" s="3" t="s">
        <v>25</v>
      </c>
      <c r="H29" s="3" t="s">
        <v>38</v>
      </c>
      <c r="I29" s="6">
        <v>44470</v>
      </c>
      <c r="J29" s="4">
        <v>0</v>
      </c>
      <c r="K29" s="4">
        <v>0</v>
      </c>
      <c r="L29" s="4">
        <v>29.698</v>
      </c>
      <c r="M29" s="4">
        <v>8.9093999999999998</v>
      </c>
      <c r="N29" s="4">
        <v>29.698</v>
      </c>
      <c r="O29" s="4">
        <v>8.9093999999999998</v>
      </c>
      <c r="P29" s="4">
        <v>0</v>
      </c>
      <c r="Q29" s="3" t="s">
        <v>26</v>
      </c>
      <c r="R29" s="3">
        <v>0</v>
      </c>
      <c r="S29" s="3">
        <v>0</v>
      </c>
      <c r="T29" s="3">
        <v>3</v>
      </c>
      <c r="U29" s="3">
        <v>48</v>
      </c>
      <c r="V29" s="4">
        <f>IF(ISERROR(VLOOKUP($S$29,'TAR FIN'!$A$1:$O$86,15,0)),0,VLOOKUP($S$29,'TAR FIN'!$A$1:$O$86,15,0))</f>
        <v>0</v>
      </c>
      <c r="W29" s="4">
        <f>IF(ISERROR(VLOOKUP($T$29,'TAR FIN'!$A$1:$O$86,15,0)),0,VLOOKUP($T$29,'TAR FIN'!$A$1:$O$86,15,0))</f>
        <v>68.55</v>
      </c>
      <c r="X29" s="4">
        <f>IF(ISERROR(VLOOKUP($U$29,'TAR FIN'!$A$1:$O$86,15,0)),0,VLOOKUP($U$29,'TAR FIN'!$A$1:$O$86,15,0))</f>
        <v>211.54</v>
      </c>
      <c r="Y29" s="4"/>
      <c r="Z29" s="4">
        <f ca="1">('TUSD BE'!$AM$12+'TUSD BF'!$AM$12+'TUSD CVA'!$AM$12)*1</f>
        <v>96.693682586652571</v>
      </c>
      <c r="AA29" s="4">
        <f>('TE BE'!$AB$6+'TE BF'!$AB$6+'TE CVA'!$AB$6)*1</f>
        <v>196.56876174373542</v>
      </c>
      <c r="AB29" s="4">
        <f t="shared" si="0"/>
        <v>0</v>
      </c>
      <c r="AC29" s="4">
        <f t="shared" si="1"/>
        <v>5822.6789740000004</v>
      </c>
      <c r="AD29" s="4">
        <f t="shared" si="2"/>
        <v>0</v>
      </c>
      <c r="AE29" s="4">
        <f t="shared" ca="1" si="3"/>
        <v>6096.5156502067048</v>
      </c>
      <c r="AF29" s="3" t="s">
        <v>590</v>
      </c>
    </row>
    <row r="30" spans="1:32" ht="11.25" customHeight="1" x14ac:dyDescent="0.25">
      <c r="A30" s="3" t="s">
        <v>21</v>
      </c>
      <c r="B30" s="3" t="s">
        <v>35</v>
      </c>
      <c r="C30" s="3" t="s">
        <v>39</v>
      </c>
      <c r="D30" s="3" t="s">
        <v>42</v>
      </c>
      <c r="E30" s="3" t="s">
        <v>49</v>
      </c>
      <c r="F30" s="3" t="s">
        <v>51</v>
      </c>
      <c r="G30" s="3" t="s">
        <v>25</v>
      </c>
      <c r="H30" s="3" t="s">
        <v>38</v>
      </c>
      <c r="I30" s="6">
        <v>44501</v>
      </c>
      <c r="J30" s="4">
        <v>0</v>
      </c>
      <c r="K30" s="4">
        <v>0</v>
      </c>
      <c r="L30" s="4">
        <v>118.98</v>
      </c>
      <c r="M30" s="4">
        <v>35.694000000000003</v>
      </c>
      <c r="N30" s="4">
        <v>118.98</v>
      </c>
      <c r="O30" s="4">
        <v>35.694000000000003</v>
      </c>
      <c r="P30" s="4">
        <v>0</v>
      </c>
      <c r="Q30" s="3" t="s">
        <v>26</v>
      </c>
      <c r="R30" s="3">
        <v>0</v>
      </c>
      <c r="S30" s="3">
        <v>0</v>
      </c>
      <c r="T30" s="3">
        <v>3</v>
      </c>
      <c r="U30" s="3">
        <v>48</v>
      </c>
      <c r="V30" s="4">
        <f>IF(ISERROR(VLOOKUP($S$30,'TAR FIN'!$A$1:$O$86,15,0)),0,VLOOKUP($S$30,'TAR FIN'!$A$1:$O$86,15,0))</f>
        <v>0</v>
      </c>
      <c r="W30" s="4">
        <f>IF(ISERROR(VLOOKUP($T$30,'TAR FIN'!$A$1:$O$86,15,0)),0,VLOOKUP($T$30,'TAR FIN'!$A$1:$O$86,15,0))</f>
        <v>68.55</v>
      </c>
      <c r="X30" s="4">
        <f>IF(ISERROR(VLOOKUP($U$30,'TAR FIN'!$A$1:$O$86,15,0)),0,VLOOKUP($U$30,'TAR FIN'!$A$1:$O$86,15,0))</f>
        <v>211.54</v>
      </c>
      <c r="Y30" s="4"/>
      <c r="Z30" s="4">
        <f ca="1">('TUSD BE'!$AM$12+'TUSD BF'!$AM$12+'TUSD CVA'!$AM$12)*1</f>
        <v>96.693682586652571</v>
      </c>
      <c r="AA30" s="4">
        <f>('TE BE'!$AB$6+'TE BF'!$AB$6+'TE CVA'!$AB$6)*1</f>
        <v>196.56876174373542</v>
      </c>
      <c r="AB30" s="4">
        <f t="shared" si="0"/>
        <v>0</v>
      </c>
      <c r="AC30" s="4">
        <f t="shared" si="1"/>
        <v>23327.57574</v>
      </c>
      <c r="AD30" s="4">
        <f t="shared" si="2"/>
        <v>0</v>
      </c>
      <c r="AE30" s="4">
        <f t="shared" ca="1" si="3"/>
        <v>24424.655938500695</v>
      </c>
      <c r="AF30" s="3" t="s">
        <v>590</v>
      </c>
    </row>
    <row r="31" spans="1:32" ht="11.25" customHeight="1" x14ac:dyDescent="0.25">
      <c r="A31" s="3" t="s">
        <v>21</v>
      </c>
      <c r="B31" s="3" t="s">
        <v>35</v>
      </c>
      <c r="C31" s="3" t="s">
        <v>39</v>
      </c>
      <c r="D31" s="3" t="s">
        <v>42</v>
      </c>
      <c r="E31" s="3" t="s">
        <v>49</v>
      </c>
      <c r="F31" s="3" t="s">
        <v>51</v>
      </c>
      <c r="G31" s="3" t="s">
        <v>25</v>
      </c>
      <c r="H31" s="3" t="s">
        <v>38</v>
      </c>
      <c r="I31" s="6">
        <v>44531</v>
      </c>
      <c r="J31" s="4">
        <v>0</v>
      </c>
      <c r="K31" s="4">
        <v>0</v>
      </c>
      <c r="L31" s="4">
        <v>132.64500000000001</v>
      </c>
      <c r="M31" s="4">
        <v>39.793500000000002</v>
      </c>
      <c r="N31" s="4">
        <v>132.64500000000001</v>
      </c>
      <c r="O31" s="4">
        <v>39.793500000000002</v>
      </c>
      <c r="P31" s="4">
        <v>0</v>
      </c>
      <c r="Q31" s="3" t="s">
        <v>26</v>
      </c>
      <c r="R31" s="3">
        <v>0</v>
      </c>
      <c r="S31" s="3">
        <v>0</v>
      </c>
      <c r="T31" s="3">
        <v>3</v>
      </c>
      <c r="U31" s="3">
        <v>48</v>
      </c>
      <c r="V31" s="4">
        <f>IF(ISERROR(VLOOKUP($S$31,'TAR FIN'!$A$1:$O$86,15,0)),0,VLOOKUP($S$31,'TAR FIN'!$A$1:$O$86,15,0))</f>
        <v>0</v>
      </c>
      <c r="W31" s="4">
        <f>IF(ISERROR(VLOOKUP($T$31,'TAR FIN'!$A$1:$O$86,15,0)),0,VLOOKUP($T$31,'TAR FIN'!$A$1:$O$86,15,0))</f>
        <v>68.55</v>
      </c>
      <c r="X31" s="4">
        <f>IF(ISERROR(VLOOKUP($U$31,'TAR FIN'!$A$1:$O$86,15,0)),0,VLOOKUP($U$31,'TAR FIN'!$A$1:$O$86,15,0))</f>
        <v>211.54</v>
      </c>
      <c r="Y31" s="4"/>
      <c r="Z31" s="4">
        <f ca="1">('TUSD BE'!$AM$12+'TUSD BF'!$AM$12+'TUSD CVA'!$AM$12)*1</f>
        <v>96.693682586652571</v>
      </c>
      <c r="AA31" s="4">
        <f>('TE BE'!$AB$6+'TE BF'!$AB$6+'TE CVA'!$AB$6)*1</f>
        <v>196.56876174373542</v>
      </c>
      <c r="AB31" s="4">
        <f t="shared" si="0"/>
        <v>0</v>
      </c>
      <c r="AC31" s="4">
        <f t="shared" si="1"/>
        <v>26006.776635000006</v>
      </c>
      <c r="AD31" s="4">
        <f t="shared" si="2"/>
        <v>0</v>
      </c>
      <c r="AE31" s="4">
        <f t="shared" ca="1" si="3"/>
        <v>27229.857849743028</v>
      </c>
      <c r="AF31" s="3" t="s">
        <v>590</v>
      </c>
    </row>
    <row r="32" spans="1:32" ht="11.25" customHeight="1" x14ac:dyDescent="0.25">
      <c r="A32" s="3" t="s">
        <v>21</v>
      </c>
      <c r="B32" s="3" t="s">
        <v>35</v>
      </c>
      <c r="C32" s="3" t="s">
        <v>39</v>
      </c>
      <c r="D32" s="3" t="s">
        <v>42</v>
      </c>
      <c r="E32" s="3" t="s">
        <v>49</v>
      </c>
      <c r="F32" s="3" t="s">
        <v>51</v>
      </c>
      <c r="G32" s="3" t="s">
        <v>25</v>
      </c>
      <c r="H32" s="3" t="s">
        <v>38</v>
      </c>
      <c r="I32" s="6">
        <v>44562</v>
      </c>
      <c r="J32" s="4">
        <v>0</v>
      </c>
      <c r="K32" s="4">
        <v>0</v>
      </c>
      <c r="L32" s="4">
        <v>39.817</v>
      </c>
      <c r="M32" s="4">
        <v>11.9451</v>
      </c>
      <c r="N32" s="4">
        <v>39.817</v>
      </c>
      <c r="O32" s="4">
        <v>11.9451</v>
      </c>
      <c r="P32" s="4">
        <v>0</v>
      </c>
      <c r="Q32" s="3" t="s">
        <v>26</v>
      </c>
      <c r="R32" s="3">
        <v>0</v>
      </c>
      <c r="S32" s="3">
        <v>0</v>
      </c>
      <c r="T32" s="3">
        <v>3</v>
      </c>
      <c r="U32" s="3">
        <v>48</v>
      </c>
      <c r="V32" s="4">
        <f>IF(ISERROR(VLOOKUP($S$32,'TAR FIN'!$A$1:$O$86,15,0)),0,VLOOKUP($S$32,'TAR FIN'!$A$1:$O$86,15,0))</f>
        <v>0</v>
      </c>
      <c r="W32" s="4">
        <f>IF(ISERROR(VLOOKUP($T$32,'TAR FIN'!$A$1:$O$86,15,0)),0,VLOOKUP($T$32,'TAR FIN'!$A$1:$O$86,15,0))</f>
        <v>68.55</v>
      </c>
      <c r="X32" s="4">
        <f>IF(ISERROR(VLOOKUP($U$32,'TAR FIN'!$A$1:$O$86,15,0)),0,VLOOKUP($U$32,'TAR FIN'!$A$1:$O$86,15,0))</f>
        <v>211.54</v>
      </c>
      <c r="Y32" s="4"/>
      <c r="Z32" s="4">
        <f ca="1">('TUSD BE'!$AM$12+'TUSD BF'!$AM$12+'TUSD CVA'!$AM$12)*1</f>
        <v>96.693682586652571</v>
      </c>
      <c r="AA32" s="4">
        <f>('TE BE'!$AB$6+'TE BF'!$AB$6+'TE CVA'!$AB$6)*1</f>
        <v>196.56876174373542</v>
      </c>
      <c r="AB32" s="4">
        <f t="shared" si="0"/>
        <v>0</v>
      </c>
      <c r="AC32" s="4">
        <f t="shared" si="1"/>
        <v>7806.6404709999997</v>
      </c>
      <c r="AD32" s="4">
        <f t="shared" si="2"/>
        <v>0</v>
      </c>
      <c r="AE32" s="4">
        <f t="shared" ca="1" si="3"/>
        <v>8173.7815221321407</v>
      </c>
      <c r="AF32" s="3" t="s">
        <v>590</v>
      </c>
    </row>
    <row r="33" spans="1:32" ht="11.25" customHeight="1" x14ac:dyDescent="0.25">
      <c r="A33" s="3" t="s">
        <v>21</v>
      </c>
      <c r="B33" s="3" t="s">
        <v>35</v>
      </c>
      <c r="C33" s="3" t="s">
        <v>39</v>
      </c>
      <c r="D33" s="3" t="s">
        <v>42</v>
      </c>
      <c r="E33" s="3" t="s">
        <v>49</v>
      </c>
      <c r="F33" s="3" t="s">
        <v>51</v>
      </c>
      <c r="G33" s="3" t="s">
        <v>25</v>
      </c>
      <c r="H33" s="3" t="s">
        <v>38</v>
      </c>
      <c r="I33" s="6">
        <v>44593</v>
      </c>
      <c r="J33" s="4">
        <v>0</v>
      </c>
      <c r="K33" s="4">
        <v>0</v>
      </c>
      <c r="L33" s="4">
        <v>56.661999999999999</v>
      </c>
      <c r="M33" s="4">
        <v>16.9986</v>
      </c>
      <c r="N33" s="4">
        <v>56.661999999999999</v>
      </c>
      <c r="O33" s="4">
        <v>16.9986</v>
      </c>
      <c r="P33" s="4">
        <v>0</v>
      </c>
      <c r="Q33" s="3" t="s">
        <v>26</v>
      </c>
      <c r="R33" s="3">
        <v>0</v>
      </c>
      <c r="S33" s="3">
        <v>0</v>
      </c>
      <c r="T33" s="3">
        <v>3</v>
      </c>
      <c r="U33" s="3">
        <v>48</v>
      </c>
      <c r="V33" s="4">
        <f>IF(ISERROR(VLOOKUP($S$33,'TAR FIN'!$A$1:$O$86,15,0)),0,VLOOKUP($S$33,'TAR FIN'!$A$1:$O$86,15,0))</f>
        <v>0</v>
      </c>
      <c r="W33" s="4">
        <f>IF(ISERROR(VLOOKUP($T$33,'TAR FIN'!$A$1:$O$86,15,0)),0,VLOOKUP($T$33,'TAR FIN'!$A$1:$O$86,15,0))</f>
        <v>68.55</v>
      </c>
      <c r="X33" s="4">
        <f>IF(ISERROR(VLOOKUP($U$33,'TAR FIN'!$A$1:$O$86,15,0)),0,VLOOKUP($U$33,'TAR FIN'!$A$1:$O$86,15,0))</f>
        <v>211.54</v>
      </c>
      <c r="Y33" s="4"/>
      <c r="Z33" s="4">
        <f ca="1">('TUSD BE'!$AM$12+'TUSD BF'!$AM$12+'TUSD CVA'!$AM$12)*1</f>
        <v>96.693682586652571</v>
      </c>
      <c r="AA33" s="4">
        <f>('TE BE'!$AB$6+'TE BF'!$AB$6+'TE CVA'!$AB$6)*1</f>
        <v>196.56876174373542</v>
      </c>
      <c r="AB33" s="4">
        <f t="shared" si="0"/>
        <v>0</v>
      </c>
      <c r="AC33" s="4">
        <f t="shared" si="1"/>
        <v>11109.321705999999</v>
      </c>
      <c r="AD33" s="4">
        <f t="shared" si="2"/>
        <v>0</v>
      </c>
      <c r="AE33" s="4">
        <f t="shared" ca="1" si="3"/>
        <v>11631.78563445391</v>
      </c>
      <c r="AF33" s="3" t="s">
        <v>590</v>
      </c>
    </row>
    <row r="34" spans="1:32" ht="11.25" customHeight="1" x14ac:dyDescent="0.25">
      <c r="A34" s="3" t="s">
        <v>21</v>
      </c>
      <c r="B34" s="3" t="s">
        <v>35</v>
      </c>
      <c r="C34" s="3" t="s">
        <v>39</v>
      </c>
      <c r="D34" s="3" t="s">
        <v>42</v>
      </c>
      <c r="E34" s="3" t="s">
        <v>49</v>
      </c>
      <c r="F34" s="3" t="s">
        <v>51</v>
      </c>
      <c r="G34" s="3" t="s">
        <v>25</v>
      </c>
      <c r="H34" s="3" t="s">
        <v>38</v>
      </c>
      <c r="I34" s="6">
        <v>44621</v>
      </c>
      <c r="J34" s="4">
        <v>0</v>
      </c>
      <c r="K34" s="4">
        <v>0</v>
      </c>
      <c r="L34" s="4">
        <v>29.236000000000001</v>
      </c>
      <c r="M34" s="4">
        <v>8.7707999999999995</v>
      </c>
      <c r="N34" s="4">
        <v>29.236000000000001</v>
      </c>
      <c r="O34" s="4">
        <v>8.7707999999999995</v>
      </c>
      <c r="P34" s="4">
        <v>0</v>
      </c>
      <c r="Q34" s="3" t="s">
        <v>26</v>
      </c>
      <c r="R34" s="3">
        <v>0</v>
      </c>
      <c r="S34" s="3">
        <v>0</v>
      </c>
      <c r="T34" s="3">
        <v>3</v>
      </c>
      <c r="U34" s="3">
        <v>48</v>
      </c>
      <c r="V34" s="4">
        <f>IF(ISERROR(VLOOKUP($S$34,'TAR FIN'!$A$1:$O$86,15,0)),0,VLOOKUP($S$34,'TAR FIN'!$A$1:$O$86,15,0))</f>
        <v>0</v>
      </c>
      <c r="W34" s="4">
        <f>IF(ISERROR(VLOOKUP($T$34,'TAR FIN'!$A$1:$O$86,15,0)),0,VLOOKUP($T$34,'TAR FIN'!$A$1:$O$86,15,0))</f>
        <v>68.55</v>
      </c>
      <c r="X34" s="4">
        <f>IF(ISERROR(VLOOKUP($U$34,'TAR FIN'!$A$1:$O$86,15,0)),0,VLOOKUP($U$34,'TAR FIN'!$A$1:$O$86,15,0))</f>
        <v>211.54</v>
      </c>
      <c r="Y34" s="4"/>
      <c r="Z34" s="4">
        <f ca="1">('TUSD BE'!$AM$12+'TUSD BF'!$AM$12+'TUSD CVA'!$AM$12)*1</f>
        <v>96.693682586652571</v>
      </c>
      <c r="AA34" s="4">
        <f>('TE BE'!$AB$6+'TE BF'!$AB$6+'TE CVA'!$AB$6)*1</f>
        <v>196.56876174373542</v>
      </c>
      <c r="AB34" s="4">
        <f t="shared" si="0"/>
        <v>0</v>
      </c>
      <c r="AC34" s="4">
        <f t="shared" ref="AC34:AC37" si="6">(L34-M34)*W34+(N34-O34)*X34</f>
        <v>5732.0978680000007</v>
      </c>
      <c r="AD34" s="4">
        <f t="shared" si="2"/>
        <v>0</v>
      </c>
      <c r="AE34" s="4">
        <f t="shared" ref="AE34:AE37" ca="1" si="7">(L34-M34)*Z34+(N34-O34)*AA34</f>
        <v>6001.6745757102572</v>
      </c>
      <c r="AF34" s="3" t="s">
        <v>590</v>
      </c>
    </row>
    <row r="35" spans="1:32" ht="11.25" customHeight="1" x14ac:dyDescent="0.25">
      <c r="A35" s="3" t="s">
        <v>21</v>
      </c>
      <c r="B35" s="3" t="s">
        <v>35</v>
      </c>
      <c r="C35" s="3" t="s">
        <v>39</v>
      </c>
      <c r="D35" s="3" t="s">
        <v>42</v>
      </c>
      <c r="E35" s="3" t="s">
        <v>49</v>
      </c>
      <c r="F35" s="3" t="s">
        <v>51</v>
      </c>
      <c r="G35" s="3" t="s">
        <v>25</v>
      </c>
      <c r="H35" s="3" t="s">
        <v>38</v>
      </c>
      <c r="I35" s="6">
        <v>44652</v>
      </c>
      <c r="J35" s="4">
        <v>0</v>
      </c>
      <c r="K35" s="4">
        <v>0</v>
      </c>
      <c r="L35" s="4">
        <v>17.074000000000002</v>
      </c>
      <c r="M35" s="4">
        <v>5.1222000000000003</v>
      </c>
      <c r="N35" s="4">
        <v>17.074000000000002</v>
      </c>
      <c r="O35" s="4">
        <v>5.1222000000000003</v>
      </c>
      <c r="P35" s="4">
        <v>0</v>
      </c>
      <c r="Q35" s="3" t="s">
        <v>26</v>
      </c>
      <c r="R35" s="3">
        <v>0</v>
      </c>
      <c r="S35" s="3">
        <v>0</v>
      </c>
      <c r="T35" s="3">
        <v>3</v>
      </c>
      <c r="U35" s="3">
        <v>48</v>
      </c>
      <c r="V35" s="4">
        <f>IF(ISERROR(VLOOKUP($S$35,'TAR FIN'!$A$1:$O$86,15,0)),0,VLOOKUP($S$35,'TAR FIN'!$A$1:$O$86,15,0))</f>
        <v>0</v>
      </c>
      <c r="W35" s="4">
        <f>IF(ISERROR(VLOOKUP($T$35,'TAR FIN'!$A$1:$O$86,15,0)),0,VLOOKUP($T$35,'TAR FIN'!$A$1:$O$86,15,0))</f>
        <v>68.55</v>
      </c>
      <c r="X35" s="4">
        <f>IF(ISERROR(VLOOKUP($U$35,'TAR FIN'!$A$1:$O$86,15,0)),0,VLOOKUP($U$35,'TAR FIN'!$A$1:$O$86,15,0))</f>
        <v>211.54</v>
      </c>
      <c r="Y35" s="4"/>
      <c r="Z35" s="4">
        <f ca="1">('TUSD BE'!$AM$12+'TUSD BF'!$AM$12+'TUSD CVA'!$AM$12)*1</f>
        <v>96.693682586652571</v>
      </c>
      <c r="AA35" s="4">
        <f>('TE BE'!$AB$6+'TE BF'!$AB$6+'TE CVA'!$AB$6)*1</f>
        <v>196.56876174373542</v>
      </c>
      <c r="AB35" s="4">
        <f t="shared" si="0"/>
        <v>0</v>
      </c>
      <c r="AC35" s="4">
        <f t="shared" si="6"/>
        <v>3347.5796620000001</v>
      </c>
      <c r="AD35" s="4">
        <f t="shared" si="2"/>
        <v>0</v>
      </c>
      <c r="AE35" s="4">
        <f t="shared" ca="1" si="7"/>
        <v>3505.0140821479317</v>
      </c>
      <c r="AF35" s="3" t="s">
        <v>590</v>
      </c>
    </row>
    <row r="36" spans="1:32" ht="11.25" customHeight="1" x14ac:dyDescent="0.25">
      <c r="A36" s="3" t="s">
        <v>21</v>
      </c>
      <c r="B36" s="3" t="s">
        <v>35</v>
      </c>
      <c r="C36" s="3" t="s">
        <v>39</v>
      </c>
      <c r="D36" s="3" t="s">
        <v>42</v>
      </c>
      <c r="E36" s="3" t="s">
        <v>49</v>
      </c>
      <c r="F36" s="3" t="s">
        <v>51</v>
      </c>
      <c r="G36" s="3" t="s">
        <v>25</v>
      </c>
      <c r="H36" s="3" t="s">
        <v>38</v>
      </c>
      <c r="I36" s="6">
        <v>44682</v>
      </c>
      <c r="J36" s="4">
        <v>0</v>
      </c>
      <c r="K36" s="4">
        <v>0</v>
      </c>
      <c r="L36" s="4">
        <v>1.331</v>
      </c>
      <c r="M36" s="4">
        <v>0.39929999999999999</v>
      </c>
      <c r="N36" s="4">
        <v>1.331</v>
      </c>
      <c r="O36" s="4">
        <v>0.39929999999999999</v>
      </c>
      <c r="P36" s="4">
        <v>0</v>
      </c>
      <c r="Q36" s="3" t="s">
        <v>26</v>
      </c>
      <c r="R36" s="3">
        <v>0</v>
      </c>
      <c r="S36" s="3">
        <v>0</v>
      </c>
      <c r="T36" s="3">
        <v>3</v>
      </c>
      <c r="U36" s="3">
        <v>48</v>
      </c>
      <c r="V36" s="4">
        <f>IF(ISERROR(VLOOKUP($S$36,'TAR FIN'!$A$1:$O$86,15,0)),0,VLOOKUP($S$36,'TAR FIN'!$A$1:$O$86,15,0))</f>
        <v>0</v>
      </c>
      <c r="W36" s="4">
        <f>IF(ISERROR(VLOOKUP($T$36,'TAR FIN'!$A$1:$O$86,15,0)),0,VLOOKUP($T$36,'TAR FIN'!$A$1:$O$86,15,0))</f>
        <v>68.55</v>
      </c>
      <c r="X36" s="4">
        <f>IF(ISERROR(VLOOKUP($U$36,'TAR FIN'!$A$1:$O$86,15,0)),0,VLOOKUP($U$36,'TAR FIN'!$A$1:$O$86,15,0))</f>
        <v>211.54</v>
      </c>
      <c r="Y36" s="4"/>
      <c r="Z36" s="4">
        <f ca="1">('TUSD BE'!$AM$12+'TUSD BF'!$AM$12+'TUSD CVA'!$AM$12)*1</f>
        <v>96.693682586652571</v>
      </c>
      <c r="AA36" s="4">
        <f>('TE BE'!$AB$6+'TE BF'!$AB$6+'TE CVA'!$AB$6)*1</f>
        <v>196.56876174373542</v>
      </c>
      <c r="AB36" s="4">
        <f t="shared" si="0"/>
        <v>0</v>
      </c>
      <c r="AC36" s="4">
        <f t="shared" si="6"/>
        <v>260.95985300000001</v>
      </c>
      <c r="AD36" s="4">
        <f t="shared" si="2"/>
        <v>0</v>
      </c>
      <c r="AE36" s="4">
        <f t="shared" ca="1" si="7"/>
        <v>273.23261938262249</v>
      </c>
      <c r="AF36" s="3" t="s">
        <v>590</v>
      </c>
    </row>
    <row r="37" spans="1:32" ht="11.25" customHeight="1" x14ac:dyDescent="0.25">
      <c r="A37" s="3" t="s">
        <v>21</v>
      </c>
      <c r="B37" s="3" t="s">
        <v>35</v>
      </c>
      <c r="C37" s="3" t="s">
        <v>39</v>
      </c>
      <c r="D37" s="3" t="s">
        <v>42</v>
      </c>
      <c r="E37" s="3" t="s">
        <v>49</v>
      </c>
      <c r="F37" s="3" t="s">
        <v>51</v>
      </c>
      <c r="G37" s="3" t="s">
        <v>25</v>
      </c>
      <c r="H37" s="3" t="s">
        <v>38</v>
      </c>
      <c r="I37" s="6">
        <v>44713</v>
      </c>
      <c r="J37" s="4">
        <v>0</v>
      </c>
      <c r="K37" s="4">
        <v>0</v>
      </c>
      <c r="L37" s="4">
        <v>1.8080000000000001</v>
      </c>
      <c r="M37" s="4">
        <v>0.54239999999999999</v>
      </c>
      <c r="N37" s="4">
        <v>1.8080000000000001</v>
      </c>
      <c r="O37" s="4">
        <v>0.54239999999999999</v>
      </c>
      <c r="P37" s="4">
        <v>0</v>
      </c>
      <c r="Q37" s="3" t="s">
        <v>26</v>
      </c>
      <c r="R37" s="3">
        <v>0</v>
      </c>
      <c r="S37" s="3">
        <v>0</v>
      </c>
      <c r="T37" s="3">
        <v>3</v>
      </c>
      <c r="U37" s="3">
        <v>48</v>
      </c>
      <c r="V37" s="4">
        <f>IF(ISERROR(VLOOKUP($S$37,'TAR FIN'!$A$1:$O$86,15,0)),0,VLOOKUP($S$37,'TAR FIN'!$A$1:$O$86,15,0))</f>
        <v>0</v>
      </c>
      <c r="W37" s="4">
        <f>IF(ISERROR(VLOOKUP($T$37,'TAR FIN'!$A$1:$O$86,15,0)),0,VLOOKUP($T$37,'TAR FIN'!$A$1:$O$86,15,0))</f>
        <v>68.55</v>
      </c>
      <c r="X37" s="4">
        <f>IF(ISERROR(VLOOKUP($U$37,'TAR FIN'!$A$1:$O$86,15,0)),0,VLOOKUP($U$37,'TAR FIN'!$A$1:$O$86,15,0))</f>
        <v>211.54</v>
      </c>
      <c r="Y37" s="4"/>
      <c r="Z37" s="4">
        <f ca="1">('TUSD BE'!$AM$12+'TUSD BF'!$AM$12+'TUSD CVA'!$AM$12)*1</f>
        <v>96.693682586652571</v>
      </c>
      <c r="AA37" s="4">
        <f>('TE BE'!$AB$6+'TE BF'!$AB$6+'TE CVA'!$AB$6)*1</f>
        <v>196.56876174373542</v>
      </c>
      <c r="AB37" s="4">
        <f t="shared" si="0"/>
        <v>0</v>
      </c>
      <c r="AC37" s="4">
        <f t="shared" si="6"/>
        <v>354.48190399999999</v>
      </c>
      <c r="AD37" s="4">
        <f t="shared" si="2"/>
        <v>0</v>
      </c>
      <c r="AE37" s="4">
        <f t="shared" ca="1" si="7"/>
        <v>371.15294954453907</v>
      </c>
      <c r="AF37" s="3" t="s">
        <v>590</v>
      </c>
    </row>
    <row r="38" spans="1:32" ht="11.25" customHeight="1" x14ac:dyDescent="0.25">
      <c r="A38" s="3" t="s">
        <v>21</v>
      </c>
      <c r="B38" s="3" t="s">
        <v>35</v>
      </c>
      <c r="C38" s="3" t="s">
        <v>39</v>
      </c>
      <c r="D38" s="3" t="s">
        <v>42</v>
      </c>
      <c r="E38" s="3" t="s">
        <v>49</v>
      </c>
      <c r="F38" s="3" t="s">
        <v>25</v>
      </c>
      <c r="G38" s="3" t="s">
        <v>25</v>
      </c>
      <c r="H38" s="3" t="s">
        <v>38</v>
      </c>
      <c r="I38" s="6">
        <v>44378</v>
      </c>
      <c r="J38" s="4">
        <v>0</v>
      </c>
      <c r="K38" s="58">
        <v>0</v>
      </c>
      <c r="L38" s="4">
        <v>0.82499999999999996</v>
      </c>
      <c r="M38" s="58">
        <v>0.82499999999999996</v>
      </c>
      <c r="N38" s="4">
        <v>0.82499999999999996</v>
      </c>
      <c r="O38" s="58">
        <v>0.82499999999999996</v>
      </c>
      <c r="P38" s="4">
        <v>0</v>
      </c>
      <c r="Q38" s="3" t="s">
        <v>26</v>
      </c>
      <c r="R38" s="3">
        <v>0</v>
      </c>
      <c r="S38" s="3">
        <v>0</v>
      </c>
      <c r="T38" s="3">
        <v>3</v>
      </c>
      <c r="U38" s="3">
        <v>48</v>
      </c>
      <c r="V38" s="58">
        <f>IF(ISERROR(VLOOKUP($S$38,'TAR FIN'!$A$1:$O$86,15,0)),0,VLOOKUP($S$38,'TAR FIN'!$A$1:$O$86,15,0))</f>
        <v>0</v>
      </c>
      <c r="W38" s="58">
        <f>IF(ISERROR(VLOOKUP($T$38,'TAR FIN'!$A$1:$O$86,15,0)),0,VLOOKUP($T$38,'TAR FIN'!$A$1:$O$86,15,0))*(1-0.04)</f>
        <v>65.807999999999993</v>
      </c>
      <c r="X38" s="58">
        <f>IF(ISERROR(VLOOKUP($U$38,'TAR FIN'!$A$1:$O$86,15,0)),0,VLOOKUP($U$38,'TAR FIN'!$A$1:$O$86,15,0))*(1-0.04)</f>
        <v>203.07839999999999</v>
      </c>
      <c r="Y38" s="58"/>
      <c r="Z38" s="58">
        <f ca="1">('TUSD BE'!$AM$12+'TUSD BF'!$AM$12+'TUSD CVA'!$AM$12)*1*(1-0.02)</f>
        <v>94.759808934919519</v>
      </c>
      <c r="AA38" s="58">
        <f>('TE BE'!$AB$6+'TE BF'!$AB$6+'TE CVA'!$AB$6)*1*(1-0.02)</f>
        <v>192.63738650886071</v>
      </c>
      <c r="AB38" s="58">
        <f>(SUBSIDIO!$J$38*SUBSIDIO!$V$38)*(0.04)/(1-0.04)</f>
        <v>0</v>
      </c>
      <c r="AC38" s="58">
        <f>((SUBSIDIO!$L$38*SUBSIDIO!$W$38)+(SUBSIDIO!$N$38*SUBSIDIO!$X$38))*(0.04)/(1-0.04)</f>
        <v>9.2429699999999997</v>
      </c>
      <c r="AD38" s="58">
        <f>(SUBSIDIO!$J$38*SUBSIDIO!$Y$38)*(0.02)/(1-0.02)</f>
        <v>0</v>
      </c>
      <c r="AE38" s="58">
        <f ca="1">((SUBSIDIO!$L$38*SUBSIDIO!$Z$38)+(SUBSIDIO!$N$38*SUBSIDIO!$AA$38))*(0.02)/(1-0.02)</f>
        <v>4.8388303314514021</v>
      </c>
      <c r="AF38" s="3" t="s">
        <v>589</v>
      </c>
    </row>
    <row r="39" spans="1:32" ht="11.25" customHeight="1" x14ac:dyDescent="0.25">
      <c r="A39" s="3" t="s">
        <v>21</v>
      </c>
      <c r="B39" s="3" t="s">
        <v>35</v>
      </c>
      <c r="C39" s="3" t="s">
        <v>39</v>
      </c>
      <c r="D39" s="3" t="s">
        <v>42</v>
      </c>
      <c r="E39" s="3" t="s">
        <v>49</v>
      </c>
      <c r="F39" s="3" t="s">
        <v>25</v>
      </c>
      <c r="G39" s="3" t="s">
        <v>25</v>
      </c>
      <c r="H39" s="3" t="s">
        <v>38</v>
      </c>
      <c r="I39" s="6">
        <v>44409</v>
      </c>
      <c r="J39" s="4">
        <v>0</v>
      </c>
      <c r="K39" s="58">
        <v>0</v>
      </c>
      <c r="L39" s="4">
        <v>1.7729999999999999</v>
      </c>
      <c r="M39" s="58">
        <v>1.7729999999999999</v>
      </c>
      <c r="N39" s="4">
        <v>1.7729999999999999</v>
      </c>
      <c r="O39" s="58">
        <v>1.7729999999999999</v>
      </c>
      <c r="P39" s="4">
        <v>0</v>
      </c>
      <c r="Q39" s="3" t="s">
        <v>26</v>
      </c>
      <c r="R39" s="3">
        <v>0</v>
      </c>
      <c r="S39" s="3">
        <v>0</v>
      </c>
      <c r="T39" s="3">
        <v>3</v>
      </c>
      <c r="U39" s="3">
        <v>48</v>
      </c>
      <c r="V39" s="58">
        <f>IF(ISERROR(VLOOKUP($S$39,'TAR FIN'!$A$1:$O$86,15,0)),0,VLOOKUP($S$39,'TAR FIN'!$A$1:$O$86,15,0))</f>
        <v>0</v>
      </c>
      <c r="W39" s="58">
        <f>IF(ISERROR(VLOOKUP($T$39,'TAR FIN'!$A$1:$O$86,15,0)),0,VLOOKUP($T$39,'TAR FIN'!$A$1:$O$86,15,0))*(1-0.04)</f>
        <v>65.807999999999993</v>
      </c>
      <c r="X39" s="58">
        <f>IF(ISERROR(VLOOKUP($U$39,'TAR FIN'!$A$1:$O$86,15,0)),0,VLOOKUP($U$39,'TAR FIN'!$A$1:$O$86,15,0))*(1-0.04)</f>
        <v>203.07839999999999</v>
      </c>
      <c r="Y39" s="58"/>
      <c r="Z39" s="58">
        <f ca="1">('TUSD BE'!$AM$12+'TUSD BF'!$AM$12+'TUSD CVA'!$AM$12)*1*(1-0.02)</f>
        <v>94.759808934919519</v>
      </c>
      <c r="AA39" s="58">
        <f>('TE BE'!$AB$6+'TE BF'!$AB$6+'TE CVA'!$AB$6)*1*(1-0.02)</f>
        <v>192.63738650886071</v>
      </c>
      <c r="AB39" s="58">
        <f>(SUBSIDIO!$J$39*SUBSIDIO!$V$39)*(0.04)/(1-0.04)</f>
        <v>0</v>
      </c>
      <c r="AC39" s="58">
        <f>((SUBSIDIO!$L$39*SUBSIDIO!$W$39)+(SUBSIDIO!$N$39*SUBSIDIO!$X$39))*(0.04)/(1-0.04)</f>
        <v>19.863982799999999</v>
      </c>
      <c r="AD39" s="58">
        <f>(SUBSIDIO!$J$39*SUBSIDIO!$Y$39)*(0.02)/(1-0.02)</f>
        <v>0</v>
      </c>
      <c r="AE39" s="58">
        <f ca="1">((SUBSIDIO!$L$39*SUBSIDIO!$Z$39)+(SUBSIDIO!$N$39*SUBSIDIO!$AA$39))*(0.02)/(1-0.02)</f>
        <v>10.399086275955558</v>
      </c>
      <c r="AF39" s="3" t="s">
        <v>589</v>
      </c>
    </row>
    <row r="40" spans="1:32" ht="11.25" customHeight="1" x14ac:dyDescent="0.25">
      <c r="A40" s="3" t="s">
        <v>21</v>
      </c>
      <c r="B40" s="3" t="s">
        <v>35</v>
      </c>
      <c r="C40" s="3" t="s">
        <v>39</v>
      </c>
      <c r="D40" s="3" t="s">
        <v>42</v>
      </c>
      <c r="E40" s="3" t="s">
        <v>49</v>
      </c>
      <c r="F40" s="3" t="s">
        <v>25</v>
      </c>
      <c r="G40" s="3" t="s">
        <v>25</v>
      </c>
      <c r="H40" s="3" t="s">
        <v>38</v>
      </c>
      <c r="I40" s="6">
        <v>44440</v>
      </c>
      <c r="J40" s="4">
        <v>0</v>
      </c>
      <c r="K40" s="58">
        <v>0</v>
      </c>
      <c r="L40" s="4">
        <v>1.4330000000000001</v>
      </c>
      <c r="M40" s="58">
        <v>1.4330000000000001</v>
      </c>
      <c r="N40" s="4">
        <v>1.4330000000000001</v>
      </c>
      <c r="O40" s="58">
        <v>1.4330000000000001</v>
      </c>
      <c r="P40" s="4">
        <v>0</v>
      </c>
      <c r="Q40" s="3" t="s">
        <v>26</v>
      </c>
      <c r="R40" s="3">
        <v>0</v>
      </c>
      <c r="S40" s="3">
        <v>0</v>
      </c>
      <c r="T40" s="3">
        <v>3</v>
      </c>
      <c r="U40" s="3">
        <v>48</v>
      </c>
      <c r="V40" s="58">
        <f>IF(ISERROR(VLOOKUP($S$40,'TAR FIN'!$A$1:$O$86,15,0)),0,VLOOKUP($S$40,'TAR FIN'!$A$1:$O$86,15,0))</f>
        <v>0</v>
      </c>
      <c r="W40" s="58">
        <f>IF(ISERROR(VLOOKUP($T$40,'TAR FIN'!$A$1:$O$86,15,0)),0,VLOOKUP($T$40,'TAR FIN'!$A$1:$O$86,15,0))*(1-0.04)</f>
        <v>65.807999999999993</v>
      </c>
      <c r="X40" s="58">
        <f>IF(ISERROR(VLOOKUP($U$40,'TAR FIN'!$A$1:$O$86,15,0)),0,VLOOKUP($U$40,'TAR FIN'!$A$1:$O$86,15,0))*(1-0.04)</f>
        <v>203.07839999999999</v>
      </c>
      <c r="Y40" s="58"/>
      <c r="Z40" s="58">
        <f ca="1">('TUSD BE'!$AM$12+'TUSD BF'!$AM$12+'TUSD CVA'!$AM$12)*1*(1-0.02)</f>
        <v>94.759808934919519</v>
      </c>
      <c r="AA40" s="58">
        <f>('TE BE'!$AB$6+'TE BF'!$AB$6+'TE CVA'!$AB$6)*1*(1-0.02)</f>
        <v>192.63738650886071</v>
      </c>
      <c r="AB40" s="58">
        <f>(SUBSIDIO!$J$40*SUBSIDIO!$V$40)*(0.04)/(1-0.04)</f>
        <v>0</v>
      </c>
      <c r="AC40" s="58">
        <f>((SUBSIDIO!$L$40*SUBSIDIO!$W$40)+(SUBSIDIO!$N$40*SUBSIDIO!$X$40))*(0.04)/(1-0.04)</f>
        <v>16.054758800000002</v>
      </c>
      <c r="AD40" s="58">
        <f>(SUBSIDIO!$J$40*SUBSIDIO!$Y$40)*(0.02)/(1-0.02)</f>
        <v>0</v>
      </c>
      <c r="AE40" s="58">
        <f ca="1">((SUBSIDIO!$L$40*SUBSIDIO!$Z$40)+(SUBSIDIO!$N$40*SUBSIDIO!$AA$40))*(0.02)/(1-0.02)</f>
        <v>8.4049016545089206</v>
      </c>
      <c r="AF40" s="3" t="s">
        <v>589</v>
      </c>
    </row>
    <row r="41" spans="1:32" ht="11.25" customHeight="1" x14ac:dyDescent="0.25">
      <c r="A41" s="3" t="s">
        <v>21</v>
      </c>
      <c r="B41" s="3" t="s">
        <v>35</v>
      </c>
      <c r="C41" s="3" t="s">
        <v>39</v>
      </c>
      <c r="D41" s="3" t="s">
        <v>42</v>
      </c>
      <c r="E41" s="3" t="s">
        <v>49</v>
      </c>
      <c r="F41" s="3" t="s">
        <v>25</v>
      </c>
      <c r="G41" s="3" t="s">
        <v>25</v>
      </c>
      <c r="H41" s="3" t="s">
        <v>38</v>
      </c>
      <c r="I41" s="6">
        <v>44470</v>
      </c>
      <c r="J41" s="4">
        <v>0</v>
      </c>
      <c r="K41" s="58">
        <v>0</v>
      </c>
      <c r="L41" s="4">
        <v>4.4059999999999997</v>
      </c>
      <c r="M41" s="58">
        <v>4.4059999999999997</v>
      </c>
      <c r="N41" s="4">
        <v>4.4059999999999997</v>
      </c>
      <c r="O41" s="58">
        <v>4.4059999999999997</v>
      </c>
      <c r="P41" s="4">
        <v>0</v>
      </c>
      <c r="Q41" s="3" t="s">
        <v>26</v>
      </c>
      <c r="R41" s="3">
        <v>0</v>
      </c>
      <c r="S41" s="3">
        <v>0</v>
      </c>
      <c r="T41" s="3">
        <v>3</v>
      </c>
      <c r="U41" s="3">
        <v>48</v>
      </c>
      <c r="V41" s="58">
        <f>IF(ISERROR(VLOOKUP($S$41,'TAR FIN'!$A$1:$O$86,15,0)),0,VLOOKUP($S$41,'TAR FIN'!$A$1:$O$86,15,0))</f>
        <v>0</v>
      </c>
      <c r="W41" s="58">
        <f>IF(ISERROR(VLOOKUP($T$41,'TAR FIN'!$A$1:$O$86,15,0)),0,VLOOKUP($T$41,'TAR FIN'!$A$1:$O$86,15,0))*(1-0.04)</f>
        <v>65.807999999999993</v>
      </c>
      <c r="X41" s="58">
        <f>IF(ISERROR(VLOOKUP($U$41,'TAR FIN'!$A$1:$O$86,15,0)),0,VLOOKUP($U$41,'TAR FIN'!$A$1:$O$86,15,0))*(1-0.04)</f>
        <v>203.07839999999999</v>
      </c>
      <c r="Y41" s="58"/>
      <c r="Z41" s="58">
        <f ca="1">('TUSD BE'!$AM$12+'TUSD BF'!$AM$12+'TUSD CVA'!$AM$12)*1*(1-0.02)</f>
        <v>94.759808934919519</v>
      </c>
      <c r="AA41" s="58">
        <f>('TE BE'!$AB$6+'TE BF'!$AB$6+'TE CVA'!$AB$6)*1*(1-0.02)</f>
        <v>192.63738650886071</v>
      </c>
      <c r="AB41" s="58">
        <f>(SUBSIDIO!$J$41*SUBSIDIO!$V$41)*(0.04)/(1-0.04)</f>
        <v>0</v>
      </c>
      <c r="AC41" s="58">
        <f>((SUBSIDIO!$L$41*SUBSIDIO!$W$41)+(SUBSIDIO!$N$41*SUBSIDIO!$X$41))*(0.04)/(1-0.04)</f>
        <v>49.363061599999995</v>
      </c>
      <c r="AD41" s="58">
        <f>(SUBSIDIO!$J$41*SUBSIDIO!$Y$41)*(0.02)/(1-0.02)</f>
        <v>0</v>
      </c>
      <c r="AE41" s="58">
        <f ca="1">((SUBSIDIO!$L$41*SUBSIDIO!$Z$41)+(SUBSIDIO!$N$41*SUBSIDIO!$AA$41))*(0.02)/(1-0.02)</f>
        <v>25.842286594393787</v>
      </c>
      <c r="AF41" s="3" t="s">
        <v>589</v>
      </c>
    </row>
    <row r="42" spans="1:32" ht="11.25" customHeight="1" x14ac:dyDescent="0.25">
      <c r="A42" s="3" t="s">
        <v>21</v>
      </c>
      <c r="B42" s="3" t="s">
        <v>35</v>
      </c>
      <c r="C42" s="3" t="s">
        <v>39</v>
      </c>
      <c r="D42" s="3" t="s">
        <v>42</v>
      </c>
      <c r="E42" s="3" t="s">
        <v>49</v>
      </c>
      <c r="F42" s="3" t="s">
        <v>25</v>
      </c>
      <c r="G42" s="3" t="s">
        <v>25</v>
      </c>
      <c r="H42" s="3" t="s">
        <v>38</v>
      </c>
      <c r="I42" s="6">
        <v>44501</v>
      </c>
      <c r="J42" s="4">
        <v>0</v>
      </c>
      <c r="K42" s="58">
        <v>0</v>
      </c>
      <c r="L42" s="4">
        <v>122.294</v>
      </c>
      <c r="M42" s="58">
        <v>122.294</v>
      </c>
      <c r="N42" s="4">
        <v>122.294</v>
      </c>
      <c r="O42" s="58">
        <v>122.294</v>
      </c>
      <c r="P42" s="4">
        <v>0</v>
      </c>
      <c r="Q42" s="3" t="s">
        <v>26</v>
      </c>
      <c r="R42" s="3">
        <v>0</v>
      </c>
      <c r="S42" s="3">
        <v>0</v>
      </c>
      <c r="T42" s="3">
        <v>3</v>
      </c>
      <c r="U42" s="3">
        <v>48</v>
      </c>
      <c r="V42" s="58">
        <f>IF(ISERROR(VLOOKUP($S$42,'TAR FIN'!$A$1:$O$86,15,0)),0,VLOOKUP($S$42,'TAR FIN'!$A$1:$O$86,15,0))</f>
        <v>0</v>
      </c>
      <c r="W42" s="58">
        <f>IF(ISERROR(VLOOKUP($T$42,'TAR FIN'!$A$1:$O$86,15,0)),0,VLOOKUP($T$42,'TAR FIN'!$A$1:$O$86,15,0))*(1-0.04)</f>
        <v>65.807999999999993</v>
      </c>
      <c r="X42" s="58">
        <f>IF(ISERROR(VLOOKUP($U$42,'TAR FIN'!$A$1:$O$86,15,0)),0,VLOOKUP($U$42,'TAR FIN'!$A$1:$O$86,15,0))*(1-0.04)</f>
        <v>203.07839999999999</v>
      </c>
      <c r="Y42" s="58"/>
      <c r="Z42" s="58">
        <f ca="1">('TUSD BE'!$AM$12+'TUSD BF'!$AM$12+'TUSD CVA'!$AM$12)*1*(1-0.02)</f>
        <v>94.759808934919519</v>
      </c>
      <c r="AA42" s="58">
        <f>('TE BE'!$AB$6+'TE BF'!$AB$6+'TE CVA'!$AB$6)*1*(1-0.02)</f>
        <v>192.63738650886071</v>
      </c>
      <c r="AB42" s="58">
        <f>(SUBSIDIO!$J$42*SUBSIDIO!$V$42)*(0.04)/(1-0.04)</f>
        <v>0</v>
      </c>
      <c r="AC42" s="58">
        <f>((SUBSIDIO!$L$42*SUBSIDIO!$W$42)+(SUBSIDIO!$N$42*SUBSIDIO!$X$42))*(0.04)/(1-0.04)</f>
        <v>1370.1330583999998</v>
      </c>
      <c r="AD42" s="58">
        <f>(SUBSIDIO!$J$42*SUBSIDIO!$Y$42)*(0.02)/(1-0.02)</f>
        <v>0</v>
      </c>
      <c r="AE42" s="58">
        <f ca="1">((SUBSIDIO!$L$42*SUBSIDIO!$Z$42)+(SUBSIDIO!$N$42*SUBSIDIO!$AA$42))*(0.02)/(1-0.02)</f>
        <v>717.28474733880944</v>
      </c>
      <c r="AF42" s="3" t="s">
        <v>589</v>
      </c>
    </row>
    <row r="43" spans="1:32" ht="11.25" customHeight="1" x14ac:dyDescent="0.25">
      <c r="A43" s="3" t="s">
        <v>21</v>
      </c>
      <c r="B43" s="3" t="s">
        <v>35</v>
      </c>
      <c r="C43" s="3" t="s">
        <v>39</v>
      </c>
      <c r="D43" s="3" t="s">
        <v>42</v>
      </c>
      <c r="E43" s="3" t="s">
        <v>49</v>
      </c>
      <c r="F43" s="3" t="s">
        <v>25</v>
      </c>
      <c r="G43" s="3" t="s">
        <v>25</v>
      </c>
      <c r="H43" s="3" t="s">
        <v>38</v>
      </c>
      <c r="I43" s="6">
        <v>44531</v>
      </c>
      <c r="J43" s="4">
        <v>0</v>
      </c>
      <c r="K43" s="58">
        <v>0</v>
      </c>
      <c r="L43" s="4">
        <v>125.315</v>
      </c>
      <c r="M43" s="58">
        <v>125.315</v>
      </c>
      <c r="N43" s="4">
        <v>125.315</v>
      </c>
      <c r="O43" s="58">
        <v>125.315</v>
      </c>
      <c r="P43" s="4">
        <v>0</v>
      </c>
      <c r="Q43" s="3" t="s">
        <v>26</v>
      </c>
      <c r="R43" s="3">
        <v>0</v>
      </c>
      <c r="S43" s="3">
        <v>0</v>
      </c>
      <c r="T43" s="3">
        <v>3</v>
      </c>
      <c r="U43" s="3">
        <v>48</v>
      </c>
      <c r="V43" s="58">
        <f>IF(ISERROR(VLOOKUP($S$43,'TAR FIN'!$A$1:$O$86,15,0)),0,VLOOKUP($S$43,'TAR FIN'!$A$1:$O$86,15,0))</f>
        <v>0</v>
      </c>
      <c r="W43" s="58">
        <f>IF(ISERROR(VLOOKUP($T$43,'TAR FIN'!$A$1:$O$86,15,0)),0,VLOOKUP($T$43,'TAR FIN'!$A$1:$O$86,15,0))*(1-0.04)</f>
        <v>65.807999999999993</v>
      </c>
      <c r="X43" s="58">
        <f>IF(ISERROR(VLOOKUP($U$43,'TAR FIN'!$A$1:$O$86,15,0)),0,VLOOKUP($U$43,'TAR FIN'!$A$1:$O$86,15,0))*(1-0.04)</f>
        <v>203.07839999999999</v>
      </c>
      <c r="Y43" s="58"/>
      <c r="Z43" s="58">
        <f ca="1">('TUSD BE'!$AM$12+'TUSD BF'!$AM$12+'TUSD CVA'!$AM$12)*1*(1-0.02)</f>
        <v>94.759808934919519</v>
      </c>
      <c r="AA43" s="58">
        <f>('TE BE'!$AB$6+'TE BF'!$AB$6+'TE CVA'!$AB$6)*1*(1-0.02)</f>
        <v>192.63738650886071</v>
      </c>
      <c r="AB43" s="58">
        <f>(SUBSIDIO!$J$43*SUBSIDIO!$V$43)*(0.04)/(1-0.04)</f>
        <v>0</v>
      </c>
      <c r="AC43" s="58">
        <f>((SUBSIDIO!$L$43*SUBSIDIO!$W$43)+(SUBSIDIO!$N$43*SUBSIDIO!$X$43))*(0.04)/(1-0.04)</f>
        <v>1403.9791339999999</v>
      </c>
      <c r="AD43" s="58">
        <f>(SUBSIDIO!$J$43*SUBSIDIO!$Y$43)*(0.02)/(1-0.02)</f>
        <v>0</v>
      </c>
      <c r="AE43" s="58">
        <f ca="1">((SUBSIDIO!$L$43*SUBSIDIO!$Z$43)+(SUBSIDIO!$N$43*SUBSIDIO!$AA$43))*(0.02)/(1-0.02)</f>
        <v>735.00366422525144</v>
      </c>
      <c r="AF43" s="3" t="s">
        <v>589</v>
      </c>
    </row>
    <row r="44" spans="1:32" ht="11.25" customHeight="1" x14ac:dyDescent="0.25">
      <c r="A44" s="3" t="s">
        <v>21</v>
      </c>
      <c r="B44" s="3" t="s">
        <v>35</v>
      </c>
      <c r="C44" s="3" t="s">
        <v>39</v>
      </c>
      <c r="D44" s="3" t="s">
        <v>42</v>
      </c>
      <c r="E44" s="3" t="s">
        <v>49</v>
      </c>
      <c r="F44" s="3" t="s">
        <v>25</v>
      </c>
      <c r="G44" s="3" t="s">
        <v>25</v>
      </c>
      <c r="H44" s="3" t="s">
        <v>38</v>
      </c>
      <c r="I44" s="6">
        <v>44562</v>
      </c>
      <c r="J44" s="4">
        <v>0</v>
      </c>
      <c r="K44" s="58">
        <v>0</v>
      </c>
      <c r="L44" s="4">
        <v>24.373999999999999</v>
      </c>
      <c r="M44" s="58">
        <v>24.373999999999999</v>
      </c>
      <c r="N44" s="4">
        <v>24.373999999999999</v>
      </c>
      <c r="O44" s="58">
        <v>24.373999999999999</v>
      </c>
      <c r="P44" s="4">
        <v>0</v>
      </c>
      <c r="Q44" s="3" t="s">
        <v>26</v>
      </c>
      <c r="R44" s="3">
        <v>0</v>
      </c>
      <c r="S44" s="3">
        <v>0</v>
      </c>
      <c r="T44" s="3">
        <v>3</v>
      </c>
      <c r="U44" s="3">
        <v>48</v>
      </c>
      <c r="V44" s="58">
        <f>IF(ISERROR(VLOOKUP($S$44,'TAR FIN'!$A$1:$O$86,15,0)),0,VLOOKUP($S$44,'TAR FIN'!$A$1:$O$86,15,0))</f>
        <v>0</v>
      </c>
      <c r="W44" s="58">
        <f>IF(ISERROR(VLOOKUP($T$44,'TAR FIN'!$A$1:$O$86,15,0)),0,VLOOKUP($T$44,'TAR FIN'!$A$1:$O$86,15,0))*(1-0.04)</f>
        <v>65.807999999999993</v>
      </c>
      <c r="X44" s="58">
        <f>IF(ISERROR(VLOOKUP($U$44,'TAR FIN'!$A$1:$O$86,15,0)),0,VLOOKUP($U$44,'TAR FIN'!$A$1:$O$86,15,0))*(1-0.04)</f>
        <v>203.07839999999999</v>
      </c>
      <c r="Y44" s="58"/>
      <c r="Z44" s="58">
        <f ca="1">('TUSD BE'!$AM$12+'TUSD BF'!$AM$12+'TUSD CVA'!$AM$12)*1*(1-0.02)</f>
        <v>94.759808934919519</v>
      </c>
      <c r="AA44" s="58">
        <f>('TE BE'!$AB$6+'TE BF'!$AB$6+'TE CVA'!$AB$6)*1*(1-0.02)</f>
        <v>192.63738650886071</v>
      </c>
      <c r="AB44" s="58">
        <f>(SUBSIDIO!$J$44*SUBSIDIO!$V$44)*(0.04)/(1-0.04)</f>
        <v>0</v>
      </c>
      <c r="AC44" s="58">
        <f>((SUBSIDIO!$L$44*SUBSIDIO!$W$44)+(SUBSIDIO!$N$44*SUBSIDIO!$X$44))*(0.04)/(1-0.04)</f>
        <v>273.07654639999998</v>
      </c>
      <c r="AD44" s="58">
        <f>(SUBSIDIO!$J$44*SUBSIDIO!$Y$44)*(0.02)/(1-0.02)</f>
        <v>0</v>
      </c>
      <c r="AE44" s="58">
        <f ca="1">((SUBSIDIO!$L$44*SUBSIDIO!$Z$44)+(SUBSIDIO!$N$44*SUBSIDIO!$AA$44))*(0.02)/(1-0.02)</f>
        <v>142.95957636217756</v>
      </c>
      <c r="AF44" s="3" t="s">
        <v>589</v>
      </c>
    </row>
    <row r="45" spans="1:32" ht="11.25" customHeight="1" x14ac:dyDescent="0.25">
      <c r="A45" s="3" t="s">
        <v>21</v>
      </c>
      <c r="B45" s="3" t="s">
        <v>35</v>
      </c>
      <c r="C45" s="3" t="s">
        <v>39</v>
      </c>
      <c r="D45" s="3" t="s">
        <v>42</v>
      </c>
      <c r="E45" s="3" t="s">
        <v>49</v>
      </c>
      <c r="F45" s="3" t="s">
        <v>25</v>
      </c>
      <c r="G45" s="3" t="s">
        <v>25</v>
      </c>
      <c r="H45" s="3" t="s">
        <v>38</v>
      </c>
      <c r="I45" s="6">
        <v>44593</v>
      </c>
      <c r="J45" s="4">
        <v>0</v>
      </c>
      <c r="K45" s="58">
        <v>0</v>
      </c>
      <c r="L45" s="4">
        <v>24.561</v>
      </c>
      <c r="M45" s="58">
        <v>24.561</v>
      </c>
      <c r="N45" s="4">
        <v>24.561</v>
      </c>
      <c r="O45" s="58">
        <v>24.561</v>
      </c>
      <c r="P45" s="4">
        <v>0</v>
      </c>
      <c r="Q45" s="3" t="s">
        <v>26</v>
      </c>
      <c r="R45" s="3">
        <v>0</v>
      </c>
      <c r="S45" s="3">
        <v>0</v>
      </c>
      <c r="T45" s="3">
        <v>3</v>
      </c>
      <c r="U45" s="3">
        <v>48</v>
      </c>
      <c r="V45" s="58">
        <f>IF(ISERROR(VLOOKUP($S$45,'TAR FIN'!$A$1:$O$86,15,0)),0,VLOOKUP($S$45,'TAR FIN'!$A$1:$O$86,15,0))</f>
        <v>0</v>
      </c>
      <c r="W45" s="58">
        <f>IF(ISERROR(VLOOKUP($T$45,'TAR FIN'!$A$1:$O$86,15,0)),0,VLOOKUP($T$45,'TAR FIN'!$A$1:$O$86,15,0))*(1-0.04)</f>
        <v>65.807999999999993</v>
      </c>
      <c r="X45" s="58">
        <f>IF(ISERROR(VLOOKUP($U$45,'TAR FIN'!$A$1:$O$86,15,0)),0,VLOOKUP($U$45,'TAR FIN'!$A$1:$O$86,15,0))*(1-0.04)</f>
        <v>203.07839999999999</v>
      </c>
      <c r="Y45" s="58"/>
      <c r="Z45" s="58">
        <f ca="1">('TUSD BE'!$AM$12+'TUSD BF'!$AM$12+'TUSD CVA'!$AM$12)*1*(1-0.02)</f>
        <v>94.759808934919519</v>
      </c>
      <c r="AA45" s="58">
        <f>('TE BE'!$AB$6+'TE BF'!$AB$6+'TE CVA'!$AB$6)*1*(1-0.02)</f>
        <v>192.63738650886071</v>
      </c>
      <c r="AB45" s="58">
        <f>(SUBSIDIO!$J$45*SUBSIDIO!$V$45)*(0.04)/(1-0.04)</f>
        <v>0</v>
      </c>
      <c r="AC45" s="58">
        <f>((SUBSIDIO!$L$45*SUBSIDIO!$W$45)+(SUBSIDIO!$N$45*SUBSIDIO!$X$45))*(0.04)/(1-0.04)</f>
        <v>275.17161959999999</v>
      </c>
      <c r="AD45" s="58">
        <f>(SUBSIDIO!$J$45*SUBSIDIO!$Y$45)*(0.02)/(1-0.02)</f>
        <v>0</v>
      </c>
      <c r="AE45" s="58">
        <f ca="1">((SUBSIDIO!$L$45*SUBSIDIO!$Z$45)+(SUBSIDIO!$N$45*SUBSIDIO!$AA$45))*(0.02)/(1-0.02)</f>
        <v>144.05637790397321</v>
      </c>
      <c r="AF45" s="3" t="s">
        <v>589</v>
      </c>
    </row>
    <row r="46" spans="1:32" ht="11.25" customHeight="1" x14ac:dyDescent="0.25">
      <c r="A46" s="3" t="s">
        <v>21</v>
      </c>
      <c r="B46" s="3" t="s">
        <v>35</v>
      </c>
      <c r="C46" s="3" t="s">
        <v>39</v>
      </c>
      <c r="D46" s="3" t="s">
        <v>42</v>
      </c>
      <c r="E46" s="3" t="s">
        <v>49</v>
      </c>
      <c r="F46" s="3" t="s">
        <v>25</v>
      </c>
      <c r="G46" s="3" t="s">
        <v>25</v>
      </c>
      <c r="H46" s="3" t="s">
        <v>38</v>
      </c>
      <c r="I46" s="6">
        <v>44621</v>
      </c>
      <c r="J46" s="4">
        <v>0</v>
      </c>
      <c r="K46" s="58">
        <v>0</v>
      </c>
      <c r="L46" s="4">
        <v>10.833</v>
      </c>
      <c r="M46" s="58">
        <v>10.833</v>
      </c>
      <c r="N46" s="4">
        <v>10.833</v>
      </c>
      <c r="O46" s="58">
        <v>10.833</v>
      </c>
      <c r="P46" s="4">
        <v>0</v>
      </c>
      <c r="Q46" s="3" t="s">
        <v>26</v>
      </c>
      <c r="R46" s="3">
        <v>0</v>
      </c>
      <c r="S46" s="3">
        <v>0</v>
      </c>
      <c r="T46" s="3">
        <v>3</v>
      </c>
      <c r="U46" s="3">
        <v>48</v>
      </c>
      <c r="V46" s="58">
        <f>IF(ISERROR(VLOOKUP($S$46,'TAR FIN'!$A$1:$O$86,15,0)),0,VLOOKUP($S$46,'TAR FIN'!$A$1:$O$86,15,0))</f>
        <v>0</v>
      </c>
      <c r="W46" s="58">
        <f>IF(ISERROR(VLOOKUP($T$46,'TAR FIN'!$A$1:$O$86,15,0)),0,VLOOKUP($T$46,'TAR FIN'!$A$1:$O$86,15,0))*(1-0.04)</f>
        <v>65.807999999999993</v>
      </c>
      <c r="X46" s="58">
        <f>IF(ISERROR(VLOOKUP($U$46,'TAR FIN'!$A$1:$O$86,15,0)),0,VLOOKUP($U$46,'TAR FIN'!$A$1:$O$86,15,0))*(1-0.04)</f>
        <v>203.07839999999999</v>
      </c>
      <c r="Y46" s="58"/>
      <c r="Z46" s="58">
        <f ca="1">('TUSD BE'!$AM$12+'TUSD BF'!$AM$12+'TUSD CVA'!$AM$12)*1*(1-0.02)</f>
        <v>94.759808934919519</v>
      </c>
      <c r="AA46" s="58">
        <f>('TE BE'!$AB$6+'TE BF'!$AB$6+'TE CVA'!$AB$6)*1*(1-0.02)</f>
        <v>192.63738650886071</v>
      </c>
      <c r="AB46" s="58">
        <f>(SUBSIDIO!$J$46*SUBSIDIO!$V$46)*(0.04)/(1-0.04)</f>
        <v>0</v>
      </c>
      <c r="AC46" s="58">
        <f>((SUBSIDIO!$L$46*SUBSIDIO!$W$46)+(SUBSIDIO!$N$46*SUBSIDIO!$X$46))*(0.04)/(1-0.04)</f>
        <v>121.3685988</v>
      </c>
      <c r="AD46" s="58">
        <f>(SUBSIDIO!$J$46*SUBSIDIO!$Y$46)*(0.02)/(1-0.02)</f>
        <v>0</v>
      </c>
      <c r="AE46" s="58">
        <f ca="1">((SUBSIDIO!$L$46*SUBSIDIO!$Z$46)+(SUBSIDIO!$N$46*SUBSIDIO!$AA$46))*(0.02)/(1-0.02)</f>
        <v>63.538241188621868</v>
      </c>
      <c r="AF46" s="3" t="s">
        <v>589</v>
      </c>
    </row>
    <row r="47" spans="1:32" ht="11.25" customHeight="1" x14ac:dyDescent="0.25">
      <c r="A47" s="3" t="s">
        <v>21</v>
      </c>
      <c r="B47" s="3" t="s">
        <v>35</v>
      </c>
      <c r="C47" s="3" t="s">
        <v>39</v>
      </c>
      <c r="D47" s="3" t="s">
        <v>42</v>
      </c>
      <c r="E47" s="3" t="s">
        <v>49</v>
      </c>
      <c r="F47" s="3" t="s">
        <v>25</v>
      </c>
      <c r="G47" s="3" t="s">
        <v>25</v>
      </c>
      <c r="H47" s="3" t="s">
        <v>38</v>
      </c>
      <c r="I47" s="6">
        <v>44652</v>
      </c>
      <c r="J47" s="4">
        <v>0</v>
      </c>
      <c r="K47" s="58">
        <v>0</v>
      </c>
      <c r="L47" s="4">
        <v>9.4120000000000008</v>
      </c>
      <c r="M47" s="58">
        <v>9.4120000000000008</v>
      </c>
      <c r="N47" s="4">
        <v>9.4120000000000008</v>
      </c>
      <c r="O47" s="58">
        <v>9.4120000000000008</v>
      </c>
      <c r="P47" s="4">
        <v>0</v>
      </c>
      <c r="Q47" s="3" t="s">
        <v>26</v>
      </c>
      <c r="R47" s="3">
        <v>0</v>
      </c>
      <c r="S47" s="3">
        <v>0</v>
      </c>
      <c r="T47" s="3">
        <v>3</v>
      </c>
      <c r="U47" s="3">
        <v>48</v>
      </c>
      <c r="V47" s="58">
        <f>IF(ISERROR(VLOOKUP($S$47,'TAR FIN'!$A$1:$O$86,15,0)),0,VLOOKUP($S$47,'TAR FIN'!$A$1:$O$86,15,0))</f>
        <v>0</v>
      </c>
      <c r="W47" s="58">
        <f>IF(ISERROR(VLOOKUP($T$47,'TAR FIN'!$A$1:$O$86,15,0)),0,VLOOKUP($T$47,'TAR FIN'!$A$1:$O$86,15,0))*(1-0.04)</f>
        <v>65.807999999999993</v>
      </c>
      <c r="X47" s="58">
        <f>IF(ISERROR(VLOOKUP($U$47,'TAR FIN'!$A$1:$O$86,15,0)),0,VLOOKUP($U$47,'TAR FIN'!$A$1:$O$86,15,0))*(1-0.04)</f>
        <v>203.07839999999999</v>
      </c>
      <c r="Y47" s="58"/>
      <c r="Z47" s="58">
        <f ca="1">('TUSD BE'!$AM$12+'TUSD BF'!$AM$12+'TUSD CVA'!$AM$12)*1*(1-0.02)</f>
        <v>94.759808934919519</v>
      </c>
      <c r="AA47" s="58">
        <f>('TE BE'!$AB$6+'TE BF'!$AB$6+'TE CVA'!$AB$6)*1*(1-0.02)</f>
        <v>192.63738650886071</v>
      </c>
      <c r="AB47" s="58">
        <f>(SUBSIDIO!$J$47*SUBSIDIO!$V$47)*(0.04)/(1-0.04)</f>
        <v>0</v>
      </c>
      <c r="AC47" s="58">
        <f>((SUBSIDIO!$L$47*SUBSIDIO!$W$47)+(SUBSIDIO!$N$47*SUBSIDIO!$X$47))*(0.04)/(1-0.04)</f>
        <v>105.44828320000001</v>
      </c>
      <c r="AD47" s="58">
        <f>(SUBSIDIO!$J$47*SUBSIDIO!$Y$47)*(0.02)/(1-0.02)</f>
        <v>0</v>
      </c>
      <c r="AE47" s="58">
        <f ca="1">((SUBSIDIO!$L$47*SUBSIDIO!$Z$47)+(SUBSIDIO!$N$47*SUBSIDIO!$AA$47))*(0.02)/(1-0.02)</f>
        <v>55.203722520752244</v>
      </c>
      <c r="AF47" s="3" t="s">
        <v>589</v>
      </c>
    </row>
    <row r="48" spans="1:32" ht="11.25" customHeight="1" x14ac:dyDescent="0.25">
      <c r="A48" s="3" t="s">
        <v>21</v>
      </c>
      <c r="B48" s="3" t="s">
        <v>35</v>
      </c>
      <c r="C48" s="3" t="s">
        <v>39</v>
      </c>
      <c r="D48" s="3" t="s">
        <v>42</v>
      </c>
      <c r="E48" s="3" t="s">
        <v>49</v>
      </c>
      <c r="F48" s="3" t="s">
        <v>25</v>
      </c>
      <c r="G48" s="3" t="s">
        <v>25</v>
      </c>
      <c r="H48" s="3" t="s">
        <v>38</v>
      </c>
      <c r="I48" s="6">
        <v>44682</v>
      </c>
      <c r="J48" s="4">
        <v>0</v>
      </c>
      <c r="K48" s="58">
        <v>0</v>
      </c>
      <c r="L48" s="4">
        <v>3.2890000000000001</v>
      </c>
      <c r="M48" s="58">
        <v>3.2890000000000001</v>
      </c>
      <c r="N48" s="4">
        <v>3.2890000000000001</v>
      </c>
      <c r="O48" s="58">
        <v>3.2890000000000001</v>
      </c>
      <c r="P48" s="4">
        <v>0</v>
      </c>
      <c r="Q48" s="3" t="s">
        <v>26</v>
      </c>
      <c r="R48" s="3">
        <v>0</v>
      </c>
      <c r="S48" s="3">
        <v>0</v>
      </c>
      <c r="T48" s="3">
        <v>3</v>
      </c>
      <c r="U48" s="3">
        <v>48</v>
      </c>
      <c r="V48" s="58">
        <f>IF(ISERROR(VLOOKUP($S$48,'TAR FIN'!$A$1:$O$86,15,0)),0,VLOOKUP($S$48,'TAR FIN'!$A$1:$O$86,15,0))</f>
        <v>0</v>
      </c>
      <c r="W48" s="58">
        <f>IF(ISERROR(VLOOKUP($T$48,'TAR FIN'!$A$1:$O$86,15,0)),0,VLOOKUP($T$48,'TAR FIN'!$A$1:$O$86,15,0))*(1-0.04)</f>
        <v>65.807999999999993</v>
      </c>
      <c r="X48" s="58">
        <f>IF(ISERROR(VLOOKUP($U$48,'TAR FIN'!$A$1:$O$86,15,0)),0,VLOOKUP($U$48,'TAR FIN'!$A$1:$O$86,15,0))*(1-0.04)</f>
        <v>203.07839999999999</v>
      </c>
      <c r="Y48" s="58"/>
      <c r="Z48" s="58">
        <f ca="1">('TUSD BE'!$AM$12+'TUSD BF'!$AM$12+'TUSD CVA'!$AM$12)*1*(1-0.02)</f>
        <v>94.759808934919519</v>
      </c>
      <c r="AA48" s="58">
        <f>('TE BE'!$AB$6+'TE BF'!$AB$6+'TE CVA'!$AB$6)*1*(1-0.02)</f>
        <v>192.63738650886071</v>
      </c>
      <c r="AB48" s="58">
        <f>(SUBSIDIO!$J$48*SUBSIDIO!$V$48)*(0.04)/(1-0.04)</f>
        <v>0</v>
      </c>
      <c r="AC48" s="58">
        <f>((SUBSIDIO!$L$48*SUBSIDIO!$W$48)+(SUBSIDIO!$N$48*SUBSIDIO!$X$48))*(0.04)/(1-0.04)</f>
        <v>36.848640400000001</v>
      </c>
      <c r="AD48" s="58">
        <f>(SUBSIDIO!$J$48*SUBSIDIO!$Y$48)*(0.02)/(1-0.02)</f>
        <v>0</v>
      </c>
      <c r="AE48" s="58">
        <f ca="1">((SUBSIDIO!$L$48*SUBSIDIO!$Z$48)+(SUBSIDIO!$N$48*SUBSIDIO!$AA$48))*(0.02)/(1-0.02)</f>
        <v>19.290803588052924</v>
      </c>
      <c r="AF48" s="3" t="s">
        <v>589</v>
      </c>
    </row>
    <row r="49" spans="1:32" ht="11.25" customHeight="1" x14ac:dyDescent="0.25">
      <c r="A49" s="3" t="s">
        <v>21</v>
      </c>
      <c r="B49" s="3" t="s">
        <v>35</v>
      </c>
      <c r="C49" s="3" t="s">
        <v>39</v>
      </c>
      <c r="D49" s="3" t="s">
        <v>42</v>
      </c>
      <c r="E49" s="3" t="s">
        <v>49</v>
      </c>
      <c r="F49" s="3" t="s">
        <v>25</v>
      </c>
      <c r="G49" s="3" t="s">
        <v>25</v>
      </c>
      <c r="H49" s="3" t="s">
        <v>38</v>
      </c>
      <c r="I49" s="6">
        <v>44713</v>
      </c>
      <c r="J49" s="4">
        <v>0</v>
      </c>
      <c r="K49" s="58">
        <v>0</v>
      </c>
      <c r="L49" s="4">
        <v>4.3490000000000002</v>
      </c>
      <c r="M49" s="58">
        <v>4.3490000000000002</v>
      </c>
      <c r="N49" s="4">
        <v>4.3490000000000002</v>
      </c>
      <c r="O49" s="58">
        <v>4.3490000000000002</v>
      </c>
      <c r="P49" s="4">
        <v>0</v>
      </c>
      <c r="Q49" s="3" t="s">
        <v>26</v>
      </c>
      <c r="R49" s="3">
        <v>0</v>
      </c>
      <c r="S49" s="3">
        <v>0</v>
      </c>
      <c r="T49" s="3">
        <v>3</v>
      </c>
      <c r="U49" s="3">
        <v>48</v>
      </c>
      <c r="V49" s="58">
        <f>IF(ISERROR(VLOOKUP($S$49,'TAR FIN'!$A$1:$O$86,15,0)),0,VLOOKUP($S$49,'TAR FIN'!$A$1:$O$86,15,0))</f>
        <v>0</v>
      </c>
      <c r="W49" s="58">
        <f>IF(ISERROR(VLOOKUP($T$49,'TAR FIN'!$A$1:$O$86,15,0)),0,VLOOKUP($T$49,'TAR FIN'!$A$1:$O$86,15,0))*(1-0.04)</f>
        <v>65.807999999999993</v>
      </c>
      <c r="X49" s="58">
        <f>IF(ISERROR(VLOOKUP($U$49,'TAR FIN'!$A$1:$O$86,15,0)),0,VLOOKUP($U$49,'TAR FIN'!$A$1:$O$86,15,0))*(1-0.04)</f>
        <v>203.07839999999999</v>
      </c>
      <c r="Y49" s="58"/>
      <c r="Z49" s="58">
        <f ca="1">('TUSD BE'!$AM$12+'TUSD BF'!$AM$12+'TUSD CVA'!$AM$12)*1*(1-0.02)</f>
        <v>94.759808934919519</v>
      </c>
      <c r="AA49" s="58">
        <f>('TE BE'!$AB$6+'TE BF'!$AB$6+'TE CVA'!$AB$6)*1*(1-0.02)</f>
        <v>192.63738650886071</v>
      </c>
      <c r="AB49" s="58">
        <f>(SUBSIDIO!$J$49*SUBSIDIO!$V$49)*(0.04)/(1-0.04)</f>
        <v>0</v>
      </c>
      <c r="AC49" s="58">
        <f>((SUBSIDIO!$L$49*SUBSIDIO!$W$49)+(SUBSIDIO!$N$49*SUBSIDIO!$X$49))*(0.04)/(1-0.04)</f>
        <v>48.724456400000001</v>
      </c>
      <c r="AD49" s="58">
        <f>(SUBSIDIO!$J$49*SUBSIDIO!$Y$49)*(0.02)/(1-0.02)</f>
        <v>0</v>
      </c>
      <c r="AE49" s="58">
        <f ca="1">((SUBSIDIO!$L$49*SUBSIDIO!$Z$49)+(SUBSIDIO!$N$49*SUBSIDIO!$AA$49))*(0.02)/(1-0.02)</f>
        <v>25.507967407857148</v>
      </c>
      <c r="AF49" s="3" t="s">
        <v>589</v>
      </c>
    </row>
    <row r="50" spans="1:32" ht="11.25" customHeight="1" x14ac:dyDescent="0.25">
      <c r="A50" s="3" t="s">
        <v>21</v>
      </c>
      <c r="B50" s="3" t="s">
        <v>35</v>
      </c>
      <c r="C50" s="3" t="s">
        <v>39</v>
      </c>
      <c r="D50" s="3" t="s">
        <v>42</v>
      </c>
      <c r="E50" s="3" t="s">
        <v>49</v>
      </c>
      <c r="F50" s="3" t="s">
        <v>25</v>
      </c>
      <c r="G50" s="3" t="s">
        <v>25</v>
      </c>
      <c r="H50" s="3" t="s">
        <v>25</v>
      </c>
      <c r="I50" s="6">
        <v>44378</v>
      </c>
      <c r="J50" s="4">
        <v>234</v>
      </c>
      <c r="K50" s="58">
        <v>234</v>
      </c>
      <c r="L50" s="4">
        <v>0</v>
      </c>
      <c r="M50" s="58">
        <v>0</v>
      </c>
      <c r="N50" s="4">
        <v>0</v>
      </c>
      <c r="O50" s="58">
        <v>0</v>
      </c>
      <c r="P50" s="4">
        <v>3</v>
      </c>
      <c r="Q50" s="3" t="s">
        <v>26</v>
      </c>
      <c r="R50" s="3">
        <v>0</v>
      </c>
      <c r="S50" s="3">
        <v>31</v>
      </c>
      <c r="T50" s="3">
        <v>0</v>
      </c>
      <c r="U50" s="3">
        <v>0</v>
      </c>
      <c r="V50" s="58">
        <f>IF(ISERROR(VLOOKUP($S$50,'TAR FIN'!$A$1:$O$86,15,0)),0,VLOOKUP($S$50,'TAR FIN'!$A$1:$O$86,15,0))*(1-0.04)</f>
        <v>36.979199999999999</v>
      </c>
      <c r="W50" s="58">
        <f>IF(ISERROR(VLOOKUP($T$50,'TAR FIN'!$A$1:$O$86,15,0)),0,VLOOKUP($T$50,'TAR FIN'!$A$1:$O$86,15,0))</f>
        <v>0</v>
      </c>
      <c r="X50" s="58">
        <f>IF(ISERROR(VLOOKUP($U$50,'TAR FIN'!$A$1:$O$86,15,0)),0,VLOOKUP($U$50,'TAR FIN'!$A$1:$O$86,15,0))</f>
        <v>0</v>
      </c>
      <c r="Y50" s="58">
        <f ca="1">('TUSD BE'!$AM$10+'TUSD BF'!$AM$10+'TUSD CVA'!$AM$10)*1*(1-0.02)</f>
        <v>43.370109275458091</v>
      </c>
      <c r="Z50" s="58"/>
      <c r="AA50" s="58"/>
      <c r="AB50" s="58">
        <f>(SUBSIDIO!$J$50*SUBSIDIO!$V$50)*(0.04)/(1-0.04)</f>
        <v>360.54720000000003</v>
      </c>
      <c r="AC50" s="58">
        <f>((SUBSIDIO!$L$50*SUBSIDIO!$W$50)+(SUBSIDIO!$N$50*SUBSIDIO!$X$50))*(0.04)/(1-0.04)</f>
        <v>0</v>
      </c>
      <c r="AD50" s="58">
        <f ca="1">(SUBSIDIO!$J$50*SUBSIDIO!$Y$50)*(0.02)/(1-0.02)</f>
        <v>207.11439939708561</v>
      </c>
      <c r="AE50" s="58">
        <f>((SUBSIDIO!$L$50*SUBSIDIO!$Z$50)+(SUBSIDIO!$N$50*SUBSIDIO!$AA$50))*(0.02)/(1-0.02)</f>
        <v>0</v>
      </c>
      <c r="AF50" s="3" t="s">
        <v>589</v>
      </c>
    </row>
    <row r="51" spans="1:32" ht="11.25" customHeight="1" x14ac:dyDescent="0.25">
      <c r="A51" s="3" t="s">
        <v>21</v>
      </c>
      <c r="B51" s="3" t="s">
        <v>35</v>
      </c>
      <c r="C51" s="3" t="s">
        <v>39</v>
      </c>
      <c r="D51" s="3" t="s">
        <v>42</v>
      </c>
      <c r="E51" s="3" t="s">
        <v>49</v>
      </c>
      <c r="F51" s="3" t="s">
        <v>25</v>
      </c>
      <c r="G51" s="3" t="s">
        <v>25</v>
      </c>
      <c r="H51" s="3" t="s">
        <v>25</v>
      </c>
      <c r="I51" s="6">
        <v>44409</v>
      </c>
      <c r="J51" s="4">
        <v>363</v>
      </c>
      <c r="K51" s="58">
        <v>363</v>
      </c>
      <c r="L51" s="4">
        <v>0</v>
      </c>
      <c r="M51" s="58">
        <v>0</v>
      </c>
      <c r="N51" s="4">
        <v>0</v>
      </c>
      <c r="O51" s="58">
        <v>0</v>
      </c>
      <c r="P51" s="4">
        <v>3</v>
      </c>
      <c r="Q51" s="3" t="s">
        <v>26</v>
      </c>
      <c r="R51" s="3">
        <v>0</v>
      </c>
      <c r="S51" s="3">
        <v>31</v>
      </c>
      <c r="T51" s="3">
        <v>0</v>
      </c>
      <c r="U51" s="3">
        <v>0</v>
      </c>
      <c r="V51" s="58">
        <f>IF(ISERROR(VLOOKUP($S$51,'TAR FIN'!$A$1:$O$86,15,0)),0,VLOOKUP($S$51,'TAR FIN'!$A$1:$O$86,15,0))*(1-0.04)</f>
        <v>36.979199999999999</v>
      </c>
      <c r="W51" s="58">
        <f>IF(ISERROR(VLOOKUP($T$51,'TAR FIN'!$A$1:$O$86,15,0)),0,VLOOKUP($T$51,'TAR FIN'!$A$1:$O$86,15,0))</f>
        <v>0</v>
      </c>
      <c r="X51" s="58">
        <f>IF(ISERROR(VLOOKUP($U$51,'TAR FIN'!$A$1:$O$86,15,0)),0,VLOOKUP($U$51,'TAR FIN'!$A$1:$O$86,15,0))</f>
        <v>0</v>
      </c>
      <c r="Y51" s="58">
        <f ca="1">('TUSD BE'!$AM$10+'TUSD BF'!$AM$10+'TUSD CVA'!$AM$10)*1*(1-0.02)</f>
        <v>43.370109275458091</v>
      </c>
      <c r="Z51" s="58"/>
      <c r="AA51" s="58"/>
      <c r="AB51" s="58">
        <f>(SUBSIDIO!$J$51*SUBSIDIO!$V$51)*(0.04)/(1-0.04)</f>
        <v>559.31040000000007</v>
      </c>
      <c r="AC51" s="58">
        <f>((SUBSIDIO!$L$51*SUBSIDIO!$W$51)+(SUBSIDIO!$N$51*SUBSIDIO!$X$51))*(0.04)/(1-0.04)</f>
        <v>0</v>
      </c>
      <c r="AD51" s="58">
        <f ca="1">(SUBSIDIO!$J$51*SUBSIDIO!$Y$51)*(0.02)/(1-0.02)</f>
        <v>321.29285034676099</v>
      </c>
      <c r="AE51" s="58">
        <f>((SUBSIDIO!$L$51*SUBSIDIO!$Z$51)+(SUBSIDIO!$N$51*SUBSIDIO!$AA$51))*(0.02)/(1-0.02)</f>
        <v>0</v>
      </c>
      <c r="AF51" s="3" t="s">
        <v>589</v>
      </c>
    </row>
    <row r="52" spans="1:32" ht="11.25" customHeight="1" x14ac:dyDescent="0.25">
      <c r="A52" s="3" t="s">
        <v>21</v>
      </c>
      <c r="B52" s="3" t="s">
        <v>35</v>
      </c>
      <c r="C52" s="3" t="s">
        <v>39</v>
      </c>
      <c r="D52" s="3" t="s">
        <v>42</v>
      </c>
      <c r="E52" s="3" t="s">
        <v>49</v>
      </c>
      <c r="F52" s="3" t="s">
        <v>25</v>
      </c>
      <c r="G52" s="3" t="s">
        <v>25</v>
      </c>
      <c r="H52" s="3" t="s">
        <v>25</v>
      </c>
      <c r="I52" s="6">
        <v>44440</v>
      </c>
      <c r="J52" s="4">
        <v>705</v>
      </c>
      <c r="K52" s="58">
        <v>705</v>
      </c>
      <c r="L52" s="4">
        <v>0</v>
      </c>
      <c r="M52" s="58">
        <v>0</v>
      </c>
      <c r="N52" s="4">
        <v>0</v>
      </c>
      <c r="O52" s="58">
        <v>0</v>
      </c>
      <c r="P52" s="4">
        <v>3</v>
      </c>
      <c r="Q52" s="3" t="s">
        <v>26</v>
      </c>
      <c r="R52" s="3">
        <v>0</v>
      </c>
      <c r="S52" s="3">
        <v>31</v>
      </c>
      <c r="T52" s="3">
        <v>0</v>
      </c>
      <c r="U52" s="3">
        <v>0</v>
      </c>
      <c r="V52" s="58">
        <f>IF(ISERROR(VLOOKUP($S$52,'TAR FIN'!$A$1:$O$86,15,0)),0,VLOOKUP($S$52,'TAR FIN'!$A$1:$O$86,15,0))*(1-0.04)</f>
        <v>36.979199999999999</v>
      </c>
      <c r="W52" s="58">
        <f>IF(ISERROR(VLOOKUP($T$52,'TAR FIN'!$A$1:$O$86,15,0)),0,VLOOKUP($T$52,'TAR FIN'!$A$1:$O$86,15,0))</f>
        <v>0</v>
      </c>
      <c r="X52" s="58">
        <f>IF(ISERROR(VLOOKUP($U$52,'TAR FIN'!$A$1:$O$86,15,0)),0,VLOOKUP($U$52,'TAR FIN'!$A$1:$O$86,15,0))</f>
        <v>0</v>
      </c>
      <c r="Y52" s="58">
        <f ca="1">('TUSD BE'!$AM$10+'TUSD BF'!$AM$10+'TUSD CVA'!$AM$10)*1*(1-0.02)</f>
        <v>43.370109275458091</v>
      </c>
      <c r="Z52" s="58"/>
      <c r="AA52" s="58"/>
      <c r="AB52" s="58">
        <f>(SUBSIDIO!$J$52*SUBSIDIO!$V$52)*(0.04)/(1-0.04)</f>
        <v>1086.2639999999999</v>
      </c>
      <c r="AC52" s="58">
        <f>((SUBSIDIO!$L$52*SUBSIDIO!$W$52)+(SUBSIDIO!$N$52*SUBSIDIO!$X$52))*(0.04)/(1-0.04)</f>
        <v>0</v>
      </c>
      <c r="AD52" s="58">
        <f ca="1">(SUBSIDIO!$J$52*SUBSIDIO!$Y$52)*(0.02)/(1-0.02)</f>
        <v>623.99851100403987</v>
      </c>
      <c r="AE52" s="58">
        <f>((SUBSIDIO!$L$52*SUBSIDIO!$Z$52)+(SUBSIDIO!$N$52*SUBSIDIO!$AA$52))*(0.02)/(1-0.02)</f>
        <v>0</v>
      </c>
      <c r="AF52" s="3" t="s">
        <v>589</v>
      </c>
    </row>
    <row r="53" spans="1:32" ht="11.25" customHeight="1" x14ac:dyDescent="0.25">
      <c r="A53" s="3" t="s">
        <v>21</v>
      </c>
      <c r="B53" s="3" t="s">
        <v>35</v>
      </c>
      <c r="C53" s="3" t="s">
        <v>39</v>
      </c>
      <c r="D53" s="3" t="s">
        <v>42</v>
      </c>
      <c r="E53" s="3" t="s">
        <v>49</v>
      </c>
      <c r="F53" s="3" t="s">
        <v>25</v>
      </c>
      <c r="G53" s="3" t="s">
        <v>25</v>
      </c>
      <c r="H53" s="3" t="s">
        <v>25</v>
      </c>
      <c r="I53" s="6">
        <v>44470</v>
      </c>
      <c r="J53" s="4">
        <v>637</v>
      </c>
      <c r="K53" s="58">
        <v>637</v>
      </c>
      <c r="L53" s="4">
        <v>0</v>
      </c>
      <c r="M53" s="58">
        <v>0</v>
      </c>
      <c r="N53" s="4">
        <v>0</v>
      </c>
      <c r="O53" s="58">
        <v>0</v>
      </c>
      <c r="P53" s="4">
        <v>3</v>
      </c>
      <c r="Q53" s="3" t="s">
        <v>26</v>
      </c>
      <c r="R53" s="3">
        <v>0</v>
      </c>
      <c r="S53" s="3">
        <v>31</v>
      </c>
      <c r="T53" s="3">
        <v>0</v>
      </c>
      <c r="U53" s="3">
        <v>0</v>
      </c>
      <c r="V53" s="58">
        <f>IF(ISERROR(VLOOKUP($S$53,'TAR FIN'!$A$1:$O$86,15,0)),0,VLOOKUP($S$53,'TAR FIN'!$A$1:$O$86,15,0))*(1-0.04)</f>
        <v>36.979199999999999</v>
      </c>
      <c r="W53" s="58">
        <f>IF(ISERROR(VLOOKUP($T$53,'TAR FIN'!$A$1:$O$86,15,0)),0,VLOOKUP($T$53,'TAR FIN'!$A$1:$O$86,15,0))</f>
        <v>0</v>
      </c>
      <c r="X53" s="58">
        <f>IF(ISERROR(VLOOKUP($U$53,'TAR FIN'!$A$1:$O$86,15,0)),0,VLOOKUP($U$53,'TAR FIN'!$A$1:$O$86,15,0))</f>
        <v>0</v>
      </c>
      <c r="Y53" s="58">
        <f ca="1">('TUSD BE'!$AM$10+'TUSD BF'!$AM$10+'TUSD CVA'!$AM$10)*1*(1-0.02)</f>
        <v>43.370109275458091</v>
      </c>
      <c r="Z53" s="58"/>
      <c r="AA53" s="58"/>
      <c r="AB53" s="58">
        <f>(SUBSIDIO!$J$53*SUBSIDIO!$V$53)*(0.04)/(1-0.04)</f>
        <v>981.48960000000011</v>
      </c>
      <c r="AC53" s="58">
        <f>((SUBSIDIO!$L$53*SUBSIDIO!$W$53)+(SUBSIDIO!$N$53*SUBSIDIO!$X$53))*(0.04)/(1-0.04)</f>
        <v>0</v>
      </c>
      <c r="AD53" s="58">
        <f ca="1">(SUBSIDIO!$J$53*SUBSIDIO!$Y$53)*(0.02)/(1-0.02)</f>
        <v>563.8114205809552</v>
      </c>
      <c r="AE53" s="58">
        <f>((SUBSIDIO!$L$53*SUBSIDIO!$Z$53)+(SUBSIDIO!$N$53*SUBSIDIO!$AA$53))*(0.02)/(1-0.02)</f>
        <v>0</v>
      </c>
      <c r="AF53" s="3" t="s">
        <v>589</v>
      </c>
    </row>
    <row r="54" spans="1:32" ht="11.25" customHeight="1" x14ac:dyDescent="0.25">
      <c r="A54" s="3" t="s">
        <v>21</v>
      </c>
      <c r="B54" s="3" t="s">
        <v>35</v>
      </c>
      <c r="C54" s="3" t="s">
        <v>39</v>
      </c>
      <c r="D54" s="3" t="s">
        <v>42</v>
      </c>
      <c r="E54" s="3" t="s">
        <v>49</v>
      </c>
      <c r="F54" s="3" t="s">
        <v>25</v>
      </c>
      <c r="G54" s="3" t="s">
        <v>25</v>
      </c>
      <c r="H54" s="3" t="s">
        <v>25</v>
      </c>
      <c r="I54" s="6">
        <v>44501</v>
      </c>
      <c r="J54" s="4">
        <v>818</v>
      </c>
      <c r="K54" s="58">
        <v>818</v>
      </c>
      <c r="L54" s="4">
        <v>0</v>
      </c>
      <c r="M54" s="58">
        <v>0</v>
      </c>
      <c r="N54" s="4">
        <v>0</v>
      </c>
      <c r="O54" s="58">
        <v>0</v>
      </c>
      <c r="P54" s="4">
        <v>3</v>
      </c>
      <c r="Q54" s="3" t="s">
        <v>26</v>
      </c>
      <c r="R54" s="3">
        <v>0</v>
      </c>
      <c r="S54" s="3">
        <v>31</v>
      </c>
      <c r="T54" s="3">
        <v>0</v>
      </c>
      <c r="U54" s="3">
        <v>0</v>
      </c>
      <c r="V54" s="58">
        <f>IF(ISERROR(VLOOKUP($S$54,'TAR FIN'!$A$1:$O$86,15,0)),0,VLOOKUP($S$54,'TAR FIN'!$A$1:$O$86,15,0))*(1-0.04)</f>
        <v>36.979199999999999</v>
      </c>
      <c r="W54" s="58">
        <f>IF(ISERROR(VLOOKUP($T$54,'TAR FIN'!$A$1:$O$86,15,0)),0,VLOOKUP($T$54,'TAR FIN'!$A$1:$O$86,15,0))</f>
        <v>0</v>
      </c>
      <c r="X54" s="58">
        <f>IF(ISERROR(VLOOKUP($U$54,'TAR FIN'!$A$1:$O$86,15,0)),0,VLOOKUP($U$54,'TAR FIN'!$A$1:$O$86,15,0))</f>
        <v>0</v>
      </c>
      <c r="Y54" s="58">
        <f ca="1">('TUSD BE'!$AM$10+'TUSD BF'!$AM$10+'TUSD CVA'!$AM$10)*1*(1-0.02)</f>
        <v>43.370109275458091</v>
      </c>
      <c r="Z54" s="58"/>
      <c r="AA54" s="58"/>
      <c r="AB54" s="58">
        <f>(SUBSIDIO!$J$54*SUBSIDIO!$V$54)*(0.04)/(1-0.04)</f>
        <v>1260.3744000000002</v>
      </c>
      <c r="AC54" s="58">
        <f>((SUBSIDIO!$L$54*SUBSIDIO!$W$54)+(SUBSIDIO!$N$54*SUBSIDIO!$X$54))*(0.04)/(1-0.04)</f>
        <v>0</v>
      </c>
      <c r="AD54" s="58">
        <f ca="1">(SUBSIDIO!$J$54*SUBSIDIO!$Y$54)*(0.02)/(1-0.02)</f>
        <v>724.01529361887197</v>
      </c>
      <c r="AE54" s="58">
        <f>((SUBSIDIO!$L$54*SUBSIDIO!$Z$54)+(SUBSIDIO!$N$54*SUBSIDIO!$AA$54))*(0.02)/(1-0.02)</f>
        <v>0</v>
      </c>
      <c r="AF54" s="3" t="s">
        <v>589</v>
      </c>
    </row>
    <row r="55" spans="1:32" ht="11.25" customHeight="1" x14ac:dyDescent="0.25">
      <c r="A55" s="3" t="s">
        <v>21</v>
      </c>
      <c r="B55" s="3" t="s">
        <v>35</v>
      </c>
      <c r="C55" s="3" t="s">
        <v>39</v>
      </c>
      <c r="D55" s="3" t="s">
        <v>42</v>
      </c>
      <c r="E55" s="3" t="s">
        <v>49</v>
      </c>
      <c r="F55" s="3" t="s">
        <v>25</v>
      </c>
      <c r="G55" s="3" t="s">
        <v>25</v>
      </c>
      <c r="H55" s="3" t="s">
        <v>25</v>
      </c>
      <c r="I55" s="6">
        <v>44531</v>
      </c>
      <c r="J55" s="4">
        <v>802</v>
      </c>
      <c r="K55" s="58">
        <v>802</v>
      </c>
      <c r="L55" s="4">
        <v>0</v>
      </c>
      <c r="M55" s="58">
        <v>0</v>
      </c>
      <c r="N55" s="4">
        <v>0</v>
      </c>
      <c r="O55" s="58">
        <v>0</v>
      </c>
      <c r="P55" s="4">
        <v>3</v>
      </c>
      <c r="Q55" s="3" t="s">
        <v>26</v>
      </c>
      <c r="R55" s="3">
        <v>0</v>
      </c>
      <c r="S55" s="3">
        <v>31</v>
      </c>
      <c r="T55" s="3">
        <v>0</v>
      </c>
      <c r="U55" s="3">
        <v>0</v>
      </c>
      <c r="V55" s="58">
        <f>IF(ISERROR(VLOOKUP($S$55,'TAR FIN'!$A$1:$O$86,15,0)),0,VLOOKUP($S$55,'TAR FIN'!$A$1:$O$86,15,0))*(1-0.04)</f>
        <v>36.979199999999999</v>
      </c>
      <c r="W55" s="58">
        <f>IF(ISERROR(VLOOKUP($T$55,'TAR FIN'!$A$1:$O$86,15,0)),0,VLOOKUP($T$55,'TAR FIN'!$A$1:$O$86,15,0))</f>
        <v>0</v>
      </c>
      <c r="X55" s="58">
        <f>IF(ISERROR(VLOOKUP($U$55,'TAR FIN'!$A$1:$O$86,15,0)),0,VLOOKUP($U$55,'TAR FIN'!$A$1:$O$86,15,0))</f>
        <v>0</v>
      </c>
      <c r="Y55" s="58">
        <f ca="1">('TUSD BE'!$AM$10+'TUSD BF'!$AM$10+'TUSD CVA'!$AM$10)*1*(1-0.02)</f>
        <v>43.370109275458091</v>
      </c>
      <c r="Z55" s="58"/>
      <c r="AA55" s="58"/>
      <c r="AB55" s="58">
        <f>(SUBSIDIO!$J$55*SUBSIDIO!$V$55)*(0.04)/(1-0.04)</f>
        <v>1235.7216000000001</v>
      </c>
      <c r="AC55" s="58">
        <f>((SUBSIDIO!$L$55*SUBSIDIO!$W$55)+(SUBSIDIO!$N$55*SUBSIDIO!$X$55))*(0.04)/(1-0.04)</f>
        <v>0</v>
      </c>
      <c r="AD55" s="58">
        <f ca="1">(SUBSIDIO!$J$55*SUBSIDIO!$Y$55)*(0.02)/(1-0.02)</f>
        <v>709.85362528402845</v>
      </c>
      <c r="AE55" s="58">
        <f>((SUBSIDIO!$L$55*SUBSIDIO!$Z$55)+(SUBSIDIO!$N$55*SUBSIDIO!$AA$55))*(0.02)/(1-0.02)</f>
        <v>0</v>
      </c>
      <c r="AF55" s="3" t="s">
        <v>589</v>
      </c>
    </row>
    <row r="56" spans="1:32" ht="11.25" customHeight="1" x14ac:dyDescent="0.25">
      <c r="A56" s="3" t="s">
        <v>21</v>
      </c>
      <c r="B56" s="3" t="s">
        <v>35</v>
      </c>
      <c r="C56" s="3" t="s">
        <v>39</v>
      </c>
      <c r="D56" s="3" t="s">
        <v>42</v>
      </c>
      <c r="E56" s="3" t="s">
        <v>49</v>
      </c>
      <c r="F56" s="3" t="s">
        <v>25</v>
      </c>
      <c r="G56" s="3" t="s">
        <v>25</v>
      </c>
      <c r="H56" s="3" t="s">
        <v>25</v>
      </c>
      <c r="I56" s="6">
        <v>44562</v>
      </c>
      <c r="J56" s="4">
        <v>674</v>
      </c>
      <c r="K56" s="58">
        <v>674</v>
      </c>
      <c r="L56" s="4">
        <v>0</v>
      </c>
      <c r="M56" s="58">
        <v>0</v>
      </c>
      <c r="N56" s="4">
        <v>0</v>
      </c>
      <c r="O56" s="58">
        <v>0</v>
      </c>
      <c r="P56" s="4">
        <v>3</v>
      </c>
      <c r="Q56" s="3" t="s">
        <v>26</v>
      </c>
      <c r="R56" s="3">
        <v>0</v>
      </c>
      <c r="S56" s="3">
        <v>31</v>
      </c>
      <c r="T56" s="3">
        <v>0</v>
      </c>
      <c r="U56" s="3">
        <v>0</v>
      </c>
      <c r="V56" s="58">
        <f>IF(ISERROR(VLOOKUP($S$56,'TAR FIN'!$A$1:$O$86,15,0)),0,VLOOKUP($S$56,'TAR FIN'!$A$1:$O$86,15,0))*(1-0.04)</f>
        <v>36.979199999999999</v>
      </c>
      <c r="W56" s="58">
        <f>IF(ISERROR(VLOOKUP($T$56,'TAR FIN'!$A$1:$O$86,15,0)),0,VLOOKUP($T$56,'TAR FIN'!$A$1:$O$86,15,0))</f>
        <v>0</v>
      </c>
      <c r="X56" s="58">
        <f>IF(ISERROR(VLOOKUP($U$56,'TAR FIN'!$A$1:$O$86,15,0)),0,VLOOKUP($U$56,'TAR FIN'!$A$1:$O$86,15,0))</f>
        <v>0</v>
      </c>
      <c r="Y56" s="58">
        <f ca="1">('TUSD BE'!$AM$10+'TUSD BF'!$AM$10+'TUSD CVA'!$AM$10)*1*(1-0.02)</f>
        <v>43.370109275458091</v>
      </c>
      <c r="Z56" s="58"/>
      <c r="AA56" s="58"/>
      <c r="AB56" s="58">
        <f>(SUBSIDIO!$J$56*SUBSIDIO!$V$56)*(0.04)/(1-0.04)</f>
        <v>1038.4992</v>
      </c>
      <c r="AC56" s="58">
        <f>((SUBSIDIO!$L$56*SUBSIDIO!$W$56)+(SUBSIDIO!$N$56*SUBSIDIO!$X$56))*(0.04)/(1-0.04)</f>
        <v>0</v>
      </c>
      <c r="AD56" s="58">
        <f ca="1">(SUBSIDIO!$J$56*SUBSIDIO!$Y$56)*(0.02)/(1-0.02)</f>
        <v>596.56027860528081</v>
      </c>
      <c r="AE56" s="58">
        <f>((SUBSIDIO!$L$56*SUBSIDIO!$Z$56)+(SUBSIDIO!$N$56*SUBSIDIO!$AA$56))*(0.02)/(1-0.02)</f>
        <v>0</v>
      </c>
      <c r="AF56" s="3" t="s">
        <v>589</v>
      </c>
    </row>
    <row r="57" spans="1:32" ht="11.25" customHeight="1" x14ac:dyDescent="0.25">
      <c r="A57" s="3" t="s">
        <v>21</v>
      </c>
      <c r="B57" s="3" t="s">
        <v>35</v>
      </c>
      <c r="C57" s="3" t="s">
        <v>39</v>
      </c>
      <c r="D57" s="3" t="s">
        <v>42</v>
      </c>
      <c r="E57" s="3" t="s">
        <v>49</v>
      </c>
      <c r="F57" s="3" t="s">
        <v>25</v>
      </c>
      <c r="G57" s="3" t="s">
        <v>25</v>
      </c>
      <c r="H57" s="3" t="s">
        <v>25</v>
      </c>
      <c r="I57" s="6">
        <v>44593</v>
      </c>
      <c r="J57" s="4">
        <v>697</v>
      </c>
      <c r="K57" s="58">
        <v>697</v>
      </c>
      <c r="L57" s="4">
        <v>0</v>
      </c>
      <c r="M57" s="58">
        <v>0</v>
      </c>
      <c r="N57" s="4">
        <v>0</v>
      </c>
      <c r="O57" s="58">
        <v>0</v>
      </c>
      <c r="P57" s="4">
        <v>3</v>
      </c>
      <c r="Q57" s="3" t="s">
        <v>26</v>
      </c>
      <c r="R57" s="3">
        <v>0</v>
      </c>
      <c r="S57" s="3">
        <v>31</v>
      </c>
      <c r="T57" s="3">
        <v>0</v>
      </c>
      <c r="U57" s="3">
        <v>0</v>
      </c>
      <c r="V57" s="58">
        <f>IF(ISERROR(VLOOKUP($S$57,'TAR FIN'!$A$1:$O$86,15,0)),0,VLOOKUP($S$57,'TAR FIN'!$A$1:$O$86,15,0))*(1-0.04)</f>
        <v>36.979199999999999</v>
      </c>
      <c r="W57" s="58">
        <f>IF(ISERROR(VLOOKUP($T$57,'TAR FIN'!$A$1:$O$86,15,0)),0,VLOOKUP($T$57,'TAR FIN'!$A$1:$O$86,15,0))</f>
        <v>0</v>
      </c>
      <c r="X57" s="58">
        <f>IF(ISERROR(VLOOKUP($U$57,'TAR FIN'!$A$1:$O$86,15,0)),0,VLOOKUP($U$57,'TAR FIN'!$A$1:$O$86,15,0))</f>
        <v>0</v>
      </c>
      <c r="Y57" s="58">
        <f ca="1">('TUSD BE'!$AM$10+'TUSD BF'!$AM$10+'TUSD CVA'!$AM$10)*1*(1-0.02)</f>
        <v>43.370109275458091</v>
      </c>
      <c r="Z57" s="58"/>
      <c r="AA57" s="58"/>
      <c r="AB57" s="58">
        <f>(SUBSIDIO!$J$57*SUBSIDIO!$V$57)*(0.04)/(1-0.04)</f>
        <v>1073.9376</v>
      </c>
      <c r="AC57" s="58">
        <f>((SUBSIDIO!$L$57*SUBSIDIO!$W$57)+(SUBSIDIO!$N$57*SUBSIDIO!$X$57))*(0.04)/(1-0.04)</f>
        <v>0</v>
      </c>
      <c r="AD57" s="58">
        <f ca="1">(SUBSIDIO!$J$57*SUBSIDIO!$Y$57)*(0.02)/(1-0.02)</f>
        <v>616.91767683661817</v>
      </c>
      <c r="AE57" s="58">
        <f>((SUBSIDIO!$L$57*SUBSIDIO!$Z$57)+(SUBSIDIO!$N$57*SUBSIDIO!$AA$57))*(0.02)/(1-0.02)</f>
        <v>0</v>
      </c>
      <c r="AF57" s="3" t="s">
        <v>589</v>
      </c>
    </row>
    <row r="58" spans="1:32" ht="11.25" customHeight="1" x14ac:dyDescent="0.25">
      <c r="A58" s="3" t="s">
        <v>21</v>
      </c>
      <c r="B58" s="3" t="s">
        <v>35</v>
      </c>
      <c r="C58" s="3" t="s">
        <v>39</v>
      </c>
      <c r="D58" s="3" t="s">
        <v>42</v>
      </c>
      <c r="E58" s="3" t="s">
        <v>49</v>
      </c>
      <c r="F58" s="3" t="s">
        <v>25</v>
      </c>
      <c r="G58" s="3" t="s">
        <v>25</v>
      </c>
      <c r="H58" s="3" t="s">
        <v>25</v>
      </c>
      <c r="I58" s="6">
        <v>44621</v>
      </c>
      <c r="J58" s="4">
        <v>695</v>
      </c>
      <c r="K58" s="58">
        <v>695</v>
      </c>
      <c r="L58" s="4">
        <v>0</v>
      </c>
      <c r="M58" s="58">
        <v>0</v>
      </c>
      <c r="N58" s="4">
        <v>0</v>
      </c>
      <c r="O58" s="58">
        <v>0</v>
      </c>
      <c r="P58" s="4">
        <v>3</v>
      </c>
      <c r="Q58" s="3" t="s">
        <v>26</v>
      </c>
      <c r="R58" s="3">
        <v>0</v>
      </c>
      <c r="S58" s="3">
        <v>31</v>
      </c>
      <c r="T58" s="3">
        <v>0</v>
      </c>
      <c r="U58" s="3">
        <v>0</v>
      </c>
      <c r="V58" s="58">
        <f>IF(ISERROR(VLOOKUP($S$58,'TAR FIN'!$A$1:$O$86,15,0)),0,VLOOKUP($S$58,'TAR FIN'!$A$1:$O$86,15,0))*(1-0.04)</f>
        <v>36.979199999999999</v>
      </c>
      <c r="W58" s="58">
        <f>IF(ISERROR(VLOOKUP($T$58,'TAR FIN'!$A$1:$O$86,15,0)),0,VLOOKUP($T$58,'TAR FIN'!$A$1:$O$86,15,0))</f>
        <v>0</v>
      </c>
      <c r="X58" s="58">
        <f>IF(ISERROR(VLOOKUP($U$58,'TAR FIN'!$A$1:$O$86,15,0)),0,VLOOKUP($U$58,'TAR FIN'!$A$1:$O$86,15,0))</f>
        <v>0</v>
      </c>
      <c r="Y58" s="58">
        <f ca="1">('TUSD BE'!$AM$10+'TUSD BF'!$AM$10+'TUSD CVA'!$AM$10)*1*(1-0.02)</f>
        <v>43.370109275458091</v>
      </c>
      <c r="Z58" s="58"/>
      <c r="AA58" s="58"/>
      <c r="AB58" s="58">
        <f>(SUBSIDIO!$J$58*SUBSIDIO!$V$58)*(0.04)/(1-0.04)</f>
        <v>1070.856</v>
      </c>
      <c r="AC58" s="58">
        <f>((SUBSIDIO!$L$58*SUBSIDIO!$W$58)+(SUBSIDIO!$N$58*SUBSIDIO!$X$58))*(0.04)/(1-0.04)</f>
        <v>0</v>
      </c>
      <c r="AD58" s="58">
        <f ca="1">(SUBSIDIO!$J$58*SUBSIDIO!$Y$58)*(0.02)/(1-0.02)</f>
        <v>615.1474682947628</v>
      </c>
      <c r="AE58" s="58">
        <f>((SUBSIDIO!$L$58*SUBSIDIO!$Z$58)+(SUBSIDIO!$N$58*SUBSIDIO!$AA$58))*(0.02)/(1-0.02)</f>
        <v>0</v>
      </c>
      <c r="AF58" s="3" t="s">
        <v>589</v>
      </c>
    </row>
    <row r="59" spans="1:32" ht="11.25" customHeight="1" x14ac:dyDescent="0.25">
      <c r="A59" s="3" t="s">
        <v>21</v>
      </c>
      <c r="B59" s="3" t="s">
        <v>35</v>
      </c>
      <c r="C59" s="3" t="s">
        <v>39</v>
      </c>
      <c r="D59" s="3" t="s">
        <v>42</v>
      </c>
      <c r="E59" s="3" t="s">
        <v>49</v>
      </c>
      <c r="F59" s="3" t="s">
        <v>25</v>
      </c>
      <c r="G59" s="3" t="s">
        <v>25</v>
      </c>
      <c r="H59" s="3" t="s">
        <v>25</v>
      </c>
      <c r="I59" s="6">
        <v>44652</v>
      </c>
      <c r="J59" s="4">
        <v>692</v>
      </c>
      <c r="K59" s="58">
        <v>692</v>
      </c>
      <c r="L59" s="4">
        <v>0</v>
      </c>
      <c r="M59" s="58">
        <v>0</v>
      </c>
      <c r="N59" s="4">
        <v>0</v>
      </c>
      <c r="O59" s="58">
        <v>0</v>
      </c>
      <c r="P59" s="4">
        <v>3</v>
      </c>
      <c r="Q59" s="3" t="s">
        <v>26</v>
      </c>
      <c r="R59" s="3">
        <v>0</v>
      </c>
      <c r="S59" s="3">
        <v>31</v>
      </c>
      <c r="T59" s="3">
        <v>0</v>
      </c>
      <c r="U59" s="3">
        <v>0</v>
      </c>
      <c r="V59" s="58">
        <f>IF(ISERROR(VLOOKUP($S$59,'TAR FIN'!$A$1:$O$86,15,0)),0,VLOOKUP($S$59,'TAR FIN'!$A$1:$O$86,15,0))*(1-0.04)</f>
        <v>36.979199999999999</v>
      </c>
      <c r="W59" s="58">
        <f>IF(ISERROR(VLOOKUP($T$59,'TAR FIN'!$A$1:$O$86,15,0)),0,VLOOKUP($T$59,'TAR FIN'!$A$1:$O$86,15,0))</f>
        <v>0</v>
      </c>
      <c r="X59" s="58">
        <f>IF(ISERROR(VLOOKUP($U$59,'TAR FIN'!$A$1:$O$86,15,0)),0,VLOOKUP($U$59,'TAR FIN'!$A$1:$O$86,15,0))</f>
        <v>0</v>
      </c>
      <c r="Y59" s="58">
        <f ca="1">('TUSD BE'!$AM$10+'TUSD BF'!$AM$10+'TUSD CVA'!$AM$10)*1*(1-0.02)</f>
        <v>43.370109275458091</v>
      </c>
      <c r="Z59" s="58"/>
      <c r="AA59" s="58"/>
      <c r="AB59" s="58">
        <f>(SUBSIDIO!$J$59*SUBSIDIO!$V$59)*(0.04)/(1-0.04)</f>
        <v>1066.2336000000003</v>
      </c>
      <c r="AC59" s="58">
        <f>((SUBSIDIO!$L$59*SUBSIDIO!$W$59)+(SUBSIDIO!$N$59*SUBSIDIO!$X$59))*(0.04)/(1-0.04)</f>
        <v>0</v>
      </c>
      <c r="AD59" s="58">
        <f ca="1">(SUBSIDIO!$J$59*SUBSIDIO!$Y$59)*(0.02)/(1-0.02)</f>
        <v>612.49215548197958</v>
      </c>
      <c r="AE59" s="58">
        <f>((SUBSIDIO!$L$59*SUBSIDIO!$Z$59)+(SUBSIDIO!$N$59*SUBSIDIO!$AA$59))*(0.02)/(1-0.02)</f>
        <v>0</v>
      </c>
      <c r="AF59" s="3" t="s">
        <v>589</v>
      </c>
    </row>
    <row r="60" spans="1:32" ht="11.25" customHeight="1" x14ac:dyDescent="0.25">
      <c r="A60" s="3" t="s">
        <v>21</v>
      </c>
      <c r="B60" s="3" t="s">
        <v>35</v>
      </c>
      <c r="C60" s="3" t="s">
        <v>39</v>
      </c>
      <c r="D60" s="3" t="s">
        <v>42</v>
      </c>
      <c r="E60" s="3" t="s">
        <v>49</v>
      </c>
      <c r="F60" s="3" t="s">
        <v>25</v>
      </c>
      <c r="G60" s="3" t="s">
        <v>25</v>
      </c>
      <c r="H60" s="3" t="s">
        <v>25</v>
      </c>
      <c r="I60" s="6">
        <v>44682</v>
      </c>
      <c r="J60" s="4">
        <v>208</v>
      </c>
      <c r="K60" s="58">
        <v>208</v>
      </c>
      <c r="L60" s="4">
        <v>0</v>
      </c>
      <c r="M60" s="58">
        <v>0</v>
      </c>
      <c r="N60" s="4">
        <v>0</v>
      </c>
      <c r="O60" s="58">
        <v>0</v>
      </c>
      <c r="P60" s="4">
        <v>3</v>
      </c>
      <c r="Q60" s="3" t="s">
        <v>26</v>
      </c>
      <c r="R60" s="3">
        <v>0</v>
      </c>
      <c r="S60" s="3">
        <v>31</v>
      </c>
      <c r="T60" s="3">
        <v>0</v>
      </c>
      <c r="U60" s="3">
        <v>0</v>
      </c>
      <c r="V60" s="58">
        <f>IF(ISERROR(VLOOKUP($S$60,'TAR FIN'!$A$1:$O$86,15,0)),0,VLOOKUP($S$60,'TAR FIN'!$A$1:$O$86,15,0))*(1-0.04)</f>
        <v>36.979199999999999</v>
      </c>
      <c r="W60" s="58">
        <f>IF(ISERROR(VLOOKUP($T$60,'TAR FIN'!$A$1:$O$86,15,0)),0,VLOOKUP($T$60,'TAR FIN'!$A$1:$O$86,15,0))</f>
        <v>0</v>
      </c>
      <c r="X60" s="58">
        <f>IF(ISERROR(VLOOKUP($U$60,'TAR FIN'!$A$1:$O$86,15,0)),0,VLOOKUP($U$60,'TAR FIN'!$A$1:$O$86,15,0))</f>
        <v>0</v>
      </c>
      <c r="Y60" s="58">
        <f ca="1">('TUSD BE'!$AM$10+'TUSD BF'!$AM$10+'TUSD CVA'!$AM$10)*1*(1-0.02)</f>
        <v>43.370109275458091</v>
      </c>
      <c r="Z60" s="58"/>
      <c r="AA60" s="58"/>
      <c r="AB60" s="58">
        <f>(SUBSIDIO!$J$60*SUBSIDIO!$V$60)*(0.04)/(1-0.04)</f>
        <v>320.4864</v>
      </c>
      <c r="AC60" s="58">
        <f>((SUBSIDIO!$L$60*SUBSIDIO!$W$60)+(SUBSIDIO!$N$60*SUBSIDIO!$X$60))*(0.04)/(1-0.04)</f>
        <v>0</v>
      </c>
      <c r="AD60" s="58">
        <f ca="1">(SUBSIDIO!$J$60*SUBSIDIO!$Y$60)*(0.02)/(1-0.02)</f>
        <v>184.10168835296497</v>
      </c>
      <c r="AE60" s="58">
        <f>((SUBSIDIO!$L$60*SUBSIDIO!$Z$60)+(SUBSIDIO!$N$60*SUBSIDIO!$AA$60))*(0.02)/(1-0.02)</f>
        <v>0</v>
      </c>
      <c r="AF60" s="3" t="s">
        <v>589</v>
      </c>
    </row>
    <row r="61" spans="1:32" ht="11.25" customHeight="1" x14ac:dyDescent="0.25">
      <c r="A61" s="3" t="s">
        <v>21</v>
      </c>
      <c r="B61" s="3" t="s">
        <v>35</v>
      </c>
      <c r="C61" s="3" t="s">
        <v>39</v>
      </c>
      <c r="D61" s="3" t="s">
        <v>42</v>
      </c>
      <c r="E61" s="3" t="s">
        <v>49</v>
      </c>
      <c r="F61" s="3" t="s">
        <v>25</v>
      </c>
      <c r="G61" s="3" t="s">
        <v>25</v>
      </c>
      <c r="H61" s="3" t="s">
        <v>25</v>
      </c>
      <c r="I61" s="6">
        <v>44713</v>
      </c>
      <c r="J61" s="4">
        <v>948</v>
      </c>
      <c r="K61" s="58">
        <v>948</v>
      </c>
      <c r="L61" s="4">
        <v>0</v>
      </c>
      <c r="M61" s="58">
        <v>0</v>
      </c>
      <c r="N61" s="4">
        <v>0</v>
      </c>
      <c r="O61" s="58">
        <v>0</v>
      </c>
      <c r="P61" s="4">
        <v>3</v>
      </c>
      <c r="Q61" s="3" t="s">
        <v>26</v>
      </c>
      <c r="R61" s="3">
        <v>0</v>
      </c>
      <c r="S61" s="3">
        <v>31</v>
      </c>
      <c r="T61" s="3">
        <v>0</v>
      </c>
      <c r="U61" s="3">
        <v>0</v>
      </c>
      <c r="V61" s="58">
        <f>IF(ISERROR(VLOOKUP($S$61,'TAR FIN'!$A$1:$O$86,15,0)),0,VLOOKUP($S$61,'TAR FIN'!$A$1:$O$86,15,0))*(1-0.04)</f>
        <v>36.979199999999999</v>
      </c>
      <c r="W61" s="58">
        <f>IF(ISERROR(VLOOKUP($T$61,'TAR FIN'!$A$1:$O$86,15,0)),0,VLOOKUP($T$61,'TAR FIN'!$A$1:$O$86,15,0))</f>
        <v>0</v>
      </c>
      <c r="X61" s="58">
        <f>IF(ISERROR(VLOOKUP($U$61,'TAR FIN'!$A$1:$O$86,15,0)),0,VLOOKUP($U$61,'TAR FIN'!$A$1:$O$86,15,0))</f>
        <v>0</v>
      </c>
      <c r="Y61" s="58">
        <f ca="1">('TUSD BE'!$AM$10+'TUSD BF'!$AM$10+'TUSD CVA'!$AM$10)*1*(1-0.02)</f>
        <v>43.370109275458091</v>
      </c>
      <c r="Z61" s="58"/>
      <c r="AA61" s="58"/>
      <c r="AB61" s="58">
        <f>(SUBSIDIO!$J$61*SUBSIDIO!$V$61)*(0.04)/(1-0.04)</f>
        <v>1460.6784000000002</v>
      </c>
      <c r="AC61" s="58">
        <f>((SUBSIDIO!$L$61*SUBSIDIO!$W$61)+(SUBSIDIO!$N$61*SUBSIDIO!$X$61))*(0.04)/(1-0.04)</f>
        <v>0</v>
      </c>
      <c r="AD61" s="58">
        <f ca="1">(SUBSIDIO!$J$61*SUBSIDIO!$Y$61)*(0.02)/(1-0.02)</f>
        <v>839.07884883947497</v>
      </c>
      <c r="AE61" s="58">
        <f>((SUBSIDIO!$L$61*SUBSIDIO!$Z$61)+(SUBSIDIO!$N$61*SUBSIDIO!$AA$61))*(0.02)/(1-0.02)</f>
        <v>0</v>
      </c>
      <c r="AF61" s="3" t="s">
        <v>589</v>
      </c>
    </row>
    <row r="62" spans="1:32" ht="11.25" customHeight="1" x14ac:dyDescent="0.25">
      <c r="A62" s="3" t="s">
        <v>21</v>
      </c>
      <c r="B62" s="3" t="s">
        <v>35</v>
      </c>
      <c r="C62" s="3" t="s">
        <v>39</v>
      </c>
      <c r="D62" s="3" t="s">
        <v>42</v>
      </c>
      <c r="E62" s="3" t="s">
        <v>49</v>
      </c>
      <c r="F62" s="3" t="s">
        <v>25</v>
      </c>
      <c r="G62" s="3" t="s">
        <v>25</v>
      </c>
      <c r="H62" s="3" t="s">
        <v>37</v>
      </c>
      <c r="I62" s="6">
        <v>44378</v>
      </c>
      <c r="J62" s="4">
        <v>0</v>
      </c>
      <c r="K62" s="58">
        <v>0</v>
      </c>
      <c r="L62" s="4">
        <v>0.124</v>
      </c>
      <c r="M62" s="58">
        <v>0.124</v>
      </c>
      <c r="N62" s="4">
        <v>0.124</v>
      </c>
      <c r="O62" s="58">
        <v>0.124</v>
      </c>
      <c r="P62" s="4">
        <v>0</v>
      </c>
      <c r="Q62" s="3" t="s">
        <v>26</v>
      </c>
      <c r="R62" s="3">
        <v>0</v>
      </c>
      <c r="S62" s="3">
        <v>0</v>
      </c>
      <c r="T62" s="3">
        <v>15</v>
      </c>
      <c r="U62" s="3">
        <v>24</v>
      </c>
      <c r="V62" s="58">
        <f>IF(ISERROR(VLOOKUP($S$62,'TAR FIN'!$A$1:$O$86,15,0)),0,VLOOKUP($S$62,'TAR FIN'!$A$1:$O$86,15,0))</f>
        <v>0</v>
      </c>
      <c r="W62" s="58">
        <f>IF(ISERROR(VLOOKUP($T$62,'TAR FIN'!$A$1:$O$86,15,0)),0,VLOOKUP($T$62,'TAR FIN'!$A$1:$O$86,15,0))*(1-0.04)</f>
        <v>2030.7647999999999</v>
      </c>
      <c r="X62" s="58">
        <f>IF(ISERROR(VLOOKUP($U$62,'TAR FIN'!$A$1:$O$86,15,0)),0,VLOOKUP($U$62,'TAR FIN'!$A$1:$O$86,15,0))*(1-0.04)</f>
        <v>203.07839999999999</v>
      </c>
      <c r="Y62" s="58"/>
      <c r="Z62" s="58">
        <f ca="1">('TUSD BE'!$AM$11+'TUSD BF'!$AM$11+'TUSD CVA'!$AM$11)*1*(1-0.02)</f>
        <v>2238.5316164441306</v>
      </c>
      <c r="AA62" s="58">
        <f>('TE BE'!$AB$5+'TE BF'!$AB$5+'TE CVA'!$AB$5)*1*(1-0.02)</f>
        <v>192.63738650886071</v>
      </c>
      <c r="AB62" s="58">
        <f>(SUBSIDIO!$J$62*SUBSIDIO!$V$62)*(0.04)/(1-0.04)</f>
        <v>0</v>
      </c>
      <c r="AC62" s="58">
        <f>((SUBSIDIO!$L$62*SUBSIDIO!$W$62)+(SUBSIDIO!$N$62*SUBSIDIO!$X$62))*(0.04)/(1-0.04)</f>
        <v>11.541523199999999</v>
      </c>
      <c r="AD62" s="58">
        <f>(SUBSIDIO!$J$62*SUBSIDIO!$Y$62)*(0.02)/(1-0.02)</f>
        <v>0</v>
      </c>
      <c r="AE62" s="58">
        <f ca="1">((SUBSIDIO!$L$62*SUBSIDIO!$Z$62)+(SUBSIDIO!$N$62*SUBSIDIO!$AA$62))*(0.02)/(1-0.02)</f>
        <v>6.1523460482892034</v>
      </c>
      <c r="AF62" s="3" t="s">
        <v>589</v>
      </c>
    </row>
    <row r="63" spans="1:32" ht="11.25" customHeight="1" x14ac:dyDescent="0.25">
      <c r="A63" s="3" t="s">
        <v>21</v>
      </c>
      <c r="B63" s="3" t="s">
        <v>35</v>
      </c>
      <c r="C63" s="3" t="s">
        <v>39</v>
      </c>
      <c r="D63" s="3" t="s">
        <v>42</v>
      </c>
      <c r="E63" s="3" t="s">
        <v>49</v>
      </c>
      <c r="F63" s="3" t="s">
        <v>25</v>
      </c>
      <c r="G63" s="3" t="s">
        <v>25</v>
      </c>
      <c r="H63" s="3" t="s">
        <v>37</v>
      </c>
      <c r="I63" s="6">
        <v>44409</v>
      </c>
      <c r="J63" s="4">
        <v>0</v>
      </c>
      <c r="K63" s="58">
        <v>0</v>
      </c>
      <c r="L63" s="4">
        <v>2.7E-2</v>
      </c>
      <c r="M63" s="58">
        <v>2.7E-2</v>
      </c>
      <c r="N63" s="4">
        <v>2.7E-2</v>
      </c>
      <c r="O63" s="58">
        <v>2.7E-2</v>
      </c>
      <c r="P63" s="4">
        <v>0</v>
      </c>
      <c r="Q63" s="3" t="s">
        <v>26</v>
      </c>
      <c r="R63" s="3">
        <v>0</v>
      </c>
      <c r="S63" s="3">
        <v>0</v>
      </c>
      <c r="T63" s="3">
        <v>15</v>
      </c>
      <c r="U63" s="3">
        <v>24</v>
      </c>
      <c r="V63" s="58">
        <f>IF(ISERROR(VLOOKUP($S$63,'TAR FIN'!$A$1:$O$86,15,0)),0,VLOOKUP($S$63,'TAR FIN'!$A$1:$O$86,15,0))</f>
        <v>0</v>
      </c>
      <c r="W63" s="58">
        <f>IF(ISERROR(VLOOKUP($T$63,'TAR FIN'!$A$1:$O$86,15,0)),0,VLOOKUP($T$63,'TAR FIN'!$A$1:$O$86,15,0))*(1-0.04)</f>
        <v>2030.7647999999999</v>
      </c>
      <c r="X63" s="58">
        <f>IF(ISERROR(VLOOKUP($U$63,'TAR FIN'!$A$1:$O$86,15,0)),0,VLOOKUP($U$63,'TAR FIN'!$A$1:$O$86,15,0))*(1-0.04)</f>
        <v>203.07839999999999</v>
      </c>
      <c r="Y63" s="58"/>
      <c r="Z63" s="58">
        <f ca="1">('TUSD BE'!$AM$11+'TUSD BF'!$AM$11+'TUSD CVA'!$AM$11)*1*(1-0.02)</f>
        <v>2238.5316164441306</v>
      </c>
      <c r="AA63" s="58">
        <f>('TE BE'!$AB$5+'TE BF'!$AB$5+'TE CVA'!$AB$5)*1*(1-0.02)</f>
        <v>192.63738650886071</v>
      </c>
      <c r="AB63" s="58">
        <f>(SUBSIDIO!$J$63*SUBSIDIO!$V$63)*(0.04)/(1-0.04)</f>
        <v>0</v>
      </c>
      <c r="AC63" s="58">
        <f>((SUBSIDIO!$L$63*SUBSIDIO!$W$63)+(SUBSIDIO!$N$63*SUBSIDIO!$X$63))*(0.04)/(1-0.04)</f>
        <v>2.5130735999999998</v>
      </c>
      <c r="AD63" s="58">
        <f>(SUBSIDIO!$J$63*SUBSIDIO!$Y$63)*(0.02)/(1-0.02)</f>
        <v>0</v>
      </c>
      <c r="AE63" s="58">
        <f ca="1">((SUBSIDIO!$L$63*SUBSIDIO!$Z$63)+(SUBSIDIO!$N$63*SUBSIDIO!$AA$63))*(0.02)/(1-0.02)</f>
        <v>1.3396237363210359</v>
      </c>
      <c r="AF63" s="3" t="s">
        <v>589</v>
      </c>
    </row>
    <row r="64" spans="1:32" ht="11.25" customHeight="1" x14ac:dyDescent="0.25">
      <c r="A64" s="3" t="s">
        <v>21</v>
      </c>
      <c r="B64" s="3" t="s">
        <v>35</v>
      </c>
      <c r="C64" s="3" t="s">
        <v>39</v>
      </c>
      <c r="D64" s="3" t="s">
        <v>42</v>
      </c>
      <c r="E64" s="3" t="s">
        <v>49</v>
      </c>
      <c r="F64" s="3" t="s">
        <v>25</v>
      </c>
      <c r="G64" s="3" t="s">
        <v>25</v>
      </c>
      <c r="H64" s="3" t="s">
        <v>37</v>
      </c>
      <c r="I64" s="6">
        <v>44440</v>
      </c>
      <c r="J64" s="4">
        <v>0</v>
      </c>
      <c r="K64" s="58">
        <v>0</v>
      </c>
      <c r="L64" s="4">
        <v>0.14599999999999999</v>
      </c>
      <c r="M64" s="58">
        <v>0.14599999999999999</v>
      </c>
      <c r="N64" s="4">
        <v>0.14599999999999999</v>
      </c>
      <c r="O64" s="58">
        <v>0.14599999999999999</v>
      </c>
      <c r="P64" s="4">
        <v>0</v>
      </c>
      <c r="Q64" s="3" t="s">
        <v>26</v>
      </c>
      <c r="R64" s="3">
        <v>0</v>
      </c>
      <c r="S64" s="3">
        <v>0</v>
      </c>
      <c r="T64" s="3">
        <v>15</v>
      </c>
      <c r="U64" s="3">
        <v>24</v>
      </c>
      <c r="V64" s="58">
        <f>IF(ISERROR(VLOOKUP($S$64,'TAR FIN'!$A$1:$O$86,15,0)),0,VLOOKUP($S$64,'TAR FIN'!$A$1:$O$86,15,0))</f>
        <v>0</v>
      </c>
      <c r="W64" s="58">
        <f>IF(ISERROR(VLOOKUP($T$64,'TAR FIN'!$A$1:$O$86,15,0)),0,VLOOKUP($T$64,'TAR FIN'!$A$1:$O$86,15,0))*(1-0.04)</f>
        <v>2030.7647999999999</v>
      </c>
      <c r="X64" s="58">
        <f>IF(ISERROR(VLOOKUP($U$64,'TAR FIN'!$A$1:$O$86,15,0)),0,VLOOKUP($U$64,'TAR FIN'!$A$1:$O$86,15,0))*(1-0.04)</f>
        <v>203.07839999999999</v>
      </c>
      <c r="Y64" s="58"/>
      <c r="Z64" s="58">
        <f ca="1">('TUSD BE'!$AM$11+'TUSD BF'!$AM$11+'TUSD CVA'!$AM$11)*1*(1-0.02)</f>
        <v>2238.5316164441306</v>
      </c>
      <c r="AA64" s="58">
        <f>('TE BE'!$AB$5+'TE BF'!$AB$5+'TE CVA'!$AB$5)*1*(1-0.02)</f>
        <v>192.63738650886071</v>
      </c>
      <c r="AB64" s="58">
        <f>(SUBSIDIO!$J$64*SUBSIDIO!$V$64)*(0.04)/(1-0.04)</f>
        <v>0</v>
      </c>
      <c r="AC64" s="58">
        <f>((SUBSIDIO!$L$64*SUBSIDIO!$W$64)+(SUBSIDIO!$N$64*SUBSIDIO!$X$64))*(0.04)/(1-0.04)</f>
        <v>13.589212799999999</v>
      </c>
      <c r="AD64" s="58">
        <f>(SUBSIDIO!$J$64*SUBSIDIO!$Y$64)*(0.02)/(1-0.02)</f>
        <v>0</v>
      </c>
      <c r="AE64" s="58">
        <f ca="1">((SUBSIDIO!$L$64*SUBSIDIO!$Z$64)+(SUBSIDIO!$N$64*SUBSIDIO!$AA$64))*(0.02)/(1-0.02)</f>
        <v>7.243891314921159</v>
      </c>
      <c r="AF64" s="3" t="s">
        <v>589</v>
      </c>
    </row>
    <row r="65" spans="1:32" ht="11.25" customHeight="1" x14ac:dyDescent="0.25">
      <c r="A65" s="3" t="s">
        <v>21</v>
      </c>
      <c r="B65" s="3" t="s">
        <v>35</v>
      </c>
      <c r="C65" s="3" t="s">
        <v>39</v>
      </c>
      <c r="D65" s="3" t="s">
        <v>42</v>
      </c>
      <c r="E65" s="3" t="s">
        <v>49</v>
      </c>
      <c r="F65" s="3" t="s">
        <v>25</v>
      </c>
      <c r="G65" s="3" t="s">
        <v>25</v>
      </c>
      <c r="H65" s="3" t="s">
        <v>37</v>
      </c>
      <c r="I65" s="6">
        <v>44470</v>
      </c>
      <c r="J65" s="4">
        <v>0</v>
      </c>
      <c r="K65" s="58">
        <v>0</v>
      </c>
      <c r="L65" s="4">
        <v>0.158</v>
      </c>
      <c r="M65" s="58">
        <v>0.158</v>
      </c>
      <c r="N65" s="4">
        <v>0.158</v>
      </c>
      <c r="O65" s="58">
        <v>0.158</v>
      </c>
      <c r="P65" s="4">
        <v>0</v>
      </c>
      <c r="Q65" s="3" t="s">
        <v>26</v>
      </c>
      <c r="R65" s="3">
        <v>0</v>
      </c>
      <c r="S65" s="3">
        <v>0</v>
      </c>
      <c r="T65" s="3">
        <v>15</v>
      </c>
      <c r="U65" s="3">
        <v>24</v>
      </c>
      <c r="V65" s="58">
        <f>IF(ISERROR(VLOOKUP($S$65,'TAR FIN'!$A$1:$O$86,15,0)),0,VLOOKUP($S$65,'TAR FIN'!$A$1:$O$86,15,0))</f>
        <v>0</v>
      </c>
      <c r="W65" s="58">
        <f>IF(ISERROR(VLOOKUP($T$65,'TAR FIN'!$A$1:$O$86,15,0)),0,VLOOKUP($T$65,'TAR FIN'!$A$1:$O$86,15,0))*(1-0.04)</f>
        <v>2030.7647999999999</v>
      </c>
      <c r="X65" s="58">
        <f>IF(ISERROR(VLOOKUP($U$65,'TAR FIN'!$A$1:$O$86,15,0)),0,VLOOKUP($U$65,'TAR FIN'!$A$1:$O$86,15,0))*(1-0.04)</f>
        <v>203.07839999999999</v>
      </c>
      <c r="Y65" s="58"/>
      <c r="Z65" s="58">
        <f ca="1">('TUSD BE'!$AM$11+'TUSD BF'!$AM$11+'TUSD CVA'!$AM$11)*1*(1-0.02)</f>
        <v>2238.5316164441306</v>
      </c>
      <c r="AA65" s="58">
        <f>('TE BE'!$AB$5+'TE BF'!$AB$5+'TE CVA'!$AB$5)*1*(1-0.02)</f>
        <v>192.63738650886071</v>
      </c>
      <c r="AB65" s="58">
        <f>(SUBSIDIO!$J$65*SUBSIDIO!$V$65)*(0.04)/(1-0.04)</f>
        <v>0</v>
      </c>
      <c r="AC65" s="58">
        <f>((SUBSIDIO!$L$65*SUBSIDIO!$W$65)+(SUBSIDIO!$N$65*SUBSIDIO!$X$65))*(0.04)/(1-0.04)</f>
        <v>14.706134399999998</v>
      </c>
      <c r="AD65" s="58">
        <f>(SUBSIDIO!$J$65*SUBSIDIO!$Y$65)*(0.02)/(1-0.02)</f>
        <v>0</v>
      </c>
      <c r="AE65" s="58">
        <f ca="1">((SUBSIDIO!$L$65*SUBSIDIO!$Z$65)+(SUBSIDIO!$N$65*SUBSIDIO!$AA$65))*(0.02)/(1-0.02)</f>
        <v>7.8392796421749518</v>
      </c>
      <c r="AF65" s="3" t="s">
        <v>589</v>
      </c>
    </row>
    <row r="66" spans="1:32" ht="11.25" customHeight="1" x14ac:dyDescent="0.25">
      <c r="A66" s="3" t="s">
        <v>21</v>
      </c>
      <c r="B66" s="3" t="s">
        <v>35</v>
      </c>
      <c r="C66" s="3" t="s">
        <v>39</v>
      </c>
      <c r="D66" s="3" t="s">
        <v>42</v>
      </c>
      <c r="E66" s="3" t="s">
        <v>49</v>
      </c>
      <c r="F66" s="3" t="s">
        <v>25</v>
      </c>
      <c r="G66" s="3" t="s">
        <v>25</v>
      </c>
      <c r="H66" s="3" t="s">
        <v>37</v>
      </c>
      <c r="I66" s="6">
        <v>44501</v>
      </c>
      <c r="J66" s="4">
        <v>0</v>
      </c>
      <c r="K66" s="58">
        <v>0</v>
      </c>
      <c r="L66" s="4">
        <v>0.41399999999999998</v>
      </c>
      <c r="M66" s="58">
        <v>0.41399999999999998</v>
      </c>
      <c r="N66" s="4">
        <v>0.41399999999999998</v>
      </c>
      <c r="O66" s="58">
        <v>0.41399999999999998</v>
      </c>
      <c r="P66" s="4">
        <v>0</v>
      </c>
      <c r="Q66" s="3" t="s">
        <v>26</v>
      </c>
      <c r="R66" s="3">
        <v>0</v>
      </c>
      <c r="S66" s="3">
        <v>0</v>
      </c>
      <c r="T66" s="3">
        <v>15</v>
      </c>
      <c r="U66" s="3">
        <v>24</v>
      </c>
      <c r="V66" s="58">
        <f>IF(ISERROR(VLOOKUP($S$66,'TAR FIN'!$A$1:$O$86,15,0)),0,VLOOKUP($S$66,'TAR FIN'!$A$1:$O$86,15,0))</f>
        <v>0</v>
      </c>
      <c r="W66" s="58">
        <f>IF(ISERROR(VLOOKUP($T$66,'TAR FIN'!$A$1:$O$86,15,0)),0,VLOOKUP($T$66,'TAR FIN'!$A$1:$O$86,15,0))*(1-0.04)</f>
        <v>2030.7647999999999</v>
      </c>
      <c r="X66" s="58">
        <f>IF(ISERROR(VLOOKUP($U$66,'TAR FIN'!$A$1:$O$86,15,0)),0,VLOOKUP($U$66,'TAR FIN'!$A$1:$O$86,15,0))*(1-0.04)</f>
        <v>203.07839999999999</v>
      </c>
      <c r="Y66" s="58"/>
      <c r="Z66" s="58">
        <f ca="1">('TUSD BE'!$AM$11+'TUSD BF'!$AM$11+'TUSD CVA'!$AM$11)*1*(1-0.02)</f>
        <v>2238.5316164441306</v>
      </c>
      <c r="AA66" s="58">
        <f>('TE BE'!$AB$5+'TE BF'!$AB$5+'TE CVA'!$AB$5)*1*(1-0.02)</f>
        <v>192.63738650886071</v>
      </c>
      <c r="AB66" s="58">
        <f>(SUBSIDIO!$J$66*SUBSIDIO!$V$66)*(0.04)/(1-0.04)</f>
        <v>0</v>
      </c>
      <c r="AC66" s="58">
        <f>((SUBSIDIO!$L$66*SUBSIDIO!$W$66)+(SUBSIDIO!$N$66*SUBSIDIO!$X$66))*(0.04)/(1-0.04)</f>
        <v>38.5337952</v>
      </c>
      <c r="AD66" s="58">
        <f>(SUBSIDIO!$J$66*SUBSIDIO!$Y$66)*(0.02)/(1-0.02)</f>
        <v>0</v>
      </c>
      <c r="AE66" s="58">
        <f ca="1">((SUBSIDIO!$L$66*SUBSIDIO!$Z$66)+(SUBSIDIO!$N$66*SUBSIDIO!$AA$66))*(0.02)/(1-0.02)</f>
        <v>20.540897290255884</v>
      </c>
      <c r="AF66" s="3" t="s">
        <v>589</v>
      </c>
    </row>
    <row r="67" spans="1:32" ht="11.25" customHeight="1" x14ac:dyDescent="0.25">
      <c r="A67" s="3" t="s">
        <v>21</v>
      </c>
      <c r="B67" s="3" t="s">
        <v>35</v>
      </c>
      <c r="C67" s="3" t="s">
        <v>39</v>
      </c>
      <c r="D67" s="3" t="s">
        <v>42</v>
      </c>
      <c r="E67" s="3" t="s">
        <v>49</v>
      </c>
      <c r="F67" s="3" t="s">
        <v>25</v>
      </c>
      <c r="G67" s="3" t="s">
        <v>25</v>
      </c>
      <c r="H67" s="3" t="s">
        <v>37</v>
      </c>
      <c r="I67" s="6">
        <v>44531</v>
      </c>
      <c r="J67" s="4">
        <v>0</v>
      </c>
      <c r="K67" s="58">
        <v>0</v>
      </c>
      <c r="L67" s="4">
        <v>0.77700000000000002</v>
      </c>
      <c r="M67" s="58">
        <v>0.77700000000000002</v>
      </c>
      <c r="N67" s="4">
        <v>0.77700000000000002</v>
      </c>
      <c r="O67" s="58">
        <v>0.77700000000000002</v>
      </c>
      <c r="P67" s="4">
        <v>0</v>
      </c>
      <c r="Q67" s="3" t="s">
        <v>26</v>
      </c>
      <c r="R67" s="3">
        <v>0</v>
      </c>
      <c r="S67" s="3">
        <v>0</v>
      </c>
      <c r="T67" s="3">
        <v>15</v>
      </c>
      <c r="U67" s="3">
        <v>24</v>
      </c>
      <c r="V67" s="58">
        <f>IF(ISERROR(VLOOKUP($S$67,'TAR FIN'!$A$1:$O$86,15,0)),0,VLOOKUP($S$67,'TAR FIN'!$A$1:$O$86,15,0))</f>
        <v>0</v>
      </c>
      <c r="W67" s="58">
        <f>IF(ISERROR(VLOOKUP($T$67,'TAR FIN'!$A$1:$O$86,15,0)),0,VLOOKUP($T$67,'TAR FIN'!$A$1:$O$86,15,0))*(1-0.04)</f>
        <v>2030.7647999999999</v>
      </c>
      <c r="X67" s="58">
        <f>IF(ISERROR(VLOOKUP($U$67,'TAR FIN'!$A$1:$O$86,15,0)),0,VLOOKUP($U$67,'TAR FIN'!$A$1:$O$86,15,0))*(1-0.04)</f>
        <v>203.07839999999999</v>
      </c>
      <c r="Y67" s="58"/>
      <c r="Z67" s="58">
        <f ca="1">('TUSD BE'!$AM$11+'TUSD BF'!$AM$11+'TUSD CVA'!$AM$11)*1*(1-0.02)</f>
        <v>2238.5316164441306</v>
      </c>
      <c r="AA67" s="58">
        <f>('TE BE'!$AB$5+'TE BF'!$AB$5+'TE CVA'!$AB$5)*1*(1-0.02)</f>
        <v>192.63738650886071</v>
      </c>
      <c r="AB67" s="58">
        <f>(SUBSIDIO!$J$67*SUBSIDIO!$V$67)*(0.04)/(1-0.04)</f>
        <v>0</v>
      </c>
      <c r="AC67" s="58">
        <f>((SUBSIDIO!$L$67*SUBSIDIO!$W$67)+(SUBSIDIO!$N$67*SUBSIDIO!$X$67))*(0.04)/(1-0.04)</f>
        <v>72.320673600000006</v>
      </c>
      <c r="AD67" s="58">
        <f>(SUBSIDIO!$J$67*SUBSIDIO!$Y$67)*(0.02)/(1-0.02)</f>
        <v>0</v>
      </c>
      <c r="AE67" s="58">
        <f ca="1">((SUBSIDIO!$L$67*SUBSIDIO!$Z$67)+(SUBSIDIO!$N$67*SUBSIDIO!$AA$67))*(0.02)/(1-0.02)</f>
        <v>38.551394189683151</v>
      </c>
      <c r="AF67" s="3" t="s">
        <v>589</v>
      </c>
    </row>
    <row r="68" spans="1:32" ht="11.25" customHeight="1" x14ac:dyDescent="0.25">
      <c r="A68" s="3" t="s">
        <v>21</v>
      </c>
      <c r="B68" s="3" t="s">
        <v>35</v>
      </c>
      <c r="C68" s="3" t="s">
        <v>39</v>
      </c>
      <c r="D68" s="3" t="s">
        <v>42</v>
      </c>
      <c r="E68" s="3" t="s">
        <v>49</v>
      </c>
      <c r="F68" s="3" t="s">
        <v>25</v>
      </c>
      <c r="G68" s="3" t="s">
        <v>25</v>
      </c>
      <c r="H68" s="3" t="s">
        <v>37</v>
      </c>
      <c r="I68" s="6">
        <v>44562</v>
      </c>
      <c r="J68" s="4">
        <v>0</v>
      </c>
      <c r="K68" s="58">
        <v>0</v>
      </c>
      <c r="L68" s="4">
        <v>0.247</v>
      </c>
      <c r="M68" s="58">
        <v>0.247</v>
      </c>
      <c r="N68" s="4">
        <v>0.247</v>
      </c>
      <c r="O68" s="58">
        <v>0.247</v>
      </c>
      <c r="P68" s="4">
        <v>0</v>
      </c>
      <c r="Q68" s="3" t="s">
        <v>26</v>
      </c>
      <c r="R68" s="3">
        <v>0</v>
      </c>
      <c r="S68" s="3">
        <v>0</v>
      </c>
      <c r="T68" s="3">
        <v>15</v>
      </c>
      <c r="U68" s="3">
        <v>24</v>
      </c>
      <c r="V68" s="58">
        <f>IF(ISERROR(VLOOKUP($S$68,'TAR FIN'!$A$1:$O$86,15,0)),0,VLOOKUP($S$68,'TAR FIN'!$A$1:$O$86,15,0))</f>
        <v>0</v>
      </c>
      <c r="W68" s="58">
        <f>IF(ISERROR(VLOOKUP($T$68,'TAR FIN'!$A$1:$O$86,15,0)),0,VLOOKUP($T$68,'TAR FIN'!$A$1:$O$86,15,0))*(1-0.04)</f>
        <v>2030.7647999999999</v>
      </c>
      <c r="X68" s="58">
        <f>IF(ISERROR(VLOOKUP($U$68,'TAR FIN'!$A$1:$O$86,15,0)),0,VLOOKUP($U$68,'TAR FIN'!$A$1:$O$86,15,0))*(1-0.04)</f>
        <v>203.07839999999999</v>
      </c>
      <c r="Y68" s="58"/>
      <c r="Z68" s="58">
        <f ca="1">('TUSD BE'!$AM$11+'TUSD BF'!$AM$11+'TUSD CVA'!$AM$11)*1*(1-0.02)</f>
        <v>2238.5316164441306</v>
      </c>
      <c r="AA68" s="58">
        <f>('TE BE'!$AB$5+'TE BF'!$AB$5+'TE CVA'!$AB$5)*1*(1-0.02)</f>
        <v>192.63738650886071</v>
      </c>
      <c r="AB68" s="58">
        <f>(SUBSIDIO!$J$68*SUBSIDIO!$V$68)*(0.04)/(1-0.04)</f>
        <v>0</v>
      </c>
      <c r="AC68" s="58">
        <f>((SUBSIDIO!$L$68*SUBSIDIO!$W$68)+(SUBSIDIO!$N$68*SUBSIDIO!$X$68))*(0.04)/(1-0.04)</f>
        <v>22.989969600000002</v>
      </c>
      <c r="AD68" s="58">
        <f>(SUBSIDIO!$J$68*SUBSIDIO!$Y$68)*(0.02)/(1-0.02)</f>
        <v>0</v>
      </c>
      <c r="AE68" s="58">
        <f ca="1">((SUBSIDIO!$L$68*SUBSIDIO!$Z$68)+(SUBSIDIO!$N$68*SUBSIDIO!$AA$68))*(0.02)/(1-0.02)</f>
        <v>12.255076402640588</v>
      </c>
      <c r="AF68" s="3" t="s">
        <v>589</v>
      </c>
    </row>
    <row r="69" spans="1:32" ht="11.25" customHeight="1" x14ac:dyDescent="0.25">
      <c r="A69" s="3" t="s">
        <v>21</v>
      </c>
      <c r="B69" s="3" t="s">
        <v>35</v>
      </c>
      <c r="C69" s="3" t="s">
        <v>39</v>
      </c>
      <c r="D69" s="3" t="s">
        <v>42</v>
      </c>
      <c r="E69" s="3" t="s">
        <v>49</v>
      </c>
      <c r="F69" s="3" t="s">
        <v>25</v>
      </c>
      <c r="G69" s="3" t="s">
        <v>25</v>
      </c>
      <c r="H69" s="3" t="s">
        <v>37</v>
      </c>
      <c r="I69" s="6">
        <v>44593</v>
      </c>
      <c r="J69" s="4">
        <v>0</v>
      </c>
      <c r="K69" s="58">
        <v>0</v>
      </c>
      <c r="L69" s="4">
        <v>1.0189999999999999</v>
      </c>
      <c r="M69" s="58">
        <v>1.0189999999999999</v>
      </c>
      <c r="N69" s="4">
        <v>1.0189999999999999</v>
      </c>
      <c r="O69" s="58">
        <v>1.0189999999999999</v>
      </c>
      <c r="P69" s="4">
        <v>0</v>
      </c>
      <c r="Q69" s="3" t="s">
        <v>26</v>
      </c>
      <c r="R69" s="3">
        <v>0</v>
      </c>
      <c r="S69" s="3">
        <v>0</v>
      </c>
      <c r="T69" s="3">
        <v>15</v>
      </c>
      <c r="U69" s="3">
        <v>24</v>
      </c>
      <c r="V69" s="58">
        <f>IF(ISERROR(VLOOKUP($S$69,'TAR FIN'!$A$1:$O$86,15,0)),0,VLOOKUP($S$69,'TAR FIN'!$A$1:$O$86,15,0))</f>
        <v>0</v>
      </c>
      <c r="W69" s="58">
        <f>IF(ISERROR(VLOOKUP($T$69,'TAR FIN'!$A$1:$O$86,15,0)),0,VLOOKUP($T$69,'TAR FIN'!$A$1:$O$86,15,0))*(1-0.04)</f>
        <v>2030.7647999999999</v>
      </c>
      <c r="X69" s="58">
        <f>IF(ISERROR(VLOOKUP($U$69,'TAR FIN'!$A$1:$O$86,15,0)),0,VLOOKUP($U$69,'TAR FIN'!$A$1:$O$86,15,0))*(1-0.04)</f>
        <v>203.07839999999999</v>
      </c>
      <c r="Y69" s="58"/>
      <c r="Z69" s="58">
        <f ca="1">('TUSD BE'!$AM$11+'TUSD BF'!$AM$11+'TUSD CVA'!$AM$11)*1*(1-0.02)</f>
        <v>2238.5316164441306</v>
      </c>
      <c r="AA69" s="58">
        <f>('TE BE'!$AB$5+'TE BF'!$AB$5+'TE CVA'!$AB$5)*1*(1-0.02)</f>
        <v>192.63738650886071</v>
      </c>
      <c r="AB69" s="58">
        <f>(SUBSIDIO!$J$69*SUBSIDIO!$V$69)*(0.04)/(1-0.04)</f>
        <v>0</v>
      </c>
      <c r="AC69" s="58">
        <f>((SUBSIDIO!$L$69*SUBSIDIO!$W$69)+(SUBSIDIO!$N$69*SUBSIDIO!$X$69))*(0.04)/(1-0.04)</f>
        <v>94.845259200000001</v>
      </c>
      <c r="AD69" s="58">
        <f>(SUBSIDIO!$J$69*SUBSIDIO!$Y$69)*(0.02)/(1-0.02)</f>
        <v>0</v>
      </c>
      <c r="AE69" s="58">
        <f ca="1">((SUBSIDIO!$L$69*SUBSIDIO!$Z$69)+(SUBSIDIO!$N$69*SUBSIDIO!$AA$69))*(0.02)/(1-0.02)</f>
        <v>50.558392122634658</v>
      </c>
      <c r="AF69" s="3" t="s">
        <v>589</v>
      </c>
    </row>
    <row r="70" spans="1:32" ht="11.25" customHeight="1" x14ac:dyDescent="0.25">
      <c r="A70" s="3" t="s">
        <v>21</v>
      </c>
      <c r="B70" s="3" t="s">
        <v>35</v>
      </c>
      <c r="C70" s="3" t="s">
        <v>39</v>
      </c>
      <c r="D70" s="3" t="s">
        <v>42</v>
      </c>
      <c r="E70" s="3" t="s">
        <v>49</v>
      </c>
      <c r="F70" s="3" t="s">
        <v>25</v>
      </c>
      <c r="G70" s="3" t="s">
        <v>25</v>
      </c>
      <c r="H70" s="3" t="s">
        <v>37</v>
      </c>
      <c r="I70" s="6">
        <v>44621</v>
      </c>
      <c r="J70" s="4">
        <v>0</v>
      </c>
      <c r="K70" s="58">
        <v>0</v>
      </c>
      <c r="L70" s="4">
        <v>1.1459999999999999</v>
      </c>
      <c r="M70" s="58">
        <v>1.1459999999999999</v>
      </c>
      <c r="N70" s="4">
        <v>1.1459999999999999</v>
      </c>
      <c r="O70" s="58">
        <v>1.1459999999999999</v>
      </c>
      <c r="P70" s="4">
        <v>0</v>
      </c>
      <c r="Q70" s="3" t="s">
        <v>26</v>
      </c>
      <c r="R70" s="3">
        <v>0</v>
      </c>
      <c r="S70" s="3">
        <v>0</v>
      </c>
      <c r="T70" s="3">
        <v>15</v>
      </c>
      <c r="U70" s="3">
        <v>24</v>
      </c>
      <c r="V70" s="58">
        <f>IF(ISERROR(VLOOKUP($S$70,'TAR FIN'!$A$1:$O$86,15,0)),0,VLOOKUP($S$70,'TAR FIN'!$A$1:$O$86,15,0))</f>
        <v>0</v>
      </c>
      <c r="W70" s="58">
        <f>IF(ISERROR(VLOOKUP($T$70,'TAR FIN'!$A$1:$O$86,15,0)),0,VLOOKUP($T$70,'TAR FIN'!$A$1:$O$86,15,0))*(1-0.04)</f>
        <v>2030.7647999999999</v>
      </c>
      <c r="X70" s="58">
        <f>IF(ISERROR(VLOOKUP($U$70,'TAR FIN'!$A$1:$O$86,15,0)),0,VLOOKUP($U$70,'TAR FIN'!$A$1:$O$86,15,0))*(1-0.04)</f>
        <v>203.07839999999999</v>
      </c>
      <c r="Y70" s="58"/>
      <c r="Z70" s="58">
        <f ca="1">('TUSD BE'!$AM$11+'TUSD BF'!$AM$11+'TUSD CVA'!$AM$11)*1*(1-0.02)</f>
        <v>2238.5316164441306</v>
      </c>
      <c r="AA70" s="58">
        <f>('TE BE'!$AB$5+'TE BF'!$AB$5+'TE CVA'!$AB$5)*1*(1-0.02)</f>
        <v>192.63738650886071</v>
      </c>
      <c r="AB70" s="58">
        <f>(SUBSIDIO!$J$70*SUBSIDIO!$V$70)*(0.04)/(1-0.04)</f>
        <v>0</v>
      </c>
      <c r="AC70" s="58">
        <f>((SUBSIDIO!$L$70*SUBSIDIO!$W$70)+(SUBSIDIO!$N$70*SUBSIDIO!$X$70))*(0.04)/(1-0.04)</f>
        <v>106.6660128</v>
      </c>
      <c r="AD70" s="58">
        <f>(SUBSIDIO!$J$70*SUBSIDIO!$Y$70)*(0.02)/(1-0.02)</f>
        <v>0</v>
      </c>
      <c r="AE70" s="58">
        <f ca="1">((SUBSIDIO!$L$70*SUBSIDIO!$Z$70)+(SUBSIDIO!$N$70*SUBSIDIO!$AA$70))*(0.02)/(1-0.02)</f>
        <v>56.859585252737297</v>
      </c>
      <c r="AF70" s="3" t="s">
        <v>589</v>
      </c>
    </row>
    <row r="71" spans="1:32" ht="11.25" customHeight="1" x14ac:dyDescent="0.25">
      <c r="A71" s="3" t="s">
        <v>21</v>
      </c>
      <c r="B71" s="3" t="s">
        <v>35</v>
      </c>
      <c r="C71" s="3" t="s">
        <v>39</v>
      </c>
      <c r="D71" s="3" t="s">
        <v>42</v>
      </c>
      <c r="E71" s="3" t="s">
        <v>49</v>
      </c>
      <c r="F71" s="3" t="s">
        <v>25</v>
      </c>
      <c r="G71" s="3" t="s">
        <v>25</v>
      </c>
      <c r="H71" s="3" t="s">
        <v>37</v>
      </c>
      <c r="I71" s="6">
        <v>44652</v>
      </c>
      <c r="J71" s="4">
        <v>0</v>
      </c>
      <c r="K71" s="58">
        <v>0</v>
      </c>
      <c r="L71" s="4">
        <v>0.46500000000000002</v>
      </c>
      <c r="M71" s="58">
        <v>0.46500000000000002</v>
      </c>
      <c r="N71" s="4">
        <v>0.46500000000000002</v>
      </c>
      <c r="O71" s="58">
        <v>0.46500000000000002</v>
      </c>
      <c r="P71" s="4">
        <v>0</v>
      </c>
      <c r="Q71" s="3" t="s">
        <v>26</v>
      </c>
      <c r="R71" s="3">
        <v>0</v>
      </c>
      <c r="S71" s="3">
        <v>0</v>
      </c>
      <c r="T71" s="3">
        <v>15</v>
      </c>
      <c r="U71" s="3">
        <v>24</v>
      </c>
      <c r="V71" s="58">
        <f>IF(ISERROR(VLOOKUP($S$71,'TAR FIN'!$A$1:$O$86,15,0)),0,VLOOKUP($S$71,'TAR FIN'!$A$1:$O$86,15,0))</f>
        <v>0</v>
      </c>
      <c r="W71" s="58">
        <f>IF(ISERROR(VLOOKUP($T$71,'TAR FIN'!$A$1:$O$86,15,0)),0,VLOOKUP($T$71,'TAR FIN'!$A$1:$O$86,15,0))*(1-0.04)</f>
        <v>2030.7647999999999</v>
      </c>
      <c r="X71" s="58">
        <f>IF(ISERROR(VLOOKUP($U$71,'TAR FIN'!$A$1:$O$86,15,0)),0,VLOOKUP($U$71,'TAR FIN'!$A$1:$O$86,15,0))*(1-0.04)</f>
        <v>203.07839999999999</v>
      </c>
      <c r="Y71" s="58"/>
      <c r="Z71" s="58">
        <f ca="1">('TUSD BE'!$AM$11+'TUSD BF'!$AM$11+'TUSD CVA'!$AM$11)*1*(1-0.02)</f>
        <v>2238.5316164441306</v>
      </c>
      <c r="AA71" s="58">
        <f>('TE BE'!$AB$5+'TE BF'!$AB$5+'TE CVA'!$AB$5)*1*(1-0.02)</f>
        <v>192.63738650886071</v>
      </c>
      <c r="AB71" s="58">
        <f>(SUBSIDIO!$J$71*SUBSIDIO!$V$71)*(0.04)/(1-0.04)</f>
        <v>0</v>
      </c>
      <c r="AC71" s="58">
        <f>((SUBSIDIO!$L$71*SUBSIDIO!$W$71)+(SUBSIDIO!$N$71*SUBSIDIO!$X$71))*(0.04)/(1-0.04)</f>
        <v>43.280712000000001</v>
      </c>
      <c r="AD71" s="58">
        <f>(SUBSIDIO!$J$71*SUBSIDIO!$Y$71)*(0.02)/(1-0.02)</f>
        <v>0</v>
      </c>
      <c r="AE71" s="58">
        <f ca="1">((SUBSIDIO!$L$71*SUBSIDIO!$Z$71)+(SUBSIDIO!$N$71*SUBSIDIO!$AA$71))*(0.02)/(1-0.02)</f>
        <v>23.071297681084516</v>
      </c>
      <c r="AF71" s="3" t="s">
        <v>589</v>
      </c>
    </row>
    <row r="72" spans="1:32" ht="11.25" customHeight="1" x14ac:dyDescent="0.25">
      <c r="A72" s="3" t="s">
        <v>21</v>
      </c>
      <c r="B72" s="3" t="s">
        <v>35</v>
      </c>
      <c r="C72" s="3" t="s">
        <v>39</v>
      </c>
      <c r="D72" s="3" t="s">
        <v>42</v>
      </c>
      <c r="E72" s="3" t="s">
        <v>49</v>
      </c>
      <c r="F72" s="3" t="s">
        <v>25</v>
      </c>
      <c r="G72" s="3" t="s">
        <v>25</v>
      </c>
      <c r="H72" s="3" t="s">
        <v>37</v>
      </c>
      <c r="I72" s="6">
        <v>44682</v>
      </c>
      <c r="J72" s="4">
        <v>0</v>
      </c>
      <c r="K72" s="58">
        <v>0</v>
      </c>
      <c r="L72" s="4">
        <v>6.2E-2</v>
      </c>
      <c r="M72" s="58">
        <v>6.2E-2</v>
      </c>
      <c r="N72" s="4">
        <v>6.2E-2</v>
      </c>
      <c r="O72" s="58">
        <v>6.2E-2</v>
      </c>
      <c r="P72" s="4">
        <v>0</v>
      </c>
      <c r="Q72" s="3" t="s">
        <v>26</v>
      </c>
      <c r="R72" s="3">
        <v>0</v>
      </c>
      <c r="S72" s="3">
        <v>0</v>
      </c>
      <c r="T72" s="3">
        <v>15</v>
      </c>
      <c r="U72" s="3">
        <v>24</v>
      </c>
      <c r="V72" s="58">
        <f>IF(ISERROR(VLOOKUP($S$72,'TAR FIN'!$A$1:$O$86,15,0)),0,VLOOKUP($S$72,'TAR FIN'!$A$1:$O$86,15,0))</f>
        <v>0</v>
      </c>
      <c r="W72" s="58">
        <f>IF(ISERROR(VLOOKUP($T$72,'TAR FIN'!$A$1:$O$86,15,0)),0,VLOOKUP($T$72,'TAR FIN'!$A$1:$O$86,15,0))*(1-0.04)</f>
        <v>2030.7647999999999</v>
      </c>
      <c r="X72" s="58">
        <f>IF(ISERROR(VLOOKUP($U$72,'TAR FIN'!$A$1:$O$86,15,0)),0,VLOOKUP($U$72,'TAR FIN'!$A$1:$O$86,15,0))*(1-0.04)</f>
        <v>203.07839999999999</v>
      </c>
      <c r="Y72" s="58"/>
      <c r="Z72" s="58">
        <f ca="1">('TUSD BE'!$AM$11+'TUSD BF'!$AM$11+'TUSD CVA'!$AM$11)*1*(1-0.02)</f>
        <v>2238.5316164441306</v>
      </c>
      <c r="AA72" s="58">
        <f>('TE BE'!$AB$5+'TE BF'!$AB$5+'TE CVA'!$AB$5)*1*(1-0.02)</f>
        <v>192.63738650886071</v>
      </c>
      <c r="AB72" s="58">
        <f>(SUBSIDIO!$J$72*SUBSIDIO!$V$72)*(0.04)/(1-0.04)</f>
        <v>0</v>
      </c>
      <c r="AC72" s="58">
        <f>((SUBSIDIO!$L$72*SUBSIDIO!$W$72)+(SUBSIDIO!$N$72*SUBSIDIO!$X$72))*(0.04)/(1-0.04)</f>
        <v>5.7707615999999993</v>
      </c>
      <c r="AD72" s="58">
        <f>(SUBSIDIO!$J$72*SUBSIDIO!$Y$72)*(0.02)/(1-0.02)</f>
        <v>0</v>
      </c>
      <c r="AE72" s="58">
        <f ca="1">((SUBSIDIO!$L$72*SUBSIDIO!$Z$72)+(SUBSIDIO!$N$72*SUBSIDIO!$AA$72))*(0.02)/(1-0.02)</f>
        <v>3.0761730241446017</v>
      </c>
      <c r="AF72" s="3" t="s">
        <v>589</v>
      </c>
    </row>
    <row r="73" spans="1:32" ht="11.25" customHeight="1" x14ac:dyDescent="0.25">
      <c r="A73" s="3" t="s">
        <v>21</v>
      </c>
      <c r="B73" s="3" t="s">
        <v>35</v>
      </c>
      <c r="C73" s="3" t="s">
        <v>39</v>
      </c>
      <c r="D73" s="3" t="s">
        <v>42</v>
      </c>
      <c r="E73" s="3" t="s">
        <v>49</v>
      </c>
      <c r="F73" s="3" t="s">
        <v>25</v>
      </c>
      <c r="G73" s="3" t="s">
        <v>25</v>
      </c>
      <c r="H73" s="3" t="s">
        <v>37</v>
      </c>
      <c r="I73" s="6">
        <v>44713</v>
      </c>
      <c r="J73" s="4">
        <v>0</v>
      </c>
      <c r="K73" s="58">
        <v>0</v>
      </c>
      <c r="L73" s="4">
        <v>9.6000000000000002E-2</v>
      </c>
      <c r="M73" s="58">
        <v>9.6000000000000002E-2</v>
      </c>
      <c r="N73" s="4">
        <v>9.6000000000000002E-2</v>
      </c>
      <c r="O73" s="58">
        <v>9.6000000000000002E-2</v>
      </c>
      <c r="P73" s="4">
        <v>0</v>
      </c>
      <c r="Q73" s="3" t="s">
        <v>26</v>
      </c>
      <c r="R73" s="3">
        <v>0</v>
      </c>
      <c r="S73" s="3">
        <v>0</v>
      </c>
      <c r="T73" s="3">
        <v>15</v>
      </c>
      <c r="U73" s="3">
        <v>24</v>
      </c>
      <c r="V73" s="58">
        <f>IF(ISERROR(VLOOKUP($S$73,'TAR FIN'!$A$1:$O$86,15,0)),0,VLOOKUP($S$73,'TAR FIN'!$A$1:$O$86,15,0))</f>
        <v>0</v>
      </c>
      <c r="W73" s="58">
        <f>IF(ISERROR(VLOOKUP($T$73,'TAR FIN'!$A$1:$O$86,15,0)),0,VLOOKUP($T$73,'TAR FIN'!$A$1:$O$86,15,0))*(1-0.04)</f>
        <v>2030.7647999999999</v>
      </c>
      <c r="X73" s="58">
        <f>IF(ISERROR(VLOOKUP($U$73,'TAR FIN'!$A$1:$O$86,15,0)),0,VLOOKUP($U$73,'TAR FIN'!$A$1:$O$86,15,0))*(1-0.04)</f>
        <v>203.07839999999999</v>
      </c>
      <c r="Y73" s="58"/>
      <c r="Z73" s="58">
        <f ca="1">('TUSD BE'!$AM$11+'TUSD BF'!$AM$11+'TUSD CVA'!$AM$11)*1*(1-0.02)</f>
        <v>2238.5316164441306</v>
      </c>
      <c r="AA73" s="58">
        <f>('TE BE'!$AB$5+'TE BF'!$AB$5+'TE CVA'!$AB$5)*1*(1-0.02)</f>
        <v>192.63738650886071</v>
      </c>
      <c r="AB73" s="58">
        <f>(SUBSIDIO!$J$73*SUBSIDIO!$V$73)*(0.04)/(1-0.04)</f>
        <v>0</v>
      </c>
      <c r="AC73" s="58">
        <f>((SUBSIDIO!$L$73*SUBSIDIO!$W$73)+(SUBSIDIO!$N$73*SUBSIDIO!$X$73))*(0.04)/(1-0.04)</f>
        <v>8.9353728000000014</v>
      </c>
      <c r="AD73" s="58">
        <f>(SUBSIDIO!$J$73*SUBSIDIO!$Y$73)*(0.02)/(1-0.02)</f>
        <v>0</v>
      </c>
      <c r="AE73" s="58">
        <f ca="1">((SUBSIDIO!$L$73*SUBSIDIO!$Z$73)+(SUBSIDIO!$N$73*SUBSIDIO!$AA$73))*(0.02)/(1-0.02)</f>
        <v>4.7631066180303501</v>
      </c>
      <c r="AF73" s="3" t="s">
        <v>589</v>
      </c>
    </row>
    <row r="74" spans="1:32" ht="11.25" customHeight="1" x14ac:dyDescent="0.25">
      <c r="A74" s="3" t="s">
        <v>21</v>
      </c>
      <c r="B74" s="3" t="s">
        <v>35</v>
      </c>
      <c r="C74" s="3" t="s">
        <v>39</v>
      </c>
      <c r="D74" s="3" t="s">
        <v>42</v>
      </c>
      <c r="E74" s="3" t="s">
        <v>25</v>
      </c>
      <c r="F74" s="3" t="s">
        <v>25</v>
      </c>
      <c r="G74" s="3" t="s">
        <v>25</v>
      </c>
      <c r="H74" s="3" t="s">
        <v>38</v>
      </c>
      <c r="I74" s="6">
        <v>44378</v>
      </c>
      <c r="J74" s="4">
        <v>0</v>
      </c>
      <c r="K74" s="58">
        <v>0</v>
      </c>
      <c r="L74" s="4">
        <v>8.3209999999999997</v>
      </c>
      <c r="M74" s="58">
        <v>8.3209999999999997</v>
      </c>
      <c r="N74" s="4">
        <v>8.3209999999999997</v>
      </c>
      <c r="O74" s="58">
        <v>8.3209999999999997</v>
      </c>
      <c r="P74" s="4">
        <v>0</v>
      </c>
      <c r="Q74" s="3" t="s">
        <v>26</v>
      </c>
      <c r="R74" s="3">
        <v>0</v>
      </c>
      <c r="S74" s="3">
        <v>0</v>
      </c>
      <c r="T74" s="3">
        <v>3</v>
      </c>
      <c r="U74" s="3">
        <v>48</v>
      </c>
      <c r="V74" s="58">
        <f>IF(ISERROR(VLOOKUP($S$74,'TAR FIN'!$A$1:$O$86,15,0)),0,VLOOKUP($S$74,'TAR FIN'!$A$1:$O$86,15,0))</f>
        <v>0</v>
      </c>
      <c r="W74" s="58">
        <f>IF(ISERROR(VLOOKUP($T$74,'TAR FIN'!$A$1:$O$86,15,0)),0,VLOOKUP($T$74,'TAR FIN'!$A$1:$O$86,15,0))*(1-0.04)</f>
        <v>65.807999999999993</v>
      </c>
      <c r="X74" s="58">
        <f>IF(ISERROR(VLOOKUP($U$74,'TAR FIN'!$A$1:$O$86,15,0)),0,VLOOKUP($U$74,'TAR FIN'!$A$1:$O$86,15,0))*(1-0.04)</f>
        <v>203.07839999999999</v>
      </c>
      <c r="Y74" s="58"/>
      <c r="Z74" s="58">
        <f ca="1">('TUSD BE'!$AM$12+'TUSD BF'!$AM$12+'TUSD CVA'!$AM$12)*1*(1-0.02)</f>
        <v>94.759808934919519</v>
      </c>
      <c r="AA74" s="58">
        <f>('TE BE'!$AB$6+'TE BF'!$AB$6+'TE CVA'!$AB$6)*1*(1-0.02)</f>
        <v>192.63738650886071</v>
      </c>
      <c r="AB74" s="58">
        <f>(SUBSIDIO!$J$74*SUBSIDIO!$V$74)*(0.04)/(1-0.04)</f>
        <v>0</v>
      </c>
      <c r="AC74" s="58">
        <f>((SUBSIDIO!$L$74*SUBSIDIO!$W$74)+(SUBSIDIO!$N$74*SUBSIDIO!$X$74))*(0.04)/(1-0.04)</f>
        <v>93.225155599999994</v>
      </c>
      <c r="AD74" s="58">
        <f>(SUBSIDIO!$J$74*SUBSIDIO!$Y$74)*(0.02)/(1-0.02)</f>
        <v>0</v>
      </c>
      <c r="AE74" s="58">
        <f ca="1">((SUBSIDIO!$L$74*SUBSIDIO!$Z$74)+(SUBSIDIO!$N$74*SUBSIDIO!$AA$74))*(0.02)/(1-0.02)</f>
        <v>48.804735985463168</v>
      </c>
      <c r="AF74" s="3" t="s">
        <v>589</v>
      </c>
    </row>
    <row r="75" spans="1:32" ht="11.25" customHeight="1" x14ac:dyDescent="0.25">
      <c r="A75" s="3" t="s">
        <v>21</v>
      </c>
      <c r="B75" s="3" t="s">
        <v>35</v>
      </c>
      <c r="C75" s="3" t="s">
        <v>39</v>
      </c>
      <c r="D75" s="3" t="s">
        <v>42</v>
      </c>
      <c r="E75" s="3" t="s">
        <v>25</v>
      </c>
      <c r="F75" s="3" t="s">
        <v>25</v>
      </c>
      <c r="G75" s="3" t="s">
        <v>25</v>
      </c>
      <c r="H75" s="3" t="s">
        <v>38</v>
      </c>
      <c r="I75" s="6">
        <v>44409</v>
      </c>
      <c r="J75" s="4">
        <v>0</v>
      </c>
      <c r="K75" s="58">
        <v>0</v>
      </c>
      <c r="L75" s="4">
        <v>1.4419999999999999</v>
      </c>
      <c r="M75" s="58">
        <v>1.4419999999999999</v>
      </c>
      <c r="N75" s="4">
        <v>1.4419999999999999</v>
      </c>
      <c r="O75" s="58">
        <v>1.4419999999999999</v>
      </c>
      <c r="P75" s="4">
        <v>0</v>
      </c>
      <c r="Q75" s="3" t="s">
        <v>26</v>
      </c>
      <c r="R75" s="3">
        <v>0</v>
      </c>
      <c r="S75" s="3">
        <v>0</v>
      </c>
      <c r="T75" s="3">
        <v>3</v>
      </c>
      <c r="U75" s="3">
        <v>48</v>
      </c>
      <c r="V75" s="58">
        <f>IF(ISERROR(VLOOKUP($S$75,'TAR FIN'!$A$1:$O$86,15,0)),0,VLOOKUP($S$75,'TAR FIN'!$A$1:$O$86,15,0))</f>
        <v>0</v>
      </c>
      <c r="W75" s="58">
        <f>IF(ISERROR(VLOOKUP($T$75,'TAR FIN'!$A$1:$O$86,15,0)),0,VLOOKUP($T$75,'TAR FIN'!$A$1:$O$86,15,0))*(1-0.04)</f>
        <v>65.807999999999993</v>
      </c>
      <c r="X75" s="58">
        <f>IF(ISERROR(VLOOKUP($U$75,'TAR FIN'!$A$1:$O$86,15,0)),0,VLOOKUP($U$75,'TAR FIN'!$A$1:$O$86,15,0))*(1-0.04)</f>
        <v>203.07839999999999</v>
      </c>
      <c r="Y75" s="58"/>
      <c r="Z75" s="58">
        <f ca="1">('TUSD BE'!$AM$12+'TUSD BF'!$AM$12+'TUSD CVA'!$AM$12)*1*(1-0.02)</f>
        <v>94.759808934919519</v>
      </c>
      <c r="AA75" s="58">
        <f>('TE BE'!$AB$6+'TE BF'!$AB$6+'TE CVA'!$AB$6)*1*(1-0.02)</f>
        <v>192.63738650886071</v>
      </c>
      <c r="AB75" s="58">
        <f>(SUBSIDIO!$J$75*SUBSIDIO!$V$75)*(0.04)/(1-0.04)</f>
        <v>0</v>
      </c>
      <c r="AC75" s="58">
        <f>((SUBSIDIO!$L$75*SUBSIDIO!$W$75)+(SUBSIDIO!$N$75*SUBSIDIO!$X$75))*(0.04)/(1-0.04)</f>
        <v>16.1555912</v>
      </c>
      <c r="AD75" s="58">
        <f>(SUBSIDIO!$J$75*SUBSIDIO!$Y$75)*(0.02)/(1-0.02)</f>
        <v>0</v>
      </c>
      <c r="AE75" s="58">
        <f ca="1">((SUBSIDIO!$L$75*SUBSIDIO!$Z$75)+(SUBSIDIO!$N$75*SUBSIDIO!$AA$75))*(0.02)/(1-0.02)</f>
        <v>8.4576888944883883</v>
      </c>
      <c r="AF75" s="3" t="s">
        <v>589</v>
      </c>
    </row>
    <row r="76" spans="1:32" ht="11.25" customHeight="1" x14ac:dyDescent="0.25">
      <c r="A76" s="3" t="s">
        <v>21</v>
      </c>
      <c r="B76" s="3" t="s">
        <v>35</v>
      </c>
      <c r="C76" s="3" t="s">
        <v>39</v>
      </c>
      <c r="D76" s="3" t="s">
        <v>42</v>
      </c>
      <c r="E76" s="3" t="s">
        <v>25</v>
      </c>
      <c r="F76" s="3" t="s">
        <v>25</v>
      </c>
      <c r="G76" s="3" t="s">
        <v>25</v>
      </c>
      <c r="H76" s="3" t="s">
        <v>38</v>
      </c>
      <c r="I76" s="6">
        <v>44440</v>
      </c>
      <c r="J76" s="4">
        <v>0</v>
      </c>
      <c r="K76" s="58">
        <v>0</v>
      </c>
      <c r="L76" s="4">
        <v>2.9969999999999999</v>
      </c>
      <c r="M76" s="58">
        <v>2.9969999999999999</v>
      </c>
      <c r="N76" s="4">
        <v>2.9969999999999999</v>
      </c>
      <c r="O76" s="58">
        <v>2.9969999999999999</v>
      </c>
      <c r="P76" s="4">
        <v>0</v>
      </c>
      <c r="Q76" s="3" t="s">
        <v>26</v>
      </c>
      <c r="R76" s="3">
        <v>0</v>
      </c>
      <c r="S76" s="3">
        <v>0</v>
      </c>
      <c r="T76" s="3">
        <v>3</v>
      </c>
      <c r="U76" s="3">
        <v>48</v>
      </c>
      <c r="V76" s="58">
        <f>IF(ISERROR(VLOOKUP($S$76,'TAR FIN'!$A$1:$O$86,15,0)),0,VLOOKUP($S$76,'TAR FIN'!$A$1:$O$86,15,0))</f>
        <v>0</v>
      </c>
      <c r="W76" s="58">
        <f>IF(ISERROR(VLOOKUP($T$76,'TAR FIN'!$A$1:$O$86,15,0)),0,VLOOKUP($T$76,'TAR FIN'!$A$1:$O$86,15,0))*(1-0.04)</f>
        <v>65.807999999999993</v>
      </c>
      <c r="X76" s="58">
        <f>IF(ISERROR(VLOOKUP($U$76,'TAR FIN'!$A$1:$O$86,15,0)),0,VLOOKUP($U$76,'TAR FIN'!$A$1:$O$86,15,0))*(1-0.04)</f>
        <v>203.07839999999999</v>
      </c>
      <c r="Y76" s="58"/>
      <c r="Z76" s="58">
        <f ca="1">('TUSD BE'!$AM$12+'TUSD BF'!$AM$12+'TUSD CVA'!$AM$12)*1*(1-0.02)</f>
        <v>94.759808934919519</v>
      </c>
      <c r="AA76" s="58">
        <f>('TE BE'!$AB$6+'TE BF'!$AB$6+'TE CVA'!$AB$6)*1*(1-0.02)</f>
        <v>192.63738650886071</v>
      </c>
      <c r="AB76" s="58">
        <f>(SUBSIDIO!$J$76*SUBSIDIO!$V$76)*(0.04)/(1-0.04)</f>
        <v>0</v>
      </c>
      <c r="AC76" s="58">
        <f>((SUBSIDIO!$L$76*SUBSIDIO!$W$76)+(SUBSIDIO!$N$76*SUBSIDIO!$X$76))*(0.04)/(1-0.04)</f>
        <v>33.577189199999992</v>
      </c>
      <c r="AD76" s="58">
        <f>(SUBSIDIO!$J$76*SUBSIDIO!$Y$76)*(0.02)/(1-0.02)</f>
        <v>0</v>
      </c>
      <c r="AE76" s="58">
        <f ca="1">((SUBSIDIO!$L$76*SUBSIDIO!$Z$76)+(SUBSIDIO!$N$76*SUBSIDIO!$AA$76))*(0.02)/(1-0.02)</f>
        <v>17.578150913163459</v>
      </c>
      <c r="AF76" s="3" t="s">
        <v>589</v>
      </c>
    </row>
    <row r="77" spans="1:32" ht="11.25" customHeight="1" x14ac:dyDescent="0.25">
      <c r="A77" s="3" t="s">
        <v>21</v>
      </c>
      <c r="B77" s="3" t="s">
        <v>35</v>
      </c>
      <c r="C77" s="3" t="s">
        <v>39</v>
      </c>
      <c r="D77" s="3" t="s">
        <v>42</v>
      </c>
      <c r="E77" s="3" t="s">
        <v>25</v>
      </c>
      <c r="F77" s="3" t="s">
        <v>25</v>
      </c>
      <c r="G77" s="3" t="s">
        <v>25</v>
      </c>
      <c r="H77" s="3" t="s">
        <v>38</v>
      </c>
      <c r="I77" s="6">
        <v>44470</v>
      </c>
      <c r="J77" s="4">
        <v>0</v>
      </c>
      <c r="K77" s="58">
        <v>0</v>
      </c>
      <c r="L77" s="4">
        <v>17.882000000000001</v>
      </c>
      <c r="M77" s="58">
        <v>17.882000000000001</v>
      </c>
      <c r="N77" s="4">
        <v>17.882000000000001</v>
      </c>
      <c r="O77" s="58">
        <v>17.882000000000001</v>
      </c>
      <c r="P77" s="4">
        <v>0</v>
      </c>
      <c r="Q77" s="3" t="s">
        <v>26</v>
      </c>
      <c r="R77" s="3">
        <v>0</v>
      </c>
      <c r="S77" s="3">
        <v>0</v>
      </c>
      <c r="T77" s="3">
        <v>3</v>
      </c>
      <c r="U77" s="3">
        <v>48</v>
      </c>
      <c r="V77" s="58">
        <f>IF(ISERROR(VLOOKUP($S$77,'TAR FIN'!$A$1:$O$86,15,0)),0,VLOOKUP($S$77,'TAR FIN'!$A$1:$O$86,15,0))</f>
        <v>0</v>
      </c>
      <c r="W77" s="58">
        <f>IF(ISERROR(VLOOKUP($T$77,'TAR FIN'!$A$1:$O$86,15,0)),0,VLOOKUP($T$77,'TAR FIN'!$A$1:$O$86,15,0))*(1-0.04)</f>
        <v>65.807999999999993</v>
      </c>
      <c r="X77" s="58">
        <f>IF(ISERROR(VLOOKUP($U$77,'TAR FIN'!$A$1:$O$86,15,0)),0,VLOOKUP($U$77,'TAR FIN'!$A$1:$O$86,15,0))*(1-0.04)</f>
        <v>203.07839999999999</v>
      </c>
      <c r="Y77" s="58"/>
      <c r="Z77" s="58">
        <f ca="1">('TUSD BE'!$AM$12+'TUSD BF'!$AM$12+'TUSD CVA'!$AM$12)*1*(1-0.02)</f>
        <v>94.759808934919519</v>
      </c>
      <c r="AA77" s="58">
        <f>('TE BE'!$AB$6+'TE BF'!$AB$6+'TE CVA'!$AB$6)*1*(1-0.02)</f>
        <v>192.63738650886071</v>
      </c>
      <c r="AB77" s="58">
        <f>(SUBSIDIO!$J$77*SUBSIDIO!$V$77)*(0.04)/(1-0.04)</f>
        <v>0</v>
      </c>
      <c r="AC77" s="58">
        <f>((SUBSIDIO!$L$77*SUBSIDIO!$W$77)+(SUBSIDIO!$N$77*SUBSIDIO!$X$77))*(0.04)/(1-0.04)</f>
        <v>200.34277520000001</v>
      </c>
      <c r="AD77" s="58">
        <f>(SUBSIDIO!$J$77*SUBSIDIO!$Y$77)*(0.02)/(1-0.02)</f>
        <v>0</v>
      </c>
      <c r="AE77" s="58">
        <f ca="1">((SUBSIDIO!$L$77*SUBSIDIO!$Z$77)+(SUBSIDIO!$N$77*SUBSIDIO!$AA$77))*(0.02)/(1-0.02)</f>
        <v>104.88238059031998</v>
      </c>
      <c r="AF77" s="3" t="s">
        <v>589</v>
      </c>
    </row>
    <row r="78" spans="1:32" ht="11.25" customHeight="1" x14ac:dyDescent="0.25">
      <c r="A78" s="3" t="s">
        <v>21</v>
      </c>
      <c r="B78" s="3" t="s">
        <v>35</v>
      </c>
      <c r="C78" s="3" t="s">
        <v>39</v>
      </c>
      <c r="D78" s="3" t="s">
        <v>42</v>
      </c>
      <c r="E78" s="3" t="s">
        <v>25</v>
      </c>
      <c r="F78" s="3" t="s">
        <v>25</v>
      </c>
      <c r="G78" s="3" t="s">
        <v>25</v>
      </c>
      <c r="H78" s="3" t="s">
        <v>38</v>
      </c>
      <c r="I78" s="6">
        <v>44501</v>
      </c>
      <c r="J78" s="4">
        <v>0</v>
      </c>
      <c r="K78" s="58">
        <v>0</v>
      </c>
      <c r="L78" s="4">
        <v>29.914000000000001</v>
      </c>
      <c r="M78" s="58">
        <v>29.914000000000001</v>
      </c>
      <c r="N78" s="4">
        <v>29.914000000000001</v>
      </c>
      <c r="O78" s="58">
        <v>29.914000000000001</v>
      </c>
      <c r="P78" s="4">
        <v>0</v>
      </c>
      <c r="Q78" s="3" t="s">
        <v>26</v>
      </c>
      <c r="R78" s="3">
        <v>0</v>
      </c>
      <c r="S78" s="3">
        <v>0</v>
      </c>
      <c r="T78" s="3">
        <v>3</v>
      </c>
      <c r="U78" s="3">
        <v>48</v>
      </c>
      <c r="V78" s="58">
        <f>IF(ISERROR(VLOOKUP($S$78,'TAR FIN'!$A$1:$O$86,15,0)),0,VLOOKUP($S$78,'TAR FIN'!$A$1:$O$86,15,0))</f>
        <v>0</v>
      </c>
      <c r="W78" s="58">
        <f>IF(ISERROR(VLOOKUP($T$78,'TAR FIN'!$A$1:$O$86,15,0)),0,VLOOKUP($T$78,'TAR FIN'!$A$1:$O$86,15,0))*(1-0.04)</f>
        <v>65.807999999999993</v>
      </c>
      <c r="X78" s="58">
        <f>IF(ISERROR(VLOOKUP($U$78,'TAR FIN'!$A$1:$O$86,15,0)),0,VLOOKUP($U$78,'TAR FIN'!$A$1:$O$86,15,0))*(1-0.04)</f>
        <v>203.07839999999999</v>
      </c>
      <c r="Y78" s="58"/>
      <c r="Z78" s="58">
        <f ca="1">('TUSD BE'!$AM$12+'TUSD BF'!$AM$12+'TUSD CVA'!$AM$12)*1*(1-0.02)</f>
        <v>94.759808934919519</v>
      </c>
      <c r="AA78" s="58">
        <f>('TE BE'!$AB$6+'TE BF'!$AB$6+'TE CVA'!$AB$6)*1*(1-0.02)</f>
        <v>192.63738650886071</v>
      </c>
      <c r="AB78" s="58">
        <f>(SUBSIDIO!$J$78*SUBSIDIO!$V$78)*(0.04)/(1-0.04)</f>
        <v>0</v>
      </c>
      <c r="AC78" s="58">
        <f>((SUBSIDIO!$L$78*SUBSIDIO!$W$78)+(SUBSIDIO!$N$78*SUBSIDIO!$X$78))*(0.04)/(1-0.04)</f>
        <v>335.1444904</v>
      </c>
      <c r="AD78" s="58">
        <f>(SUBSIDIO!$J$78*SUBSIDIO!$Y$78)*(0.02)/(1-0.02)</f>
        <v>0</v>
      </c>
      <c r="AE78" s="58">
        <f ca="1">((SUBSIDIO!$L$78*SUBSIDIO!$Z$78)+(SUBSIDIO!$N$78*SUBSIDIO!$AA$78))*(0.02)/(1-0.02)</f>
        <v>175.45305519398457</v>
      </c>
      <c r="AF78" s="3" t="s">
        <v>589</v>
      </c>
    </row>
    <row r="79" spans="1:32" ht="11.25" customHeight="1" x14ac:dyDescent="0.25">
      <c r="A79" s="3" t="s">
        <v>21</v>
      </c>
      <c r="B79" s="3" t="s">
        <v>35</v>
      </c>
      <c r="C79" s="3" t="s">
        <v>39</v>
      </c>
      <c r="D79" s="3" t="s">
        <v>42</v>
      </c>
      <c r="E79" s="3" t="s">
        <v>25</v>
      </c>
      <c r="F79" s="3" t="s">
        <v>25</v>
      </c>
      <c r="G79" s="3" t="s">
        <v>25</v>
      </c>
      <c r="H79" s="3" t="s">
        <v>38</v>
      </c>
      <c r="I79" s="6">
        <v>44531</v>
      </c>
      <c r="J79" s="4">
        <v>0</v>
      </c>
      <c r="K79" s="58">
        <v>0</v>
      </c>
      <c r="L79" s="4">
        <v>35.438000000000002</v>
      </c>
      <c r="M79" s="58">
        <v>35.438000000000002</v>
      </c>
      <c r="N79" s="4">
        <v>35.438000000000002</v>
      </c>
      <c r="O79" s="58">
        <v>35.438000000000002</v>
      </c>
      <c r="P79" s="4">
        <v>0</v>
      </c>
      <c r="Q79" s="3" t="s">
        <v>26</v>
      </c>
      <c r="R79" s="3">
        <v>0</v>
      </c>
      <c r="S79" s="3">
        <v>0</v>
      </c>
      <c r="T79" s="3">
        <v>3</v>
      </c>
      <c r="U79" s="3">
        <v>48</v>
      </c>
      <c r="V79" s="58">
        <f>IF(ISERROR(VLOOKUP($S$79,'TAR FIN'!$A$1:$O$86,15,0)),0,VLOOKUP($S$79,'TAR FIN'!$A$1:$O$86,15,0))</f>
        <v>0</v>
      </c>
      <c r="W79" s="58">
        <f>IF(ISERROR(VLOOKUP($T$79,'TAR FIN'!$A$1:$O$86,15,0)),0,VLOOKUP($T$79,'TAR FIN'!$A$1:$O$86,15,0))*(1-0.04)</f>
        <v>65.807999999999993</v>
      </c>
      <c r="X79" s="58">
        <f>IF(ISERROR(VLOOKUP($U$79,'TAR FIN'!$A$1:$O$86,15,0)),0,VLOOKUP($U$79,'TAR FIN'!$A$1:$O$86,15,0))*(1-0.04)</f>
        <v>203.07839999999999</v>
      </c>
      <c r="Y79" s="58"/>
      <c r="Z79" s="58">
        <f ca="1">('TUSD BE'!$AM$12+'TUSD BF'!$AM$12+'TUSD CVA'!$AM$12)*1*(1-0.02)</f>
        <v>94.759808934919519</v>
      </c>
      <c r="AA79" s="58">
        <f>('TE BE'!$AB$6+'TE BF'!$AB$6+'TE CVA'!$AB$6)*1*(1-0.02)</f>
        <v>192.63738650886071</v>
      </c>
      <c r="AB79" s="58">
        <f>(SUBSIDIO!$J$79*SUBSIDIO!$V$79)*(0.04)/(1-0.04)</f>
        <v>0</v>
      </c>
      <c r="AC79" s="58">
        <f>((SUBSIDIO!$L$79*SUBSIDIO!$W$79)+(SUBSIDIO!$N$79*SUBSIDIO!$X$79))*(0.04)/(1-0.04)</f>
        <v>397.03317680000004</v>
      </c>
      <c r="AD79" s="58">
        <f>(SUBSIDIO!$J$79*SUBSIDIO!$Y$79)*(0.02)/(1-0.02)</f>
        <v>0</v>
      </c>
      <c r="AE79" s="58">
        <f ca="1">((SUBSIDIO!$L$79*SUBSIDIO!$Z$79)+(SUBSIDIO!$N$79*SUBSIDIO!$AA$79))*(0.02)/(1-0.02)</f>
        <v>207.8526900436058</v>
      </c>
      <c r="AF79" s="3" t="s">
        <v>589</v>
      </c>
    </row>
    <row r="80" spans="1:32" ht="11.25" customHeight="1" x14ac:dyDescent="0.25">
      <c r="A80" s="3" t="s">
        <v>21</v>
      </c>
      <c r="B80" s="3" t="s">
        <v>35</v>
      </c>
      <c r="C80" s="3" t="s">
        <v>39</v>
      </c>
      <c r="D80" s="3" t="s">
        <v>42</v>
      </c>
      <c r="E80" s="3" t="s">
        <v>25</v>
      </c>
      <c r="F80" s="3" t="s">
        <v>25</v>
      </c>
      <c r="G80" s="3" t="s">
        <v>25</v>
      </c>
      <c r="H80" s="3" t="s">
        <v>38</v>
      </c>
      <c r="I80" s="6">
        <v>44562</v>
      </c>
      <c r="J80" s="4">
        <v>0</v>
      </c>
      <c r="K80" s="58">
        <v>0</v>
      </c>
      <c r="L80" s="4">
        <v>67.201999999999998</v>
      </c>
      <c r="M80" s="58">
        <v>67.201999999999998</v>
      </c>
      <c r="N80" s="4">
        <v>67.201999999999998</v>
      </c>
      <c r="O80" s="58">
        <v>67.201999999999998</v>
      </c>
      <c r="P80" s="4">
        <v>0</v>
      </c>
      <c r="Q80" s="3" t="s">
        <v>26</v>
      </c>
      <c r="R80" s="3">
        <v>0</v>
      </c>
      <c r="S80" s="3">
        <v>0</v>
      </c>
      <c r="T80" s="3">
        <v>3</v>
      </c>
      <c r="U80" s="3">
        <v>48</v>
      </c>
      <c r="V80" s="58">
        <f>IF(ISERROR(VLOOKUP($S$80,'TAR FIN'!$A$1:$O$86,15,0)),0,VLOOKUP($S$80,'TAR FIN'!$A$1:$O$86,15,0))</f>
        <v>0</v>
      </c>
      <c r="W80" s="58">
        <f>IF(ISERROR(VLOOKUP($T$80,'TAR FIN'!$A$1:$O$86,15,0)),0,VLOOKUP($T$80,'TAR FIN'!$A$1:$O$86,15,0))*(1-0.04)</f>
        <v>65.807999999999993</v>
      </c>
      <c r="X80" s="58">
        <f>IF(ISERROR(VLOOKUP($U$80,'TAR FIN'!$A$1:$O$86,15,0)),0,VLOOKUP($U$80,'TAR FIN'!$A$1:$O$86,15,0))*(1-0.04)</f>
        <v>203.07839999999999</v>
      </c>
      <c r="Y80" s="58"/>
      <c r="Z80" s="58">
        <f ca="1">('TUSD BE'!$AM$12+'TUSD BF'!$AM$12+'TUSD CVA'!$AM$12)*1*(1-0.02)</f>
        <v>94.759808934919519</v>
      </c>
      <c r="AA80" s="58">
        <f>('TE BE'!$AB$6+'TE BF'!$AB$6+'TE CVA'!$AB$6)*1*(1-0.02)</f>
        <v>192.63738650886071</v>
      </c>
      <c r="AB80" s="58">
        <f>(SUBSIDIO!$J$80*SUBSIDIO!$V$80)*(0.04)/(1-0.04)</f>
        <v>0</v>
      </c>
      <c r="AC80" s="58">
        <f>((SUBSIDIO!$L$80*SUBSIDIO!$W$80)+(SUBSIDIO!$N$80*SUBSIDIO!$X$80))*(0.04)/(1-0.04)</f>
        <v>752.9043271999999</v>
      </c>
      <c r="AD80" s="58">
        <f>(SUBSIDIO!$J$80*SUBSIDIO!$Y$80)*(0.02)/(1-0.02)</f>
        <v>0</v>
      </c>
      <c r="AE80" s="58">
        <f ca="1">((SUBSIDIO!$L$80*SUBSIDIO!$Z$80)+(SUBSIDIO!$N$80*SUBSIDIO!$AA$80))*(0.02)/(1-0.02)</f>
        <v>394.15645567781473</v>
      </c>
      <c r="AF80" s="3" t="s">
        <v>589</v>
      </c>
    </row>
    <row r="81" spans="1:32" ht="11.25" customHeight="1" x14ac:dyDescent="0.25">
      <c r="A81" s="3" t="s">
        <v>21</v>
      </c>
      <c r="B81" s="3" t="s">
        <v>35</v>
      </c>
      <c r="C81" s="3" t="s">
        <v>39</v>
      </c>
      <c r="D81" s="3" t="s">
        <v>42</v>
      </c>
      <c r="E81" s="3" t="s">
        <v>25</v>
      </c>
      <c r="F81" s="3" t="s">
        <v>25</v>
      </c>
      <c r="G81" s="3" t="s">
        <v>25</v>
      </c>
      <c r="H81" s="3" t="s">
        <v>38</v>
      </c>
      <c r="I81" s="6">
        <v>44593</v>
      </c>
      <c r="J81" s="4">
        <v>0</v>
      </c>
      <c r="K81" s="58">
        <v>0</v>
      </c>
      <c r="L81" s="4">
        <v>33.357999999999997</v>
      </c>
      <c r="M81" s="58">
        <v>33.357999999999997</v>
      </c>
      <c r="N81" s="4">
        <v>33.357999999999997</v>
      </c>
      <c r="O81" s="58">
        <v>33.357999999999997</v>
      </c>
      <c r="P81" s="4">
        <v>0</v>
      </c>
      <c r="Q81" s="3" t="s">
        <v>26</v>
      </c>
      <c r="R81" s="3">
        <v>0</v>
      </c>
      <c r="S81" s="3">
        <v>0</v>
      </c>
      <c r="T81" s="3">
        <v>3</v>
      </c>
      <c r="U81" s="3">
        <v>48</v>
      </c>
      <c r="V81" s="58">
        <f>IF(ISERROR(VLOOKUP($S$81,'TAR FIN'!$A$1:$O$86,15,0)),0,VLOOKUP($S$81,'TAR FIN'!$A$1:$O$86,15,0))</f>
        <v>0</v>
      </c>
      <c r="W81" s="58">
        <f>IF(ISERROR(VLOOKUP($T$81,'TAR FIN'!$A$1:$O$86,15,0)),0,VLOOKUP($T$81,'TAR FIN'!$A$1:$O$86,15,0))*(1-0.04)</f>
        <v>65.807999999999993</v>
      </c>
      <c r="X81" s="58">
        <f>IF(ISERROR(VLOOKUP($U$81,'TAR FIN'!$A$1:$O$86,15,0)),0,VLOOKUP($U$81,'TAR FIN'!$A$1:$O$86,15,0))*(1-0.04)</f>
        <v>203.07839999999999</v>
      </c>
      <c r="Y81" s="58"/>
      <c r="Z81" s="58">
        <f ca="1">('TUSD BE'!$AM$12+'TUSD BF'!$AM$12+'TUSD CVA'!$AM$12)*1*(1-0.02)</f>
        <v>94.759808934919519</v>
      </c>
      <c r="AA81" s="58">
        <f>('TE BE'!$AB$6+'TE BF'!$AB$6+'TE CVA'!$AB$6)*1*(1-0.02)</f>
        <v>192.63738650886071</v>
      </c>
      <c r="AB81" s="58">
        <f>(SUBSIDIO!$J$81*SUBSIDIO!$V$81)*(0.04)/(1-0.04)</f>
        <v>0</v>
      </c>
      <c r="AC81" s="58">
        <f>((SUBSIDIO!$L$81*SUBSIDIO!$W$81)+(SUBSIDIO!$N$81*SUBSIDIO!$X$81))*(0.04)/(1-0.04)</f>
        <v>373.72968879999996</v>
      </c>
      <c r="AD81" s="58">
        <f>(SUBSIDIO!$J$81*SUBSIDIO!$Y$81)*(0.02)/(1-0.02)</f>
        <v>0</v>
      </c>
      <c r="AE81" s="58">
        <f ca="1">((SUBSIDIO!$L$81*SUBSIDIO!$Z$81)+(SUBSIDIO!$N$81*SUBSIDIO!$AA$81))*(0.02)/(1-0.02)</f>
        <v>195.65297235946164</v>
      </c>
      <c r="AF81" s="3" t="s">
        <v>589</v>
      </c>
    </row>
    <row r="82" spans="1:32" ht="11.25" customHeight="1" x14ac:dyDescent="0.25">
      <c r="A82" s="3" t="s">
        <v>21</v>
      </c>
      <c r="B82" s="3" t="s">
        <v>35</v>
      </c>
      <c r="C82" s="3" t="s">
        <v>39</v>
      </c>
      <c r="D82" s="3" t="s">
        <v>42</v>
      </c>
      <c r="E82" s="3" t="s">
        <v>25</v>
      </c>
      <c r="F82" s="3" t="s">
        <v>25</v>
      </c>
      <c r="G82" s="3" t="s">
        <v>25</v>
      </c>
      <c r="H82" s="3" t="s">
        <v>38</v>
      </c>
      <c r="I82" s="6">
        <v>44621</v>
      </c>
      <c r="J82" s="4">
        <v>0</v>
      </c>
      <c r="K82" s="58">
        <v>0</v>
      </c>
      <c r="L82" s="4">
        <v>31.106000000000002</v>
      </c>
      <c r="M82" s="58">
        <v>31.106000000000002</v>
      </c>
      <c r="N82" s="4">
        <v>31.106000000000002</v>
      </c>
      <c r="O82" s="58">
        <v>31.106000000000002</v>
      </c>
      <c r="P82" s="4">
        <v>0</v>
      </c>
      <c r="Q82" s="3" t="s">
        <v>26</v>
      </c>
      <c r="R82" s="3">
        <v>0</v>
      </c>
      <c r="S82" s="3">
        <v>0</v>
      </c>
      <c r="T82" s="3">
        <v>3</v>
      </c>
      <c r="U82" s="3">
        <v>48</v>
      </c>
      <c r="V82" s="58">
        <f>IF(ISERROR(VLOOKUP($S$82,'TAR FIN'!$A$1:$O$86,15,0)),0,VLOOKUP($S$82,'TAR FIN'!$A$1:$O$86,15,0))</f>
        <v>0</v>
      </c>
      <c r="W82" s="58">
        <f>IF(ISERROR(VLOOKUP($T$82,'TAR FIN'!$A$1:$O$86,15,0)),0,VLOOKUP($T$82,'TAR FIN'!$A$1:$O$86,15,0))*(1-0.04)</f>
        <v>65.807999999999993</v>
      </c>
      <c r="X82" s="58">
        <f>IF(ISERROR(VLOOKUP($U$82,'TAR FIN'!$A$1:$O$86,15,0)),0,VLOOKUP($U$82,'TAR FIN'!$A$1:$O$86,15,0))*(1-0.04)</f>
        <v>203.07839999999999</v>
      </c>
      <c r="Y82" s="58"/>
      <c r="Z82" s="58">
        <f ca="1">('TUSD BE'!$AM$12+'TUSD BF'!$AM$12+'TUSD CVA'!$AM$12)*1*(1-0.02)</f>
        <v>94.759808934919519</v>
      </c>
      <c r="AA82" s="58">
        <f>('TE BE'!$AB$6+'TE BF'!$AB$6+'TE CVA'!$AB$6)*1*(1-0.02)</f>
        <v>192.63738650886071</v>
      </c>
      <c r="AB82" s="58">
        <f>(SUBSIDIO!$J$82*SUBSIDIO!$V$82)*(0.04)/(1-0.04)</f>
        <v>0</v>
      </c>
      <c r="AC82" s="58">
        <f>((SUBSIDIO!$L$82*SUBSIDIO!$W$82)+(SUBSIDIO!$N$82*SUBSIDIO!$X$82))*(0.04)/(1-0.04)</f>
        <v>348.49918160000004</v>
      </c>
      <c r="AD82" s="58">
        <f>(SUBSIDIO!$J$82*SUBSIDIO!$Y$82)*(0.02)/(1-0.02)</f>
        <v>0</v>
      </c>
      <c r="AE82" s="58">
        <f ca="1">((SUBSIDIO!$L$82*SUBSIDIO!$Z$82)+(SUBSIDIO!$N$82*SUBSIDIO!$AA$82))*(0.02)/(1-0.02)</f>
        <v>182.44443186682099</v>
      </c>
      <c r="AF82" s="3" t="s">
        <v>589</v>
      </c>
    </row>
    <row r="83" spans="1:32" ht="11.25" customHeight="1" x14ac:dyDescent="0.25">
      <c r="A83" s="3" t="s">
        <v>21</v>
      </c>
      <c r="B83" s="3" t="s">
        <v>35</v>
      </c>
      <c r="C83" s="3" t="s">
        <v>39</v>
      </c>
      <c r="D83" s="3" t="s">
        <v>42</v>
      </c>
      <c r="E83" s="3" t="s">
        <v>25</v>
      </c>
      <c r="F83" s="3" t="s">
        <v>25</v>
      </c>
      <c r="G83" s="3" t="s">
        <v>25</v>
      </c>
      <c r="H83" s="3" t="s">
        <v>38</v>
      </c>
      <c r="I83" s="6">
        <v>44652</v>
      </c>
      <c r="J83" s="4">
        <v>0</v>
      </c>
      <c r="K83" s="58">
        <v>0</v>
      </c>
      <c r="L83" s="4">
        <v>23.597999999999999</v>
      </c>
      <c r="M83" s="58">
        <v>23.597999999999999</v>
      </c>
      <c r="N83" s="4">
        <v>23.597999999999999</v>
      </c>
      <c r="O83" s="58">
        <v>23.597999999999999</v>
      </c>
      <c r="P83" s="4">
        <v>0</v>
      </c>
      <c r="Q83" s="3" t="s">
        <v>26</v>
      </c>
      <c r="R83" s="3">
        <v>0</v>
      </c>
      <c r="S83" s="3">
        <v>0</v>
      </c>
      <c r="T83" s="3">
        <v>3</v>
      </c>
      <c r="U83" s="3">
        <v>48</v>
      </c>
      <c r="V83" s="58">
        <f>IF(ISERROR(VLOOKUP($S$83,'TAR FIN'!$A$1:$O$86,15,0)),0,VLOOKUP($S$83,'TAR FIN'!$A$1:$O$86,15,0))</f>
        <v>0</v>
      </c>
      <c r="W83" s="58">
        <f>IF(ISERROR(VLOOKUP($T$83,'TAR FIN'!$A$1:$O$86,15,0)),0,VLOOKUP($T$83,'TAR FIN'!$A$1:$O$86,15,0))*(1-0.04)</f>
        <v>65.807999999999993</v>
      </c>
      <c r="X83" s="58">
        <f>IF(ISERROR(VLOOKUP($U$83,'TAR FIN'!$A$1:$O$86,15,0)),0,VLOOKUP($U$83,'TAR FIN'!$A$1:$O$86,15,0))*(1-0.04)</f>
        <v>203.07839999999999</v>
      </c>
      <c r="Y83" s="58"/>
      <c r="Z83" s="58">
        <f ca="1">('TUSD BE'!$AM$12+'TUSD BF'!$AM$12+'TUSD CVA'!$AM$12)*1*(1-0.02)</f>
        <v>94.759808934919519</v>
      </c>
      <c r="AA83" s="58">
        <f>('TE BE'!$AB$6+'TE BF'!$AB$6+'TE CVA'!$AB$6)*1*(1-0.02)</f>
        <v>192.63738650886071</v>
      </c>
      <c r="AB83" s="58">
        <f>(SUBSIDIO!$J$83*SUBSIDIO!$V$83)*(0.04)/(1-0.04)</f>
        <v>0</v>
      </c>
      <c r="AC83" s="58">
        <f>((SUBSIDIO!$L$83*SUBSIDIO!$W$83)+(SUBSIDIO!$N$83*SUBSIDIO!$X$83))*(0.04)/(1-0.04)</f>
        <v>264.38255279999998</v>
      </c>
      <c r="AD83" s="58">
        <f>(SUBSIDIO!$J$83*SUBSIDIO!$Y$83)*(0.02)/(1-0.02)</f>
        <v>0</v>
      </c>
      <c r="AE83" s="58">
        <f ca="1">((SUBSIDIO!$L$83*SUBSIDIO!$Z$83)+(SUBSIDIO!$N$83*SUBSIDIO!$AA$83))*(0.02)/(1-0.02)</f>
        <v>138.40814322616993</v>
      </c>
      <c r="AF83" s="3" t="s">
        <v>589</v>
      </c>
    </row>
    <row r="84" spans="1:32" ht="11.25" customHeight="1" x14ac:dyDescent="0.25">
      <c r="A84" s="3" t="s">
        <v>21</v>
      </c>
      <c r="B84" s="3" t="s">
        <v>35</v>
      </c>
      <c r="C84" s="3" t="s">
        <v>39</v>
      </c>
      <c r="D84" s="3" t="s">
        <v>42</v>
      </c>
      <c r="E84" s="3" t="s">
        <v>25</v>
      </c>
      <c r="F84" s="3" t="s">
        <v>25</v>
      </c>
      <c r="G84" s="3" t="s">
        <v>25</v>
      </c>
      <c r="H84" s="3" t="s">
        <v>38</v>
      </c>
      <c r="I84" s="6">
        <v>44682</v>
      </c>
      <c r="J84" s="4">
        <v>0</v>
      </c>
      <c r="K84" s="58">
        <v>0</v>
      </c>
      <c r="L84" s="4">
        <v>19.457999999999998</v>
      </c>
      <c r="M84" s="58">
        <v>19.457999999999998</v>
      </c>
      <c r="N84" s="4">
        <v>19.457999999999998</v>
      </c>
      <c r="O84" s="58">
        <v>19.457999999999998</v>
      </c>
      <c r="P84" s="4">
        <v>0</v>
      </c>
      <c r="Q84" s="3" t="s">
        <v>26</v>
      </c>
      <c r="R84" s="3">
        <v>0</v>
      </c>
      <c r="S84" s="3">
        <v>0</v>
      </c>
      <c r="T84" s="3">
        <v>3</v>
      </c>
      <c r="U84" s="3">
        <v>48</v>
      </c>
      <c r="V84" s="58">
        <f>IF(ISERROR(VLOOKUP($S$84,'TAR FIN'!$A$1:$O$86,15,0)),0,VLOOKUP($S$84,'TAR FIN'!$A$1:$O$86,15,0))</f>
        <v>0</v>
      </c>
      <c r="W84" s="58">
        <f>IF(ISERROR(VLOOKUP($T$84,'TAR FIN'!$A$1:$O$86,15,0)),0,VLOOKUP($T$84,'TAR FIN'!$A$1:$O$86,15,0))*(1-0.04)</f>
        <v>65.807999999999993</v>
      </c>
      <c r="X84" s="58">
        <f>IF(ISERROR(VLOOKUP($U$84,'TAR FIN'!$A$1:$O$86,15,0)),0,VLOOKUP($U$84,'TAR FIN'!$A$1:$O$86,15,0))*(1-0.04)</f>
        <v>203.07839999999999</v>
      </c>
      <c r="Y84" s="58"/>
      <c r="Z84" s="58">
        <f ca="1">('TUSD BE'!$AM$12+'TUSD BF'!$AM$12+'TUSD CVA'!$AM$12)*1*(1-0.02)</f>
        <v>94.759808934919519</v>
      </c>
      <c r="AA84" s="58">
        <f>('TE BE'!$AB$6+'TE BF'!$AB$6+'TE CVA'!$AB$6)*1*(1-0.02)</f>
        <v>192.63738650886071</v>
      </c>
      <c r="AB84" s="58">
        <f>(SUBSIDIO!$J$84*SUBSIDIO!$V$84)*(0.04)/(1-0.04)</f>
        <v>0</v>
      </c>
      <c r="AC84" s="58">
        <f>((SUBSIDIO!$L$84*SUBSIDIO!$W$84)+(SUBSIDIO!$N$84*SUBSIDIO!$X$84))*(0.04)/(1-0.04)</f>
        <v>217.99964879999999</v>
      </c>
      <c r="AD84" s="58">
        <f>(SUBSIDIO!$J$84*SUBSIDIO!$Y$84)*(0.02)/(1-0.02)</f>
        <v>0</v>
      </c>
      <c r="AE84" s="58">
        <f ca="1">((SUBSIDIO!$L$84*SUBSIDIO!$Z$84)+(SUBSIDIO!$N$84*SUBSIDIO!$AA$84))*(0.02)/(1-0.02)</f>
        <v>114.12601283561378</v>
      </c>
      <c r="AF84" s="3" t="s">
        <v>589</v>
      </c>
    </row>
    <row r="85" spans="1:32" ht="11.25" customHeight="1" x14ac:dyDescent="0.25">
      <c r="A85" s="3" t="s">
        <v>21</v>
      </c>
      <c r="B85" s="3" t="s">
        <v>35</v>
      </c>
      <c r="C85" s="3" t="s">
        <v>39</v>
      </c>
      <c r="D85" s="3" t="s">
        <v>42</v>
      </c>
      <c r="E85" s="3" t="s">
        <v>25</v>
      </c>
      <c r="F85" s="3" t="s">
        <v>25</v>
      </c>
      <c r="G85" s="3" t="s">
        <v>25</v>
      </c>
      <c r="H85" s="3" t="s">
        <v>38</v>
      </c>
      <c r="I85" s="6">
        <v>44713</v>
      </c>
      <c r="J85" s="4">
        <v>0</v>
      </c>
      <c r="K85" s="58">
        <v>0</v>
      </c>
      <c r="L85" s="4">
        <v>18.079000000000001</v>
      </c>
      <c r="M85" s="58">
        <v>18.079000000000001</v>
      </c>
      <c r="N85" s="4">
        <v>18.079000000000001</v>
      </c>
      <c r="O85" s="58">
        <v>18.079000000000001</v>
      </c>
      <c r="P85" s="4">
        <v>0</v>
      </c>
      <c r="Q85" s="3" t="s">
        <v>26</v>
      </c>
      <c r="R85" s="3">
        <v>0</v>
      </c>
      <c r="S85" s="3">
        <v>0</v>
      </c>
      <c r="T85" s="3">
        <v>3</v>
      </c>
      <c r="U85" s="3">
        <v>48</v>
      </c>
      <c r="V85" s="58">
        <f>IF(ISERROR(VLOOKUP($S$85,'TAR FIN'!$A$1:$O$86,15,0)),0,VLOOKUP($S$85,'TAR FIN'!$A$1:$O$86,15,0))</f>
        <v>0</v>
      </c>
      <c r="W85" s="58">
        <f>IF(ISERROR(VLOOKUP($T$85,'TAR FIN'!$A$1:$O$86,15,0)),0,VLOOKUP($T$85,'TAR FIN'!$A$1:$O$86,15,0))*(1-0.04)</f>
        <v>65.807999999999993</v>
      </c>
      <c r="X85" s="58">
        <f>IF(ISERROR(VLOOKUP($U$85,'TAR FIN'!$A$1:$O$86,15,0)),0,VLOOKUP($U$85,'TAR FIN'!$A$1:$O$86,15,0))*(1-0.04)</f>
        <v>203.07839999999999</v>
      </c>
      <c r="Y85" s="58"/>
      <c r="Z85" s="58">
        <f ca="1">('TUSD BE'!$AM$12+'TUSD BF'!$AM$12+'TUSD CVA'!$AM$12)*1*(1-0.02)</f>
        <v>94.759808934919519</v>
      </c>
      <c r="AA85" s="58">
        <f>('TE BE'!$AB$6+'TE BF'!$AB$6+'TE CVA'!$AB$6)*1*(1-0.02)</f>
        <v>192.63738650886071</v>
      </c>
      <c r="AB85" s="58">
        <f>(SUBSIDIO!$J$85*SUBSIDIO!$V$85)*(0.04)/(1-0.04)</f>
        <v>0</v>
      </c>
      <c r="AC85" s="58">
        <f>((SUBSIDIO!$L$85*SUBSIDIO!$W$85)+(SUBSIDIO!$N$85*SUBSIDIO!$X$85))*(0.04)/(1-0.04)</f>
        <v>202.54988440000002</v>
      </c>
      <c r="AD85" s="58">
        <f>(SUBSIDIO!$J$85*SUBSIDIO!$Y$85)*(0.02)/(1-0.02)</f>
        <v>0</v>
      </c>
      <c r="AE85" s="58">
        <f ca="1">((SUBSIDIO!$L$85*SUBSIDIO!$Z$85)+(SUBSIDIO!$N$85*SUBSIDIO!$AA$85))*(0.02)/(1-0.02)</f>
        <v>106.0378346209817</v>
      </c>
      <c r="AF85" s="3" t="s">
        <v>589</v>
      </c>
    </row>
    <row r="86" spans="1:32" ht="11.25" customHeight="1" x14ac:dyDescent="0.25">
      <c r="A86" s="3" t="s">
        <v>21</v>
      </c>
      <c r="B86" s="3" t="s">
        <v>35</v>
      </c>
      <c r="C86" s="3" t="s">
        <v>39</v>
      </c>
      <c r="D86" s="3" t="s">
        <v>42</v>
      </c>
      <c r="E86" s="3" t="s">
        <v>25</v>
      </c>
      <c r="F86" s="3" t="s">
        <v>25</v>
      </c>
      <c r="G86" s="3" t="s">
        <v>25</v>
      </c>
      <c r="H86" s="3" t="s">
        <v>25</v>
      </c>
      <c r="I86" s="6">
        <v>44378</v>
      </c>
      <c r="J86" s="4">
        <v>110</v>
      </c>
      <c r="K86" s="58">
        <v>110</v>
      </c>
      <c r="L86" s="4">
        <v>0</v>
      </c>
      <c r="M86" s="58">
        <v>0</v>
      </c>
      <c r="N86" s="4">
        <v>0</v>
      </c>
      <c r="O86" s="58">
        <v>0</v>
      </c>
      <c r="P86" s="4">
        <v>1</v>
      </c>
      <c r="Q86" s="3" t="s">
        <v>26</v>
      </c>
      <c r="R86" s="3">
        <v>0</v>
      </c>
      <c r="S86" s="3">
        <v>31</v>
      </c>
      <c r="T86" s="3">
        <v>0</v>
      </c>
      <c r="U86" s="3">
        <v>0</v>
      </c>
      <c r="V86" s="58">
        <f>IF(ISERROR(VLOOKUP($S$86,'TAR FIN'!$A$1:$O$86,15,0)),0,VLOOKUP($S$86,'TAR FIN'!$A$1:$O$86,15,0))*(1-0.04)</f>
        <v>36.979199999999999</v>
      </c>
      <c r="W86" s="58">
        <f>IF(ISERROR(VLOOKUP($T$86,'TAR FIN'!$A$1:$O$86,15,0)),0,VLOOKUP($T$86,'TAR FIN'!$A$1:$O$86,15,0))</f>
        <v>0</v>
      </c>
      <c r="X86" s="58">
        <f>IF(ISERROR(VLOOKUP($U$86,'TAR FIN'!$A$1:$O$86,15,0)),0,VLOOKUP($U$86,'TAR FIN'!$A$1:$O$86,15,0))</f>
        <v>0</v>
      </c>
      <c r="Y86" s="58">
        <f ca="1">('TUSD BE'!$AM$10+'TUSD BF'!$AM$10+'TUSD CVA'!$AM$10)*1*(1-0.02)</f>
        <v>43.370109275458091</v>
      </c>
      <c r="Z86" s="58"/>
      <c r="AA86" s="58"/>
      <c r="AB86" s="58">
        <f>(SUBSIDIO!$J$86*SUBSIDIO!$V$86)*(0.04)/(1-0.04)</f>
        <v>169.48800000000003</v>
      </c>
      <c r="AC86" s="58">
        <f>((SUBSIDIO!$L$86*SUBSIDIO!$W$86)+(SUBSIDIO!$N$86*SUBSIDIO!$X$86))*(0.04)/(1-0.04)</f>
        <v>0</v>
      </c>
      <c r="AD86" s="58">
        <f ca="1">(SUBSIDIO!$J$86*SUBSIDIO!$Y$86)*(0.02)/(1-0.02)</f>
        <v>97.361469802048774</v>
      </c>
      <c r="AE86" s="58">
        <f>((SUBSIDIO!$L$86*SUBSIDIO!$Z$86)+(SUBSIDIO!$N$86*SUBSIDIO!$AA$86))*(0.02)/(1-0.02)</f>
        <v>0</v>
      </c>
      <c r="AF86" s="3" t="s">
        <v>589</v>
      </c>
    </row>
    <row r="87" spans="1:32" ht="11.25" customHeight="1" x14ac:dyDescent="0.25">
      <c r="A87" s="3" t="s">
        <v>21</v>
      </c>
      <c r="B87" s="3" t="s">
        <v>35</v>
      </c>
      <c r="C87" s="3" t="s">
        <v>39</v>
      </c>
      <c r="D87" s="3" t="s">
        <v>42</v>
      </c>
      <c r="E87" s="3" t="s">
        <v>25</v>
      </c>
      <c r="F87" s="3" t="s">
        <v>25</v>
      </c>
      <c r="G87" s="3" t="s">
        <v>25</v>
      </c>
      <c r="H87" s="3" t="s">
        <v>25</v>
      </c>
      <c r="I87" s="6">
        <v>44409</v>
      </c>
      <c r="J87" s="4">
        <v>110</v>
      </c>
      <c r="K87" s="58">
        <v>110</v>
      </c>
      <c r="L87" s="4">
        <v>0</v>
      </c>
      <c r="M87" s="58">
        <v>0</v>
      </c>
      <c r="N87" s="4">
        <v>0</v>
      </c>
      <c r="O87" s="58">
        <v>0</v>
      </c>
      <c r="P87" s="4">
        <v>1</v>
      </c>
      <c r="Q87" s="3" t="s">
        <v>26</v>
      </c>
      <c r="R87" s="3">
        <v>0</v>
      </c>
      <c r="S87" s="3">
        <v>31</v>
      </c>
      <c r="T87" s="3">
        <v>0</v>
      </c>
      <c r="U87" s="3">
        <v>0</v>
      </c>
      <c r="V87" s="58">
        <f>IF(ISERROR(VLOOKUP($S$87,'TAR FIN'!$A$1:$O$86,15,0)),0,VLOOKUP($S$87,'TAR FIN'!$A$1:$O$86,15,0))*(1-0.04)</f>
        <v>36.979199999999999</v>
      </c>
      <c r="W87" s="58">
        <f>IF(ISERROR(VLOOKUP($T$87,'TAR FIN'!$A$1:$O$86,15,0)),0,VLOOKUP($T$87,'TAR FIN'!$A$1:$O$86,15,0))</f>
        <v>0</v>
      </c>
      <c r="X87" s="58">
        <f>IF(ISERROR(VLOOKUP($U$87,'TAR FIN'!$A$1:$O$86,15,0)),0,VLOOKUP($U$87,'TAR FIN'!$A$1:$O$86,15,0))</f>
        <v>0</v>
      </c>
      <c r="Y87" s="58">
        <f ca="1">('TUSD BE'!$AM$10+'TUSD BF'!$AM$10+'TUSD CVA'!$AM$10)*1*(1-0.02)</f>
        <v>43.370109275458091</v>
      </c>
      <c r="Z87" s="58"/>
      <c r="AA87" s="58"/>
      <c r="AB87" s="58">
        <f>(SUBSIDIO!$J$87*SUBSIDIO!$V$87)*(0.04)/(1-0.04)</f>
        <v>169.48800000000003</v>
      </c>
      <c r="AC87" s="58">
        <f>((SUBSIDIO!$L$87*SUBSIDIO!$W$87)+(SUBSIDIO!$N$87*SUBSIDIO!$X$87))*(0.04)/(1-0.04)</f>
        <v>0</v>
      </c>
      <c r="AD87" s="58">
        <f ca="1">(SUBSIDIO!$J$87*SUBSIDIO!$Y$87)*(0.02)/(1-0.02)</f>
        <v>97.361469802048774</v>
      </c>
      <c r="AE87" s="58">
        <f>((SUBSIDIO!$L$87*SUBSIDIO!$Z$87)+(SUBSIDIO!$N$87*SUBSIDIO!$AA$87))*(0.02)/(1-0.02)</f>
        <v>0</v>
      </c>
      <c r="AF87" s="3" t="s">
        <v>589</v>
      </c>
    </row>
    <row r="88" spans="1:32" ht="11.25" customHeight="1" x14ac:dyDescent="0.25">
      <c r="A88" s="3" t="s">
        <v>21</v>
      </c>
      <c r="B88" s="3" t="s">
        <v>35</v>
      </c>
      <c r="C88" s="3" t="s">
        <v>39</v>
      </c>
      <c r="D88" s="3" t="s">
        <v>42</v>
      </c>
      <c r="E88" s="3" t="s">
        <v>25</v>
      </c>
      <c r="F88" s="3" t="s">
        <v>25</v>
      </c>
      <c r="G88" s="3" t="s">
        <v>25</v>
      </c>
      <c r="H88" s="3" t="s">
        <v>25</v>
      </c>
      <c r="I88" s="6">
        <v>44440</v>
      </c>
      <c r="J88" s="4">
        <v>110</v>
      </c>
      <c r="K88" s="58">
        <v>110</v>
      </c>
      <c r="L88" s="4">
        <v>0</v>
      </c>
      <c r="M88" s="58">
        <v>0</v>
      </c>
      <c r="N88" s="4">
        <v>0</v>
      </c>
      <c r="O88" s="58">
        <v>0</v>
      </c>
      <c r="P88" s="4">
        <v>1</v>
      </c>
      <c r="Q88" s="3" t="s">
        <v>26</v>
      </c>
      <c r="R88" s="3">
        <v>0</v>
      </c>
      <c r="S88" s="3">
        <v>31</v>
      </c>
      <c r="T88" s="3">
        <v>0</v>
      </c>
      <c r="U88" s="3">
        <v>0</v>
      </c>
      <c r="V88" s="58">
        <f>IF(ISERROR(VLOOKUP($S$88,'TAR FIN'!$A$1:$O$86,15,0)),0,VLOOKUP($S$88,'TAR FIN'!$A$1:$O$86,15,0))*(1-0.04)</f>
        <v>36.979199999999999</v>
      </c>
      <c r="W88" s="58">
        <f>IF(ISERROR(VLOOKUP($T$88,'TAR FIN'!$A$1:$O$86,15,0)),0,VLOOKUP($T$88,'TAR FIN'!$A$1:$O$86,15,0))</f>
        <v>0</v>
      </c>
      <c r="X88" s="58">
        <f>IF(ISERROR(VLOOKUP($U$88,'TAR FIN'!$A$1:$O$86,15,0)),0,VLOOKUP($U$88,'TAR FIN'!$A$1:$O$86,15,0))</f>
        <v>0</v>
      </c>
      <c r="Y88" s="58">
        <f ca="1">('TUSD BE'!$AM$10+'TUSD BF'!$AM$10+'TUSD CVA'!$AM$10)*1*(1-0.02)</f>
        <v>43.370109275458091</v>
      </c>
      <c r="Z88" s="58"/>
      <c r="AA88" s="58"/>
      <c r="AB88" s="58">
        <f>(SUBSIDIO!$J$88*SUBSIDIO!$V$88)*(0.04)/(1-0.04)</f>
        <v>169.48800000000003</v>
      </c>
      <c r="AC88" s="58">
        <f>((SUBSIDIO!$L$88*SUBSIDIO!$W$88)+(SUBSIDIO!$N$88*SUBSIDIO!$X$88))*(0.04)/(1-0.04)</f>
        <v>0</v>
      </c>
      <c r="AD88" s="58">
        <f ca="1">(SUBSIDIO!$J$88*SUBSIDIO!$Y$88)*(0.02)/(1-0.02)</f>
        <v>97.361469802048774</v>
      </c>
      <c r="AE88" s="58">
        <f>((SUBSIDIO!$L$88*SUBSIDIO!$Z$88)+(SUBSIDIO!$N$88*SUBSIDIO!$AA$88))*(0.02)/(1-0.02)</f>
        <v>0</v>
      </c>
      <c r="AF88" s="3" t="s">
        <v>589</v>
      </c>
    </row>
    <row r="89" spans="1:32" ht="11.25" customHeight="1" x14ac:dyDescent="0.25">
      <c r="A89" s="3" t="s">
        <v>21</v>
      </c>
      <c r="B89" s="3" t="s">
        <v>35</v>
      </c>
      <c r="C89" s="3" t="s">
        <v>39</v>
      </c>
      <c r="D89" s="3" t="s">
        <v>42</v>
      </c>
      <c r="E89" s="3" t="s">
        <v>25</v>
      </c>
      <c r="F89" s="3" t="s">
        <v>25</v>
      </c>
      <c r="G89" s="3" t="s">
        <v>25</v>
      </c>
      <c r="H89" s="3" t="s">
        <v>25</v>
      </c>
      <c r="I89" s="6">
        <v>44470</v>
      </c>
      <c r="J89" s="4">
        <v>110</v>
      </c>
      <c r="K89" s="58">
        <v>110</v>
      </c>
      <c r="L89" s="4">
        <v>0</v>
      </c>
      <c r="M89" s="58">
        <v>0</v>
      </c>
      <c r="N89" s="4">
        <v>0</v>
      </c>
      <c r="O89" s="58">
        <v>0</v>
      </c>
      <c r="P89" s="4">
        <v>1</v>
      </c>
      <c r="Q89" s="3" t="s">
        <v>26</v>
      </c>
      <c r="R89" s="3">
        <v>0</v>
      </c>
      <c r="S89" s="3">
        <v>31</v>
      </c>
      <c r="T89" s="3">
        <v>0</v>
      </c>
      <c r="U89" s="3">
        <v>0</v>
      </c>
      <c r="V89" s="58">
        <f>IF(ISERROR(VLOOKUP($S$89,'TAR FIN'!$A$1:$O$86,15,0)),0,VLOOKUP($S$89,'TAR FIN'!$A$1:$O$86,15,0))*(1-0.04)</f>
        <v>36.979199999999999</v>
      </c>
      <c r="W89" s="58">
        <f>IF(ISERROR(VLOOKUP($T$89,'TAR FIN'!$A$1:$O$86,15,0)),0,VLOOKUP($T$89,'TAR FIN'!$A$1:$O$86,15,0))</f>
        <v>0</v>
      </c>
      <c r="X89" s="58">
        <f>IF(ISERROR(VLOOKUP($U$89,'TAR FIN'!$A$1:$O$86,15,0)),0,VLOOKUP($U$89,'TAR FIN'!$A$1:$O$86,15,0))</f>
        <v>0</v>
      </c>
      <c r="Y89" s="58">
        <f ca="1">('TUSD BE'!$AM$10+'TUSD BF'!$AM$10+'TUSD CVA'!$AM$10)*1*(1-0.02)</f>
        <v>43.370109275458091</v>
      </c>
      <c r="Z89" s="58"/>
      <c r="AA89" s="58"/>
      <c r="AB89" s="58">
        <f>(SUBSIDIO!$J$89*SUBSIDIO!$V$89)*(0.04)/(1-0.04)</f>
        <v>169.48800000000003</v>
      </c>
      <c r="AC89" s="58">
        <f>((SUBSIDIO!$L$89*SUBSIDIO!$W$89)+(SUBSIDIO!$N$89*SUBSIDIO!$X$89))*(0.04)/(1-0.04)</f>
        <v>0</v>
      </c>
      <c r="AD89" s="58">
        <f ca="1">(SUBSIDIO!$J$89*SUBSIDIO!$Y$89)*(0.02)/(1-0.02)</f>
        <v>97.361469802048774</v>
      </c>
      <c r="AE89" s="58">
        <f>((SUBSIDIO!$L$89*SUBSIDIO!$Z$89)+(SUBSIDIO!$N$89*SUBSIDIO!$AA$89))*(0.02)/(1-0.02)</f>
        <v>0</v>
      </c>
      <c r="AF89" s="3" t="s">
        <v>589</v>
      </c>
    </row>
    <row r="90" spans="1:32" ht="11.25" customHeight="1" x14ac:dyDescent="0.25">
      <c r="A90" s="3" t="s">
        <v>21</v>
      </c>
      <c r="B90" s="3" t="s">
        <v>35</v>
      </c>
      <c r="C90" s="3" t="s">
        <v>39</v>
      </c>
      <c r="D90" s="3" t="s">
        <v>42</v>
      </c>
      <c r="E90" s="3" t="s">
        <v>25</v>
      </c>
      <c r="F90" s="3" t="s">
        <v>25</v>
      </c>
      <c r="G90" s="3" t="s">
        <v>25</v>
      </c>
      <c r="H90" s="3" t="s">
        <v>25</v>
      </c>
      <c r="I90" s="6">
        <v>44501</v>
      </c>
      <c r="J90" s="4">
        <v>119</v>
      </c>
      <c r="K90" s="58">
        <v>119</v>
      </c>
      <c r="L90" s="4">
        <v>0</v>
      </c>
      <c r="M90" s="58">
        <v>0</v>
      </c>
      <c r="N90" s="4">
        <v>0</v>
      </c>
      <c r="O90" s="58">
        <v>0</v>
      </c>
      <c r="P90" s="4">
        <v>1</v>
      </c>
      <c r="Q90" s="3" t="s">
        <v>26</v>
      </c>
      <c r="R90" s="3">
        <v>0</v>
      </c>
      <c r="S90" s="3">
        <v>31</v>
      </c>
      <c r="T90" s="3">
        <v>0</v>
      </c>
      <c r="U90" s="3">
        <v>0</v>
      </c>
      <c r="V90" s="58">
        <f>IF(ISERROR(VLOOKUP($S$90,'TAR FIN'!$A$1:$O$86,15,0)),0,VLOOKUP($S$90,'TAR FIN'!$A$1:$O$86,15,0))*(1-0.04)</f>
        <v>36.979199999999999</v>
      </c>
      <c r="W90" s="58">
        <f>IF(ISERROR(VLOOKUP($T$90,'TAR FIN'!$A$1:$O$86,15,0)),0,VLOOKUP($T$90,'TAR FIN'!$A$1:$O$86,15,0))</f>
        <v>0</v>
      </c>
      <c r="X90" s="58">
        <f>IF(ISERROR(VLOOKUP($U$90,'TAR FIN'!$A$1:$O$86,15,0)),0,VLOOKUP($U$90,'TAR FIN'!$A$1:$O$86,15,0))</f>
        <v>0</v>
      </c>
      <c r="Y90" s="58">
        <f ca="1">('TUSD BE'!$AM$10+'TUSD BF'!$AM$10+'TUSD CVA'!$AM$10)*1*(1-0.02)</f>
        <v>43.370109275458091</v>
      </c>
      <c r="Z90" s="58"/>
      <c r="AA90" s="58"/>
      <c r="AB90" s="58">
        <f>(SUBSIDIO!$J$90*SUBSIDIO!$V$90)*(0.04)/(1-0.04)</f>
        <v>183.35520000000002</v>
      </c>
      <c r="AC90" s="58">
        <f>((SUBSIDIO!$L$90*SUBSIDIO!$W$90)+(SUBSIDIO!$N$90*SUBSIDIO!$X$90))*(0.04)/(1-0.04)</f>
        <v>0</v>
      </c>
      <c r="AD90" s="58">
        <f ca="1">(SUBSIDIO!$J$90*SUBSIDIO!$Y$90)*(0.02)/(1-0.02)</f>
        <v>105.32740824039823</v>
      </c>
      <c r="AE90" s="58">
        <f>((SUBSIDIO!$L$90*SUBSIDIO!$Z$90)+(SUBSIDIO!$N$90*SUBSIDIO!$AA$90))*(0.02)/(1-0.02)</f>
        <v>0</v>
      </c>
      <c r="AF90" s="3" t="s">
        <v>589</v>
      </c>
    </row>
    <row r="91" spans="1:32" ht="11.25" customHeight="1" x14ac:dyDescent="0.25">
      <c r="A91" s="3" t="s">
        <v>21</v>
      </c>
      <c r="B91" s="3" t="s">
        <v>35</v>
      </c>
      <c r="C91" s="3" t="s">
        <v>39</v>
      </c>
      <c r="D91" s="3" t="s">
        <v>42</v>
      </c>
      <c r="E91" s="3" t="s">
        <v>25</v>
      </c>
      <c r="F91" s="3" t="s">
        <v>25</v>
      </c>
      <c r="G91" s="3" t="s">
        <v>25</v>
      </c>
      <c r="H91" s="3" t="s">
        <v>25</v>
      </c>
      <c r="I91" s="6">
        <v>44531</v>
      </c>
      <c r="J91" s="4">
        <v>116</v>
      </c>
      <c r="K91" s="58">
        <v>116</v>
      </c>
      <c r="L91" s="4">
        <v>0</v>
      </c>
      <c r="M91" s="58">
        <v>0</v>
      </c>
      <c r="N91" s="4">
        <v>0</v>
      </c>
      <c r="O91" s="58">
        <v>0</v>
      </c>
      <c r="P91" s="4">
        <v>1</v>
      </c>
      <c r="Q91" s="3" t="s">
        <v>26</v>
      </c>
      <c r="R91" s="3">
        <v>0</v>
      </c>
      <c r="S91" s="3">
        <v>31</v>
      </c>
      <c r="T91" s="3">
        <v>0</v>
      </c>
      <c r="U91" s="3">
        <v>0</v>
      </c>
      <c r="V91" s="58">
        <f>IF(ISERROR(VLOOKUP($S$91,'TAR FIN'!$A$1:$O$86,15,0)),0,VLOOKUP($S$91,'TAR FIN'!$A$1:$O$86,15,0))*(1-0.04)</f>
        <v>36.979199999999999</v>
      </c>
      <c r="W91" s="58">
        <f>IF(ISERROR(VLOOKUP($T$91,'TAR FIN'!$A$1:$O$86,15,0)),0,VLOOKUP($T$91,'TAR FIN'!$A$1:$O$86,15,0))</f>
        <v>0</v>
      </c>
      <c r="X91" s="58">
        <f>IF(ISERROR(VLOOKUP($U$91,'TAR FIN'!$A$1:$O$86,15,0)),0,VLOOKUP($U$91,'TAR FIN'!$A$1:$O$86,15,0))</f>
        <v>0</v>
      </c>
      <c r="Y91" s="58">
        <f ca="1">('TUSD BE'!$AM$10+'TUSD BF'!$AM$10+'TUSD CVA'!$AM$10)*1*(1-0.02)</f>
        <v>43.370109275458091</v>
      </c>
      <c r="Z91" s="58"/>
      <c r="AA91" s="58"/>
      <c r="AB91" s="58">
        <f>(SUBSIDIO!$J$91*SUBSIDIO!$V$91)*(0.04)/(1-0.04)</f>
        <v>178.7328</v>
      </c>
      <c r="AC91" s="58">
        <f>((SUBSIDIO!$L$91*SUBSIDIO!$W$91)+(SUBSIDIO!$N$91*SUBSIDIO!$X$91))*(0.04)/(1-0.04)</f>
        <v>0</v>
      </c>
      <c r="AD91" s="58">
        <f ca="1">(SUBSIDIO!$J$91*SUBSIDIO!$Y$91)*(0.02)/(1-0.02)</f>
        <v>102.67209542761508</v>
      </c>
      <c r="AE91" s="58">
        <f>((SUBSIDIO!$L$91*SUBSIDIO!$Z$91)+(SUBSIDIO!$N$91*SUBSIDIO!$AA$91))*(0.02)/(1-0.02)</f>
        <v>0</v>
      </c>
      <c r="AF91" s="3" t="s">
        <v>589</v>
      </c>
    </row>
    <row r="92" spans="1:32" ht="11.25" customHeight="1" x14ac:dyDescent="0.25">
      <c r="A92" s="3" t="s">
        <v>21</v>
      </c>
      <c r="B92" s="3" t="s">
        <v>35</v>
      </c>
      <c r="C92" s="3" t="s">
        <v>39</v>
      </c>
      <c r="D92" s="3" t="s">
        <v>42</v>
      </c>
      <c r="E92" s="3" t="s">
        <v>25</v>
      </c>
      <c r="F92" s="3" t="s">
        <v>25</v>
      </c>
      <c r="G92" s="3" t="s">
        <v>25</v>
      </c>
      <c r="H92" s="3" t="s">
        <v>25</v>
      </c>
      <c r="I92" s="6">
        <v>44562</v>
      </c>
      <c r="J92" s="4">
        <v>119</v>
      </c>
      <c r="K92" s="58">
        <v>119</v>
      </c>
      <c r="L92" s="4">
        <v>0</v>
      </c>
      <c r="M92" s="58">
        <v>0</v>
      </c>
      <c r="N92" s="4">
        <v>0</v>
      </c>
      <c r="O92" s="58">
        <v>0</v>
      </c>
      <c r="P92" s="4">
        <v>1</v>
      </c>
      <c r="Q92" s="3" t="s">
        <v>26</v>
      </c>
      <c r="R92" s="3">
        <v>0</v>
      </c>
      <c r="S92" s="3">
        <v>31</v>
      </c>
      <c r="T92" s="3">
        <v>0</v>
      </c>
      <c r="U92" s="3">
        <v>0</v>
      </c>
      <c r="V92" s="58">
        <f>IF(ISERROR(VLOOKUP($S$92,'TAR FIN'!$A$1:$O$86,15,0)),0,VLOOKUP($S$92,'TAR FIN'!$A$1:$O$86,15,0))*(1-0.04)</f>
        <v>36.979199999999999</v>
      </c>
      <c r="W92" s="58">
        <f>IF(ISERROR(VLOOKUP($T$92,'TAR FIN'!$A$1:$O$86,15,0)),0,VLOOKUP($T$92,'TAR FIN'!$A$1:$O$86,15,0))</f>
        <v>0</v>
      </c>
      <c r="X92" s="58">
        <f>IF(ISERROR(VLOOKUP($U$92,'TAR FIN'!$A$1:$O$86,15,0)),0,VLOOKUP($U$92,'TAR FIN'!$A$1:$O$86,15,0))</f>
        <v>0</v>
      </c>
      <c r="Y92" s="58">
        <f ca="1">('TUSD BE'!$AM$10+'TUSD BF'!$AM$10+'TUSD CVA'!$AM$10)*1*(1-0.02)</f>
        <v>43.370109275458091</v>
      </c>
      <c r="Z92" s="58"/>
      <c r="AA92" s="58"/>
      <c r="AB92" s="58">
        <f>(SUBSIDIO!$J$92*SUBSIDIO!$V$92)*(0.04)/(1-0.04)</f>
        <v>183.35520000000002</v>
      </c>
      <c r="AC92" s="58">
        <f>((SUBSIDIO!$L$92*SUBSIDIO!$W$92)+(SUBSIDIO!$N$92*SUBSIDIO!$X$92))*(0.04)/(1-0.04)</f>
        <v>0</v>
      </c>
      <c r="AD92" s="58">
        <f ca="1">(SUBSIDIO!$J$92*SUBSIDIO!$Y$92)*(0.02)/(1-0.02)</f>
        <v>105.32740824039823</v>
      </c>
      <c r="AE92" s="58">
        <f>((SUBSIDIO!$L$92*SUBSIDIO!$Z$92)+(SUBSIDIO!$N$92*SUBSIDIO!$AA$92))*(0.02)/(1-0.02)</f>
        <v>0</v>
      </c>
      <c r="AF92" s="3" t="s">
        <v>589</v>
      </c>
    </row>
    <row r="93" spans="1:32" ht="11.25" customHeight="1" x14ac:dyDescent="0.25">
      <c r="A93" s="3" t="s">
        <v>21</v>
      </c>
      <c r="B93" s="3" t="s">
        <v>35</v>
      </c>
      <c r="C93" s="3" t="s">
        <v>39</v>
      </c>
      <c r="D93" s="3" t="s">
        <v>42</v>
      </c>
      <c r="E93" s="3" t="s">
        <v>25</v>
      </c>
      <c r="F93" s="3" t="s">
        <v>25</v>
      </c>
      <c r="G93" s="3" t="s">
        <v>25</v>
      </c>
      <c r="H93" s="3" t="s">
        <v>25</v>
      </c>
      <c r="I93" s="6">
        <v>44593</v>
      </c>
      <c r="J93" s="4">
        <v>117</v>
      </c>
      <c r="K93" s="58">
        <v>117</v>
      </c>
      <c r="L93" s="4">
        <v>0</v>
      </c>
      <c r="M93" s="58">
        <v>0</v>
      </c>
      <c r="N93" s="4">
        <v>0</v>
      </c>
      <c r="O93" s="58">
        <v>0</v>
      </c>
      <c r="P93" s="4">
        <v>1</v>
      </c>
      <c r="Q93" s="3" t="s">
        <v>26</v>
      </c>
      <c r="R93" s="3">
        <v>0</v>
      </c>
      <c r="S93" s="3">
        <v>31</v>
      </c>
      <c r="T93" s="3">
        <v>0</v>
      </c>
      <c r="U93" s="3">
        <v>0</v>
      </c>
      <c r="V93" s="58">
        <f>IF(ISERROR(VLOOKUP($S$93,'TAR FIN'!$A$1:$O$86,15,0)),0,VLOOKUP($S$93,'TAR FIN'!$A$1:$O$86,15,0))*(1-0.04)</f>
        <v>36.979199999999999</v>
      </c>
      <c r="W93" s="58">
        <f>IF(ISERROR(VLOOKUP($T$93,'TAR FIN'!$A$1:$O$86,15,0)),0,VLOOKUP($T$93,'TAR FIN'!$A$1:$O$86,15,0))</f>
        <v>0</v>
      </c>
      <c r="X93" s="58">
        <f>IF(ISERROR(VLOOKUP($U$93,'TAR FIN'!$A$1:$O$86,15,0)),0,VLOOKUP($U$93,'TAR FIN'!$A$1:$O$86,15,0))</f>
        <v>0</v>
      </c>
      <c r="Y93" s="58">
        <f ca="1">('TUSD BE'!$AM$10+'TUSD BF'!$AM$10+'TUSD CVA'!$AM$10)*1*(1-0.02)</f>
        <v>43.370109275458091</v>
      </c>
      <c r="Z93" s="58"/>
      <c r="AA93" s="58"/>
      <c r="AB93" s="58">
        <f>(SUBSIDIO!$J$93*SUBSIDIO!$V$93)*(0.04)/(1-0.04)</f>
        <v>180.27360000000002</v>
      </c>
      <c r="AC93" s="58">
        <f>((SUBSIDIO!$L$93*SUBSIDIO!$W$93)+(SUBSIDIO!$N$93*SUBSIDIO!$X$93))*(0.04)/(1-0.04)</f>
        <v>0</v>
      </c>
      <c r="AD93" s="58">
        <f ca="1">(SUBSIDIO!$J$93*SUBSIDIO!$Y$93)*(0.02)/(1-0.02)</f>
        <v>103.5571996985428</v>
      </c>
      <c r="AE93" s="58">
        <f>((SUBSIDIO!$L$93*SUBSIDIO!$Z$93)+(SUBSIDIO!$N$93*SUBSIDIO!$AA$93))*(0.02)/(1-0.02)</f>
        <v>0</v>
      </c>
      <c r="AF93" s="3" t="s">
        <v>589</v>
      </c>
    </row>
    <row r="94" spans="1:32" ht="11.25" customHeight="1" x14ac:dyDescent="0.25">
      <c r="A94" s="3" t="s">
        <v>21</v>
      </c>
      <c r="B94" s="3" t="s">
        <v>35</v>
      </c>
      <c r="C94" s="3" t="s">
        <v>39</v>
      </c>
      <c r="D94" s="3" t="s">
        <v>42</v>
      </c>
      <c r="E94" s="3" t="s">
        <v>25</v>
      </c>
      <c r="F94" s="3" t="s">
        <v>25</v>
      </c>
      <c r="G94" s="3" t="s">
        <v>25</v>
      </c>
      <c r="H94" s="3" t="s">
        <v>25</v>
      </c>
      <c r="I94" s="6">
        <v>44621</v>
      </c>
      <c r="J94" s="4">
        <v>118</v>
      </c>
      <c r="K94" s="58">
        <v>118</v>
      </c>
      <c r="L94" s="4">
        <v>0</v>
      </c>
      <c r="M94" s="58">
        <v>0</v>
      </c>
      <c r="N94" s="4">
        <v>0</v>
      </c>
      <c r="O94" s="58">
        <v>0</v>
      </c>
      <c r="P94" s="4">
        <v>1</v>
      </c>
      <c r="Q94" s="3" t="s">
        <v>26</v>
      </c>
      <c r="R94" s="3">
        <v>0</v>
      </c>
      <c r="S94" s="3">
        <v>31</v>
      </c>
      <c r="T94" s="3">
        <v>0</v>
      </c>
      <c r="U94" s="3">
        <v>0</v>
      </c>
      <c r="V94" s="58">
        <f>IF(ISERROR(VLOOKUP($S$94,'TAR FIN'!$A$1:$O$86,15,0)),0,VLOOKUP($S$94,'TAR FIN'!$A$1:$O$86,15,0))*(1-0.04)</f>
        <v>36.979199999999999</v>
      </c>
      <c r="W94" s="58">
        <f>IF(ISERROR(VLOOKUP($T$94,'TAR FIN'!$A$1:$O$86,15,0)),0,VLOOKUP($T$94,'TAR FIN'!$A$1:$O$86,15,0))</f>
        <v>0</v>
      </c>
      <c r="X94" s="58">
        <f>IF(ISERROR(VLOOKUP($U$94,'TAR FIN'!$A$1:$O$86,15,0)),0,VLOOKUP($U$94,'TAR FIN'!$A$1:$O$86,15,0))</f>
        <v>0</v>
      </c>
      <c r="Y94" s="58">
        <f ca="1">('TUSD BE'!$AM$10+'TUSD BF'!$AM$10+'TUSD CVA'!$AM$10)*1*(1-0.02)</f>
        <v>43.370109275458091</v>
      </c>
      <c r="Z94" s="58"/>
      <c r="AA94" s="58"/>
      <c r="AB94" s="58">
        <f>(SUBSIDIO!$J$94*SUBSIDIO!$V$94)*(0.04)/(1-0.04)</f>
        <v>181.81440000000001</v>
      </c>
      <c r="AC94" s="58">
        <f>((SUBSIDIO!$L$94*SUBSIDIO!$W$94)+(SUBSIDIO!$N$94*SUBSIDIO!$X$94))*(0.04)/(1-0.04)</f>
        <v>0</v>
      </c>
      <c r="AD94" s="58">
        <f ca="1">(SUBSIDIO!$J$94*SUBSIDIO!$Y$94)*(0.02)/(1-0.02)</f>
        <v>104.44230396947052</v>
      </c>
      <c r="AE94" s="58">
        <f>((SUBSIDIO!$L$94*SUBSIDIO!$Z$94)+(SUBSIDIO!$N$94*SUBSIDIO!$AA$94))*(0.02)/(1-0.02)</f>
        <v>0</v>
      </c>
      <c r="AF94" s="3" t="s">
        <v>589</v>
      </c>
    </row>
    <row r="95" spans="1:32" ht="11.25" customHeight="1" x14ac:dyDescent="0.25">
      <c r="A95" s="3" t="s">
        <v>21</v>
      </c>
      <c r="B95" s="3" t="s">
        <v>35</v>
      </c>
      <c r="C95" s="3" t="s">
        <v>39</v>
      </c>
      <c r="D95" s="3" t="s">
        <v>42</v>
      </c>
      <c r="E95" s="3" t="s">
        <v>25</v>
      </c>
      <c r="F95" s="3" t="s">
        <v>25</v>
      </c>
      <c r="G95" s="3" t="s">
        <v>25</v>
      </c>
      <c r="H95" s="3" t="s">
        <v>25</v>
      </c>
      <c r="I95" s="6">
        <v>44652</v>
      </c>
      <c r="J95" s="4">
        <v>111</v>
      </c>
      <c r="K95" s="58">
        <v>111</v>
      </c>
      <c r="L95" s="4">
        <v>0</v>
      </c>
      <c r="M95" s="58">
        <v>0</v>
      </c>
      <c r="N95" s="4">
        <v>0</v>
      </c>
      <c r="O95" s="58">
        <v>0</v>
      </c>
      <c r="P95" s="4">
        <v>1</v>
      </c>
      <c r="Q95" s="3" t="s">
        <v>26</v>
      </c>
      <c r="R95" s="3">
        <v>0</v>
      </c>
      <c r="S95" s="3">
        <v>31</v>
      </c>
      <c r="T95" s="3">
        <v>0</v>
      </c>
      <c r="U95" s="3">
        <v>0</v>
      </c>
      <c r="V95" s="58">
        <f>IF(ISERROR(VLOOKUP($S$95,'TAR FIN'!$A$1:$O$86,15,0)),0,VLOOKUP($S$95,'TAR FIN'!$A$1:$O$86,15,0))*(1-0.04)</f>
        <v>36.979199999999999</v>
      </c>
      <c r="W95" s="58">
        <f>IF(ISERROR(VLOOKUP($T$95,'TAR FIN'!$A$1:$O$86,15,0)),0,VLOOKUP($T$95,'TAR FIN'!$A$1:$O$86,15,0))</f>
        <v>0</v>
      </c>
      <c r="X95" s="58">
        <f>IF(ISERROR(VLOOKUP($U$95,'TAR FIN'!$A$1:$O$86,15,0)),0,VLOOKUP($U$95,'TAR FIN'!$A$1:$O$86,15,0))</f>
        <v>0</v>
      </c>
      <c r="Y95" s="58">
        <f ca="1">('TUSD BE'!$AM$10+'TUSD BF'!$AM$10+'TUSD CVA'!$AM$10)*1*(1-0.02)</f>
        <v>43.370109275458091</v>
      </c>
      <c r="Z95" s="58"/>
      <c r="AA95" s="58"/>
      <c r="AB95" s="58">
        <f>(SUBSIDIO!$J$95*SUBSIDIO!$V$95)*(0.04)/(1-0.04)</f>
        <v>171.02880000000002</v>
      </c>
      <c r="AC95" s="58">
        <f>((SUBSIDIO!$L$95*SUBSIDIO!$W$95)+(SUBSIDIO!$N$95*SUBSIDIO!$X$95))*(0.04)/(1-0.04)</f>
        <v>0</v>
      </c>
      <c r="AD95" s="58">
        <f ca="1">(SUBSIDIO!$J$95*SUBSIDIO!$Y$95)*(0.02)/(1-0.02)</f>
        <v>98.246574072976486</v>
      </c>
      <c r="AE95" s="58">
        <f>((SUBSIDIO!$L$95*SUBSIDIO!$Z$95)+(SUBSIDIO!$N$95*SUBSIDIO!$AA$95))*(0.02)/(1-0.02)</f>
        <v>0</v>
      </c>
      <c r="AF95" s="3" t="s">
        <v>589</v>
      </c>
    </row>
    <row r="96" spans="1:32" ht="11.25" customHeight="1" x14ac:dyDescent="0.25">
      <c r="A96" s="3" t="s">
        <v>21</v>
      </c>
      <c r="B96" s="3" t="s">
        <v>35</v>
      </c>
      <c r="C96" s="3" t="s">
        <v>39</v>
      </c>
      <c r="D96" s="3" t="s">
        <v>42</v>
      </c>
      <c r="E96" s="3" t="s">
        <v>25</v>
      </c>
      <c r="F96" s="3" t="s">
        <v>25</v>
      </c>
      <c r="G96" s="3" t="s">
        <v>25</v>
      </c>
      <c r="H96" s="3" t="s">
        <v>25</v>
      </c>
      <c r="I96" s="6">
        <v>44682</v>
      </c>
      <c r="J96" s="4">
        <v>110</v>
      </c>
      <c r="K96" s="58">
        <v>110</v>
      </c>
      <c r="L96" s="4">
        <v>0</v>
      </c>
      <c r="M96" s="58">
        <v>0</v>
      </c>
      <c r="N96" s="4">
        <v>0</v>
      </c>
      <c r="O96" s="58">
        <v>0</v>
      </c>
      <c r="P96" s="4">
        <v>1</v>
      </c>
      <c r="Q96" s="3" t="s">
        <v>26</v>
      </c>
      <c r="R96" s="3">
        <v>0</v>
      </c>
      <c r="S96" s="3">
        <v>31</v>
      </c>
      <c r="T96" s="3">
        <v>0</v>
      </c>
      <c r="U96" s="3">
        <v>0</v>
      </c>
      <c r="V96" s="58">
        <f>IF(ISERROR(VLOOKUP($S$96,'TAR FIN'!$A$1:$O$86,15,0)),0,VLOOKUP($S$96,'TAR FIN'!$A$1:$O$86,15,0))*(1-0.04)</f>
        <v>36.979199999999999</v>
      </c>
      <c r="W96" s="58">
        <f>IF(ISERROR(VLOOKUP($T$96,'TAR FIN'!$A$1:$O$86,15,0)),0,VLOOKUP($T$96,'TAR FIN'!$A$1:$O$86,15,0))</f>
        <v>0</v>
      </c>
      <c r="X96" s="58">
        <f>IF(ISERROR(VLOOKUP($U$96,'TAR FIN'!$A$1:$O$86,15,0)),0,VLOOKUP($U$96,'TAR FIN'!$A$1:$O$86,15,0))</f>
        <v>0</v>
      </c>
      <c r="Y96" s="58">
        <f ca="1">('TUSD BE'!$AM$10+'TUSD BF'!$AM$10+'TUSD CVA'!$AM$10)*1*(1-0.02)</f>
        <v>43.370109275458091</v>
      </c>
      <c r="Z96" s="58"/>
      <c r="AA96" s="58"/>
      <c r="AB96" s="58">
        <f>(SUBSIDIO!$J$96*SUBSIDIO!$V$96)*(0.04)/(1-0.04)</f>
        <v>169.48800000000003</v>
      </c>
      <c r="AC96" s="58">
        <f>((SUBSIDIO!$L$96*SUBSIDIO!$W$96)+(SUBSIDIO!$N$96*SUBSIDIO!$X$96))*(0.04)/(1-0.04)</f>
        <v>0</v>
      </c>
      <c r="AD96" s="58">
        <f ca="1">(SUBSIDIO!$J$96*SUBSIDIO!$Y$96)*(0.02)/(1-0.02)</f>
        <v>97.361469802048774</v>
      </c>
      <c r="AE96" s="58">
        <f>((SUBSIDIO!$L$96*SUBSIDIO!$Z$96)+(SUBSIDIO!$N$96*SUBSIDIO!$AA$96))*(0.02)/(1-0.02)</f>
        <v>0</v>
      </c>
      <c r="AF96" s="3" t="s">
        <v>589</v>
      </c>
    </row>
    <row r="97" spans="1:32" ht="11.25" customHeight="1" x14ac:dyDescent="0.25">
      <c r="A97" s="3" t="s">
        <v>21</v>
      </c>
      <c r="B97" s="3" t="s">
        <v>35</v>
      </c>
      <c r="C97" s="3" t="s">
        <v>39</v>
      </c>
      <c r="D97" s="3" t="s">
        <v>42</v>
      </c>
      <c r="E97" s="3" t="s">
        <v>25</v>
      </c>
      <c r="F97" s="3" t="s">
        <v>25</v>
      </c>
      <c r="G97" s="3" t="s">
        <v>25</v>
      </c>
      <c r="H97" s="3" t="s">
        <v>25</v>
      </c>
      <c r="I97" s="6">
        <v>44713</v>
      </c>
      <c r="J97" s="4">
        <v>110</v>
      </c>
      <c r="K97" s="58">
        <v>110</v>
      </c>
      <c r="L97" s="4">
        <v>0</v>
      </c>
      <c r="M97" s="58">
        <v>0</v>
      </c>
      <c r="N97" s="4">
        <v>0</v>
      </c>
      <c r="O97" s="58">
        <v>0</v>
      </c>
      <c r="P97" s="4">
        <v>1</v>
      </c>
      <c r="Q97" s="3" t="s">
        <v>26</v>
      </c>
      <c r="R97" s="3">
        <v>0</v>
      </c>
      <c r="S97" s="3">
        <v>31</v>
      </c>
      <c r="T97" s="3">
        <v>0</v>
      </c>
      <c r="U97" s="3">
        <v>0</v>
      </c>
      <c r="V97" s="58">
        <f>IF(ISERROR(VLOOKUP($S$97,'TAR FIN'!$A$1:$O$86,15,0)),0,VLOOKUP($S$97,'TAR FIN'!$A$1:$O$86,15,0))*(1-0.04)</f>
        <v>36.979199999999999</v>
      </c>
      <c r="W97" s="58">
        <f>IF(ISERROR(VLOOKUP($T$97,'TAR FIN'!$A$1:$O$86,15,0)),0,VLOOKUP($T$97,'TAR FIN'!$A$1:$O$86,15,0))</f>
        <v>0</v>
      </c>
      <c r="X97" s="58">
        <f>IF(ISERROR(VLOOKUP($U$97,'TAR FIN'!$A$1:$O$86,15,0)),0,VLOOKUP($U$97,'TAR FIN'!$A$1:$O$86,15,0))</f>
        <v>0</v>
      </c>
      <c r="Y97" s="58">
        <f ca="1">('TUSD BE'!$AM$10+'TUSD BF'!$AM$10+'TUSD CVA'!$AM$10)*1*(1-0.02)</f>
        <v>43.370109275458091</v>
      </c>
      <c r="Z97" s="58"/>
      <c r="AA97" s="58"/>
      <c r="AB97" s="58">
        <f>(SUBSIDIO!$J$97*SUBSIDIO!$V$97)*(0.04)/(1-0.04)</f>
        <v>169.48800000000003</v>
      </c>
      <c r="AC97" s="58">
        <f>((SUBSIDIO!$L$97*SUBSIDIO!$W$97)+(SUBSIDIO!$N$97*SUBSIDIO!$X$97))*(0.04)/(1-0.04)</f>
        <v>0</v>
      </c>
      <c r="AD97" s="58">
        <f ca="1">(SUBSIDIO!$J$97*SUBSIDIO!$Y$97)*(0.02)/(1-0.02)</f>
        <v>97.361469802048774</v>
      </c>
      <c r="AE97" s="58">
        <f>((SUBSIDIO!$L$97*SUBSIDIO!$Z$97)+(SUBSIDIO!$N$97*SUBSIDIO!$AA$97))*(0.02)/(1-0.02)</f>
        <v>0</v>
      </c>
      <c r="AF97" s="3" t="s">
        <v>589</v>
      </c>
    </row>
    <row r="98" spans="1:32" ht="11.25" customHeight="1" x14ac:dyDescent="0.25">
      <c r="A98" s="3" t="s">
        <v>21</v>
      </c>
      <c r="B98" s="3" t="s">
        <v>35</v>
      </c>
      <c r="C98" s="3" t="s">
        <v>39</v>
      </c>
      <c r="D98" s="3" t="s">
        <v>42</v>
      </c>
      <c r="E98" s="3" t="s">
        <v>25</v>
      </c>
      <c r="F98" s="3" t="s">
        <v>25</v>
      </c>
      <c r="G98" s="3" t="s">
        <v>25</v>
      </c>
      <c r="H98" s="3" t="s">
        <v>37</v>
      </c>
      <c r="I98" s="6">
        <v>44378</v>
      </c>
      <c r="J98" s="4">
        <v>0</v>
      </c>
      <c r="K98" s="58">
        <v>0</v>
      </c>
      <c r="L98" s="4">
        <v>0.60699999999999998</v>
      </c>
      <c r="M98" s="58">
        <v>0.60699999999999998</v>
      </c>
      <c r="N98" s="4">
        <v>0.60699999999999998</v>
      </c>
      <c r="O98" s="58">
        <v>0.60699999999999998</v>
      </c>
      <c r="P98" s="4">
        <v>0</v>
      </c>
      <c r="Q98" s="3" t="s">
        <v>26</v>
      </c>
      <c r="R98" s="3">
        <v>0</v>
      </c>
      <c r="S98" s="3">
        <v>0</v>
      </c>
      <c r="T98" s="3">
        <v>15</v>
      </c>
      <c r="U98" s="3">
        <v>24</v>
      </c>
      <c r="V98" s="58">
        <f>IF(ISERROR(VLOOKUP($S$98,'TAR FIN'!$A$1:$O$86,15,0)),0,VLOOKUP($S$98,'TAR FIN'!$A$1:$O$86,15,0))</f>
        <v>0</v>
      </c>
      <c r="W98" s="58">
        <f>IF(ISERROR(VLOOKUP($T$98,'TAR FIN'!$A$1:$O$86,15,0)),0,VLOOKUP($T$98,'TAR FIN'!$A$1:$O$86,15,0))*(1-0.04)</f>
        <v>2030.7647999999999</v>
      </c>
      <c r="X98" s="58">
        <f>IF(ISERROR(VLOOKUP($U$98,'TAR FIN'!$A$1:$O$86,15,0)),0,VLOOKUP($U$98,'TAR FIN'!$A$1:$O$86,15,0))*(1-0.04)</f>
        <v>203.07839999999999</v>
      </c>
      <c r="Y98" s="58"/>
      <c r="Z98" s="58">
        <f ca="1">('TUSD BE'!$AM$11+'TUSD BF'!$AM$11+'TUSD CVA'!$AM$11)*1*(1-0.02)</f>
        <v>2238.5316164441306</v>
      </c>
      <c r="AA98" s="58">
        <f>('TE BE'!$AB$5+'TE BF'!$AB$5+'TE CVA'!$AB$5)*1*(1-0.02)</f>
        <v>192.63738650886071</v>
      </c>
      <c r="AB98" s="58">
        <f>(SUBSIDIO!$J$98*SUBSIDIO!$V$98)*(0.04)/(1-0.04)</f>
        <v>0</v>
      </c>
      <c r="AC98" s="58">
        <f>((SUBSIDIO!$L$98*SUBSIDIO!$W$98)+(SUBSIDIO!$N$98*SUBSIDIO!$X$98))*(0.04)/(1-0.04)</f>
        <v>56.497617600000005</v>
      </c>
      <c r="AD98" s="58">
        <f>(SUBSIDIO!$J$98*SUBSIDIO!$Y$98)*(0.02)/(1-0.02)</f>
        <v>0</v>
      </c>
      <c r="AE98" s="58">
        <f ca="1">((SUBSIDIO!$L$98*SUBSIDIO!$Z$98)+(SUBSIDIO!$N$98*SUBSIDIO!$AA$98))*(0.02)/(1-0.02)</f>
        <v>30.116726220254399</v>
      </c>
      <c r="AF98" s="3" t="s">
        <v>589</v>
      </c>
    </row>
    <row r="99" spans="1:32" ht="11.25" customHeight="1" x14ac:dyDescent="0.25">
      <c r="A99" s="3" t="s">
        <v>21</v>
      </c>
      <c r="B99" s="3" t="s">
        <v>35</v>
      </c>
      <c r="C99" s="3" t="s">
        <v>39</v>
      </c>
      <c r="D99" s="3" t="s">
        <v>42</v>
      </c>
      <c r="E99" s="3" t="s">
        <v>25</v>
      </c>
      <c r="F99" s="3" t="s">
        <v>25</v>
      </c>
      <c r="G99" s="3" t="s">
        <v>25</v>
      </c>
      <c r="H99" s="3" t="s">
        <v>37</v>
      </c>
      <c r="I99" s="6">
        <v>44409</v>
      </c>
      <c r="J99" s="4">
        <v>0</v>
      </c>
      <c r="K99" s="58">
        <v>0</v>
      </c>
      <c r="L99" s="4">
        <v>0.193</v>
      </c>
      <c r="M99" s="58">
        <v>0.193</v>
      </c>
      <c r="N99" s="4">
        <v>0.193</v>
      </c>
      <c r="O99" s="58">
        <v>0.193</v>
      </c>
      <c r="P99" s="4">
        <v>0</v>
      </c>
      <c r="Q99" s="3" t="s">
        <v>26</v>
      </c>
      <c r="R99" s="3">
        <v>0</v>
      </c>
      <c r="S99" s="3">
        <v>0</v>
      </c>
      <c r="T99" s="3">
        <v>15</v>
      </c>
      <c r="U99" s="3">
        <v>24</v>
      </c>
      <c r="V99" s="58">
        <f>IF(ISERROR(VLOOKUP($S$99,'TAR FIN'!$A$1:$O$86,15,0)),0,VLOOKUP($S$99,'TAR FIN'!$A$1:$O$86,15,0))</f>
        <v>0</v>
      </c>
      <c r="W99" s="58">
        <f>IF(ISERROR(VLOOKUP($T$99,'TAR FIN'!$A$1:$O$86,15,0)),0,VLOOKUP($T$99,'TAR FIN'!$A$1:$O$86,15,0))*(1-0.04)</f>
        <v>2030.7647999999999</v>
      </c>
      <c r="X99" s="58">
        <f>IF(ISERROR(VLOOKUP($U$99,'TAR FIN'!$A$1:$O$86,15,0)),0,VLOOKUP($U$99,'TAR FIN'!$A$1:$O$86,15,0))*(1-0.04)</f>
        <v>203.07839999999999</v>
      </c>
      <c r="Y99" s="58"/>
      <c r="Z99" s="58">
        <f ca="1">('TUSD BE'!$AM$11+'TUSD BF'!$AM$11+'TUSD CVA'!$AM$11)*1*(1-0.02)</f>
        <v>2238.5316164441306</v>
      </c>
      <c r="AA99" s="58">
        <f>('TE BE'!$AB$5+'TE BF'!$AB$5+'TE CVA'!$AB$5)*1*(1-0.02)</f>
        <v>192.63738650886071</v>
      </c>
      <c r="AB99" s="58">
        <f>(SUBSIDIO!$J$99*SUBSIDIO!$V$99)*(0.04)/(1-0.04)</f>
        <v>0</v>
      </c>
      <c r="AC99" s="58">
        <f>((SUBSIDIO!$L$99*SUBSIDIO!$W$99)+(SUBSIDIO!$N$99*SUBSIDIO!$X$99))*(0.04)/(1-0.04)</f>
        <v>17.963822400000002</v>
      </c>
      <c r="AD99" s="58">
        <f>(SUBSIDIO!$J$99*SUBSIDIO!$Y$99)*(0.02)/(1-0.02)</f>
        <v>0</v>
      </c>
      <c r="AE99" s="58">
        <f ca="1">((SUBSIDIO!$L$99*SUBSIDIO!$Z$99)+(SUBSIDIO!$N$99*SUBSIDIO!$AA$99))*(0.02)/(1-0.02)</f>
        <v>9.5758289299985169</v>
      </c>
      <c r="AF99" s="3" t="s">
        <v>589</v>
      </c>
    </row>
    <row r="100" spans="1:32" ht="11.25" customHeight="1" x14ac:dyDescent="0.25">
      <c r="A100" s="3" t="s">
        <v>21</v>
      </c>
      <c r="B100" s="3" t="s">
        <v>35</v>
      </c>
      <c r="C100" s="3" t="s">
        <v>39</v>
      </c>
      <c r="D100" s="3" t="s">
        <v>42</v>
      </c>
      <c r="E100" s="3" t="s">
        <v>25</v>
      </c>
      <c r="F100" s="3" t="s">
        <v>25</v>
      </c>
      <c r="G100" s="3" t="s">
        <v>25</v>
      </c>
      <c r="H100" s="3" t="s">
        <v>37</v>
      </c>
      <c r="I100" s="6">
        <v>44440</v>
      </c>
      <c r="J100" s="4">
        <v>0</v>
      </c>
      <c r="K100" s="58">
        <v>0</v>
      </c>
      <c r="L100" s="4">
        <v>0.314</v>
      </c>
      <c r="M100" s="58">
        <v>0.314</v>
      </c>
      <c r="N100" s="4">
        <v>0.314</v>
      </c>
      <c r="O100" s="58">
        <v>0.314</v>
      </c>
      <c r="P100" s="4">
        <v>0</v>
      </c>
      <c r="Q100" s="3" t="s">
        <v>26</v>
      </c>
      <c r="R100" s="3">
        <v>0</v>
      </c>
      <c r="S100" s="3">
        <v>0</v>
      </c>
      <c r="T100" s="3">
        <v>15</v>
      </c>
      <c r="U100" s="3">
        <v>24</v>
      </c>
      <c r="V100" s="58">
        <f>IF(ISERROR(VLOOKUP($S$100,'TAR FIN'!$A$1:$O$86,15,0)),0,VLOOKUP($S$100,'TAR FIN'!$A$1:$O$86,15,0))</f>
        <v>0</v>
      </c>
      <c r="W100" s="58">
        <f>IF(ISERROR(VLOOKUP($T$100,'TAR FIN'!$A$1:$O$86,15,0)),0,VLOOKUP($T$100,'TAR FIN'!$A$1:$O$86,15,0))*(1-0.04)</f>
        <v>2030.7647999999999</v>
      </c>
      <c r="X100" s="58">
        <f>IF(ISERROR(VLOOKUP($U$100,'TAR FIN'!$A$1:$O$86,15,0)),0,VLOOKUP($U$100,'TAR FIN'!$A$1:$O$86,15,0))*(1-0.04)</f>
        <v>203.07839999999999</v>
      </c>
      <c r="Y100" s="58"/>
      <c r="Z100" s="58">
        <f ca="1">('TUSD BE'!$AM$11+'TUSD BF'!$AM$11+'TUSD CVA'!$AM$11)*1*(1-0.02)</f>
        <v>2238.5316164441306</v>
      </c>
      <c r="AA100" s="58">
        <f>('TE BE'!$AB$5+'TE BF'!$AB$5+'TE CVA'!$AB$5)*1*(1-0.02)</f>
        <v>192.63738650886071</v>
      </c>
      <c r="AB100" s="58">
        <f>(SUBSIDIO!$J$100*SUBSIDIO!$V$100)*(0.04)/(1-0.04)</f>
        <v>0</v>
      </c>
      <c r="AC100" s="58">
        <f>((SUBSIDIO!$L$100*SUBSIDIO!$W$100)+(SUBSIDIO!$N$100*SUBSIDIO!$X$100))*(0.04)/(1-0.04)</f>
        <v>29.226115200000002</v>
      </c>
      <c r="AD100" s="58">
        <f>(SUBSIDIO!$J$100*SUBSIDIO!$Y$100)*(0.02)/(1-0.02)</f>
        <v>0</v>
      </c>
      <c r="AE100" s="58">
        <f ca="1">((SUBSIDIO!$L$100*SUBSIDIO!$Z$100)+(SUBSIDIO!$N$100*SUBSIDIO!$AA$100))*(0.02)/(1-0.02)</f>
        <v>15.579327896474272</v>
      </c>
      <c r="AF100" s="3" t="s">
        <v>589</v>
      </c>
    </row>
    <row r="101" spans="1:32" ht="11.25" customHeight="1" x14ac:dyDescent="0.25">
      <c r="A101" s="3" t="s">
        <v>21</v>
      </c>
      <c r="B101" s="3" t="s">
        <v>35</v>
      </c>
      <c r="C101" s="3" t="s">
        <v>39</v>
      </c>
      <c r="D101" s="3" t="s">
        <v>42</v>
      </c>
      <c r="E101" s="3" t="s">
        <v>25</v>
      </c>
      <c r="F101" s="3" t="s">
        <v>25</v>
      </c>
      <c r="G101" s="3" t="s">
        <v>25</v>
      </c>
      <c r="H101" s="3" t="s">
        <v>37</v>
      </c>
      <c r="I101" s="6">
        <v>44470</v>
      </c>
      <c r="J101" s="4">
        <v>0</v>
      </c>
      <c r="K101" s="58">
        <v>0</v>
      </c>
      <c r="L101" s="4">
        <v>1.246</v>
      </c>
      <c r="M101" s="58">
        <v>1.246</v>
      </c>
      <c r="N101" s="4">
        <v>1.246</v>
      </c>
      <c r="O101" s="58">
        <v>1.246</v>
      </c>
      <c r="P101" s="4">
        <v>0</v>
      </c>
      <c r="Q101" s="3" t="s">
        <v>26</v>
      </c>
      <c r="R101" s="3">
        <v>0</v>
      </c>
      <c r="S101" s="3">
        <v>0</v>
      </c>
      <c r="T101" s="3">
        <v>15</v>
      </c>
      <c r="U101" s="3">
        <v>24</v>
      </c>
      <c r="V101" s="58">
        <f>IF(ISERROR(VLOOKUP($S$101,'TAR FIN'!$A$1:$O$86,15,0)),0,VLOOKUP($S$101,'TAR FIN'!$A$1:$O$86,15,0))</f>
        <v>0</v>
      </c>
      <c r="W101" s="58">
        <f>IF(ISERROR(VLOOKUP($T$101,'TAR FIN'!$A$1:$O$86,15,0)),0,VLOOKUP($T$101,'TAR FIN'!$A$1:$O$86,15,0))*(1-0.04)</f>
        <v>2030.7647999999999</v>
      </c>
      <c r="X101" s="58">
        <f>IF(ISERROR(VLOOKUP($U$101,'TAR FIN'!$A$1:$O$86,15,0)),0,VLOOKUP($U$101,'TAR FIN'!$A$1:$O$86,15,0))*(1-0.04)</f>
        <v>203.07839999999999</v>
      </c>
      <c r="Y101" s="58"/>
      <c r="Z101" s="58">
        <f ca="1">('TUSD BE'!$AM$11+'TUSD BF'!$AM$11+'TUSD CVA'!$AM$11)*1*(1-0.02)</f>
        <v>2238.5316164441306</v>
      </c>
      <c r="AA101" s="58">
        <f>('TE BE'!$AB$5+'TE BF'!$AB$5+'TE CVA'!$AB$5)*1*(1-0.02)</f>
        <v>192.63738650886071</v>
      </c>
      <c r="AB101" s="58">
        <f>(SUBSIDIO!$J$101*SUBSIDIO!$V$101)*(0.04)/(1-0.04)</f>
        <v>0</v>
      </c>
      <c r="AC101" s="58">
        <f>((SUBSIDIO!$L$101*SUBSIDIO!$W$101)+(SUBSIDIO!$N$101*SUBSIDIO!$X$101))*(0.04)/(1-0.04)</f>
        <v>115.97369280000001</v>
      </c>
      <c r="AD101" s="58">
        <f>(SUBSIDIO!$J$101*SUBSIDIO!$Y$101)*(0.02)/(1-0.02)</f>
        <v>0</v>
      </c>
      <c r="AE101" s="58">
        <f ca="1">((SUBSIDIO!$L$101*SUBSIDIO!$Z$101)+(SUBSIDIO!$N$101*SUBSIDIO!$AA$101))*(0.02)/(1-0.02)</f>
        <v>61.821154646518927</v>
      </c>
      <c r="AF101" s="3" t="s">
        <v>589</v>
      </c>
    </row>
    <row r="102" spans="1:32" ht="11.25" customHeight="1" x14ac:dyDescent="0.25">
      <c r="A102" s="3" t="s">
        <v>21</v>
      </c>
      <c r="B102" s="3" t="s">
        <v>35</v>
      </c>
      <c r="C102" s="3" t="s">
        <v>39</v>
      </c>
      <c r="D102" s="3" t="s">
        <v>42</v>
      </c>
      <c r="E102" s="3" t="s">
        <v>25</v>
      </c>
      <c r="F102" s="3" t="s">
        <v>25</v>
      </c>
      <c r="G102" s="3" t="s">
        <v>25</v>
      </c>
      <c r="H102" s="3" t="s">
        <v>37</v>
      </c>
      <c r="I102" s="6">
        <v>44501</v>
      </c>
      <c r="J102" s="4">
        <v>0</v>
      </c>
      <c r="K102" s="58">
        <v>0</v>
      </c>
      <c r="L102" s="4">
        <v>2.6160000000000001</v>
      </c>
      <c r="M102" s="58">
        <v>2.6160000000000001</v>
      </c>
      <c r="N102" s="4">
        <v>2.6160000000000001</v>
      </c>
      <c r="O102" s="58">
        <v>2.6160000000000001</v>
      </c>
      <c r="P102" s="4">
        <v>0</v>
      </c>
      <c r="Q102" s="3" t="s">
        <v>26</v>
      </c>
      <c r="R102" s="3">
        <v>0</v>
      </c>
      <c r="S102" s="3">
        <v>0</v>
      </c>
      <c r="T102" s="3">
        <v>15</v>
      </c>
      <c r="U102" s="3">
        <v>24</v>
      </c>
      <c r="V102" s="58">
        <f>IF(ISERROR(VLOOKUP($S$102,'TAR FIN'!$A$1:$O$86,15,0)),0,VLOOKUP($S$102,'TAR FIN'!$A$1:$O$86,15,0))</f>
        <v>0</v>
      </c>
      <c r="W102" s="58">
        <f>IF(ISERROR(VLOOKUP($T$102,'TAR FIN'!$A$1:$O$86,15,0)),0,VLOOKUP($T$102,'TAR FIN'!$A$1:$O$86,15,0))*(1-0.04)</f>
        <v>2030.7647999999999</v>
      </c>
      <c r="X102" s="58">
        <f>IF(ISERROR(VLOOKUP($U$102,'TAR FIN'!$A$1:$O$86,15,0)),0,VLOOKUP($U$102,'TAR FIN'!$A$1:$O$86,15,0))*(1-0.04)</f>
        <v>203.07839999999999</v>
      </c>
      <c r="Y102" s="58"/>
      <c r="Z102" s="58">
        <f ca="1">('TUSD BE'!$AM$11+'TUSD BF'!$AM$11+'TUSD CVA'!$AM$11)*1*(1-0.02)</f>
        <v>2238.5316164441306</v>
      </c>
      <c r="AA102" s="58">
        <f>('TE BE'!$AB$5+'TE BF'!$AB$5+'TE CVA'!$AB$5)*1*(1-0.02)</f>
        <v>192.63738650886071</v>
      </c>
      <c r="AB102" s="58">
        <f>(SUBSIDIO!$J$102*SUBSIDIO!$V$102)*(0.04)/(1-0.04)</f>
        <v>0</v>
      </c>
      <c r="AC102" s="58">
        <f>((SUBSIDIO!$L$102*SUBSIDIO!$W$102)+(SUBSIDIO!$N$102*SUBSIDIO!$X$102))*(0.04)/(1-0.04)</f>
        <v>243.48890880000002</v>
      </c>
      <c r="AD102" s="58">
        <f>(SUBSIDIO!$J$102*SUBSIDIO!$Y$102)*(0.02)/(1-0.02)</f>
        <v>0</v>
      </c>
      <c r="AE102" s="58">
        <f ca="1">((SUBSIDIO!$L$102*SUBSIDIO!$Z$102)+(SUBSIDIO!$N$102*SUBSIDIO!$AA$102))*(0.02)/(1-0.02)</f>
        <v>129.79465534132706</v>
      </c>
      <c r="AF102" s="3" t="s">
        <v>589</v>
      </c>
    </row>
    <row r="103" spans="1:32" ht="11.25" customHeight="1" x14ac:dyDescent="0.25">
      <c r="A103" s="3" t="s">
        <v>21</v>
      </c>
      <c r="B103" s="3" t="s">
        <v>35</v>
      </c>
      <c r="C103" s="3" t="s">
        <v>39</v>
      </c>
      <c r="D103" s="3" t="s">
        <v>42</v>
      </c>
      <c r="E103" s="3" t="s">
        <v>25</v>
      </c>
      <c r="F103" s="3" t="s">
        <v>25</v>
      </c>
      <c r="G103" s="3" t="s">
        <v>25</v>
      </c>
      <c r="H103" s="3" t="s">
        <v>37</v>
      </c>
      <c r="I103" s="6">
        <v>44531</v>
      </c>
      <c r="J103" s="4">
        <v>0</v>
      </c>
      <c r="K103" s="58">
        <v>0</v>
      </c>
      <c r="L103" s="4">
        <v>3.5259999999999998</v>
      </c>
      <c r="M103" s="58">
        <v>3.5259999999999998</v>
      </c>
      <c r="N103" s="4">
        <v>3.5259999999999998</v>
      </c>
      <c r="O103" s="58">
        <v>3.5259999999999998</v>
      </c>
      <c r="P103" s="4">
        <v>0</v>
      </c>
      <c r="Q103" s="3" t="s">
        <v>26</v>
      </c>
      <c r="R103" s="3">
        <v>0</v>
      </c>
      <c r="S103" s="3">
        <v>0</v>
      </c>
      <c r="T103" s="3">
        <v>15</v>
      </c>
      <c r="U103" s="3">
        <v>24</v>
      </c>
      <c r="V103" s="58">
        <f>IF(ISERROR(VLOOKUP($S$103,'TAR FIN'!$A$1:$O$86,15,0)),0,VLOOKUP($S$103,'TAR FIN'!$A$1:$O$86,15,0))</f>
        <v>0</v>
      </c>
      <c r="W103" s="58">
        <f>IF(ISERROR(VLOOKUP($T$103,'TAR FIN'!$A$1:$O$86,15,0)),0,VLOOKUP($T$103,'TAR FIN'!$A$1:$O$86,15,0))*(1-0.04)</f>
        <v>2030.7647999999999</v>
      </c>
      <c r="X103" s="58">
        <f>IF(ISERROR(VLOOKUP($U$103,'TAR FIN'!$A$1:$O$86,15,0)),0,VLOOKUP($U$103,'TAR FIN'!$A$1:$O$86,15,0))*(1-0.04)</f>
        <v>203.07839999999999</v>
      </c>
      <c r="Y103" s="58"/>
      <c r="Z103" s="58">
        <f ca="1">('TUSD BE'!$AM$11+'TUSD BF'!$AM$11+'TUSD CVA'!$AM$11)*1*(1-0.02)</f>
        <v>2238.5316164441306</v>
      </c>
      <c r="AA103" s="58">
        <f>('TE BE'!$AB$5+'TE BF'!$AB$5+'TE CVA'!$AB$5)*1*(1-0.02)</f>
        <v>192.63738650886071</v>
      </c>
      <c r="AB103" s="58">
        <f>(SUBSIDIO!$J$103*SUBSIDIO!$V$103)*(0.04)/(1-0.04)</f>
        <v>0</v>
      </c>
      <c r="AC103" s="58">
        <f>((SUBSIDIO!$L$103*SUBSIDIO!$W$103)+(SUBSIDIO!$N$103*SUBSIDIO!$X$103))*(0.04)/(1-0.04)</f>
        <v>328.18879679999998</v>
      </c>
      <c r="AD103" s="58">
        <f>(SUBSIDIO!$J$103*SUBSIDIO!$Y$103)*(0.02)/(1-0.02)</f>
        <v>0</v>
      </c>
      <c r="AE103" s="58">
        <f ca="1">((SUBSIDIO!$L$103*SUBSIDIO!$Z$103)+(SUBSIDIO!$N$103*SUBSIDIO!$AA$103))*(0.02)/(1-0.02)</f>
        <v>174.94493682473973</v>
      </c>
      <c r="AF103" s="3" t="s">
        <v>589</v>
      </c>
    </row>
    <row r="104" spans="1:32" ht="11.25" customHeight="1" x14ac:dyDescent="0.25">
      <c r="A104" s="3" t="s">
        <v>21</v>
      </c>
      <c r="B104" s="3" t="s">
        <v>35</v>
      </c>
      <c r="C104" s="3" t="s">
        <v>39</v>
      </c>
      <c r="D104" s="3" t="s">
        <v>42</v>
      </c>
      <c r="E104" s="3" t="s">
        <v>25</v>
      </c>
      <c r="F104" s="3" t="s">
        <v>25</v>
      </c>
      <c r="G104" s="3" t="s">
        <v>25</v>
      </c>
      <c r="H104" s="3" t="s">
        <v>37</v>
      </c>
      <c r="I104" s="6">
        <v>44562</v>
      </c>
      <c r="J104" s="4">
        <v>0</v>
      </c>
      <c r="K104" s="58">
        <v>0</v>
      </c>
      <c r="L104" s="4">
        <v>3.8039999999999998</v>
      </c>
      <c r="M104" s="58">
        <v>3.8039999999999998</v>
      </c>
      <c r="N104" s="4">
        <v>3.8039999999999998</v>
      </c>
      <c r="O104" s="58">
        <v>3.8039999999999998</v>
      </c>
      <c r="P104" s="4">
        <v>0</v>
      </c>
      <c r="Q104" s="3" t="s">
        <v>26</v>
      </c>
      <c r="R104" s="3">
        <v>0</v>
      </c>
      <c r="S104" s="3">
        <v>0</v>
      </c>
      <c r="T104" s="3">
        <v>15</v>
      </c>
      <c r="U104" s="3">
        <v>24</v>
      </c>
      <c r="V104" s="58">
        <f>IF(ISERROR(VLOOKUP($S$104,'TAR FIN'!$A$1:$O$86,15,0)),0,VLOOKUP($S$104,'TAR FIN'!$A$1:$O$86,15,0))</f>
        <v>0</v>
      </c>
      <c r="W104" s="58">
        <f>IF(ISERROR(VLOOKUP($T$104,'TAR FIN'!$A$1:$O$86,15,0)),0,VLOOKUP($T$104,'TAR FIN'!$A$1:$O$86,15,0))*(1-0.04)</f>
        <v>2030.7647999999999</v>
      </c>
      <c r="X104" s="58">
        <f>IF(ISERROR(VLOOKUP($U$104,'TAR FIN'!$A$1:$O$86,15,0)),0,VLOOKUP($U$104,'TAR FIN'!$A$1:$O$86,15,0))*(1-0.04)</f>
        <v>203.07839999999999</v>
      </c>
      <c r="Y104" s="58"/>
      <c r="Z104" s="58">
        <f ca="1">('TUSD BE'!$AM$11+'TUSD BF'!$AM$11+'TUSD CVA'!$AM$11)*1*(1-0.02)</f>
        <v>2238.5316164441306</v>
      </c>
      <c r="AA104" s="58">
        <f>('TE BE'!$AB$5+'TE BF'!$AB$5+'TE CVA'!$AB$5)*1*(1-0.02)</f>
        <v>192.63738650886071</v>
      </c>
      <c r="AB104" s="58">
        <f>(SUBSIDIO!$J$104*SUBSIDIO!$V$104)*(0.04)/(1-0.04)</f>
        <v>0</v>
      </c>
      <c r="AC104" s="58">
        <f>((SUBSIDIO!$L$104*SUBSIDIO!$W$104)+(SUBSIDIO!$N$104*SUBSIDIO!$X$104))*(0.04)/(1-0.04)</f>
        <v>354.06414719999998</v>
      </c>
      <c r="AD104" s="58">
        <f>(SUBSIDIO!$J$104*SUBSIDIO!$Y$104)*(0.02)/(1-0.02)</f>
        <v>0</v>
      </c>
      <c r="AE104" s="58">
        <f ca="1">((SUBSIDIO!$L$104*SUBSIDIO!$Z$104)+(SUBSIDIO!$N$104*SUBSIDIO!$AA$104))*(0.02)/(1-0.02)</f>
        <v>188.73809973945262</v>
      </c>
      <c r="AF104" s="3" t="s">
        <v>589</v>
      </c>
    </row>
    <row r="105" spans="1:32" ht="11.25" customHeight="1" x14ac:dyDescent="0.25">
      <c r="A105" s="3" t="s">
        <v>21</v>
      </c>
      <c r="B105" s="3" t="s">
        <v>35</v>
      </c>
      <c r="C105" s="3" t="s">
        <v>39</v>
      </c>
      <c r="D105" s="3" t="s">
        <v>42</v>
      </c>
      <c r="E105" s="3" t="s">
        <v>25</v>
      </c>
      <c r="F105" s="3" t="s">
        <v>25</v>
      </c>
      <c r="G105" s="3" t="s">
        <v>25</v>
      </c>
      <c r="H105" s="3" t="s">
        <v>37</v>
      </c>
      <c r="I105" s="6">
        <v>44593</v>
      </c>
      <c r="J105" s="4">
        <v>0</v>
      </c>
      <c r="K105" s="58">
        <v>0</v>
      </c>
      <c r="L105" s="4">
        <v>3.0819999999999999</v>
      </c>
      <c r="M105" s="58">
        <v>3.0819999999999999</v>
      </c>
      <c r="N105" s="4">
        <v>3.0819999999999999</v>
      </c>
      <c r="O105" s="58">
        <v>3.0819999999999999</v>
      </c>
      <c r="P105" s="4">
        <v>0</v>
      </c>
      <c r="Q105" s="3" t="s">
        <v>26</v>
      </c>
      <c r="R105" s="3">
        <v>0</v>
      </c>
      <c r="S105" s="3">
        <v>0</v>
      </c>
      <c r="T105" s="3">
        <v>15</v>
      </c>
      <c r="U105" s="3">
        <v>24</v>
      </c>
      <c r="V105" s="58">
        <f>IF(ISERROR(VLOOKUP($S$105,'TAR FIN'!$A$1:$O$86,15,0)),0,VLOOKUP($S$105,'TAR FIN'!$A$1:$O$86,15,0))</f>
        <v>0</v>
      </c>
      <c r="W105" s="58">
        <f>IF(ISERROR(VLOOKUP($T$105,'TAR FIN'!$A$1:$O$86,15,0)),0,VLOOKUP($T$105,'TAR FIN'!$A$1:$O$86,15,0))*(1-0.04)</f>
        <v>2030.7647999999999</v>
      </c>
      <c r="X105" s="58">
        <f>IF(ISERROR(VLOOKUP($U$105,'TAR FIN'!$A$1:$O$86,15,0)),0,VLOOKUP($U$105,'TAR FIN'!$A$1:$O$86,15,0))*(1-0.04)</f>
        <v>203.07839999999999</v>
      </c>
      <c r="Y105" s="58"/>
      <c r="Z105" s="58">
        <f ca="1">('TUSD BE'!$AM$11+'TUSD BF'!$AM$11+'TUSD CVA'!$AM$11)*1*(1-0.02)</f>
        <v>2238.5316164441306</v>
      </c>
      <c r="AA105" s="58">
        <f>('TE BE'!$AB$5+'TE BF'!$AB$5+'TE CVA'!$AB$5)*1*(1-0.02)</f>
        <v>192.63738650886071</v>
      </c>
      <c r="AB105" s="58">
        <f>(SUBSIDIO!$J$105*SUBSIDIO!$V$105)*(0.04)/(1-0.04)</f>
        <v>0</v>
      </c>
      <c r="AC105" s="58">
        <f>((SUBSIDIO!$L$105*SUBSIDIO!$W$105)+(SUBSIDIO!$N$105*SUBSIDIO!$X$105))*(0.04)/(1-0.04)</f>
        <v>286.86269759999999</v>
      </c>
      <c r="AD105" s="58">
        <f>(SUBSIDIO!$J$105*SUBSIDIO!$Y$105)*(0.02)/(1-0.02)</f>
        <v>0</v>
      </c>
      <c r="AE105" s="58">
        <f ca="1">((SUBSIDIO!$L$105*SUBSIDIO!$Z$105)+(SUBSIDIO!$N$105*SUBSIDIO!$AA$105))*(0.02)/(1-0.02)</f>
        <v>152.91556871634936</v>
      </c>
      <c r="AF105" s="3" t="s">
        <v>589</v>
      </c>
    </row>
    <row r="106" spans="1:32" ht="11.25" customHeight="1" x14ac:dyDescent="0.25">
      <c r="A106" s="3" t="s">
        <v>21</v>
      </c>
      <c r="B106" s="3" t="s">
        <v>35</v>
      </c>
      <c r="C106" s="3" t="s">
        <v>39</v>
      </c>
      <c r="D106" s="3" t="s">
        <v>42</v>
      </c>
      <c r="E106" s="3" t="s">
        <v>25</v>
      </c>
      <c r="F106" s="3" t="s">
        <v>25</v>
      </c>
      <c r="G106" s="3" t="s">
        <v>25</v>
      </c>
      <c r="H106" s="3" t="s">
        <v>37</v>
      </c>
      <c r="I106" s="6">
        <v>44621</v>
      </c>
      <c r="J106" s="4">
        <v>0</v>
      </c>
      <c r="K106" s="58">
        <v>0</v>
      </c>
      <c r="L106" s="4">
        <v>2.762</v>
      </c>
      <c r="M106" s="58">
        <v>2.762</v>
      </c>
      <c r="N106" s="4">
        <v>2.762</v>
      </c>
      <c r="O106" s="58">
        <v>2.762</v>
      </c>
      <c r="P106" s="4">
        <v>0</v>
      </c>
      <c r="Q106" s="3" t="s">
        <v>26</v>
      </c>
      <c r="R106" s="3">
        <v>0</v>
      </c>
      <c r="S106" s="3">
        <v>0</v>
      </c>
      <c r="T106" s="3">
        <v>15</v>
      </c>
      <c r="U106" s="3">
        <v>24</v>
      </c>
      <c r="V106" s="58">
        <f>IF(ISERROR(VLOOKUP($S$106,'TAR FIN'!$A$1:$O$86,15,0)),0,VLOOKUP($S$106,'TAR FIN'!$A$1:$O$86,15,0))</f>
        <v>0</v>
      </c>
      <c r="W106" s="58">
        <f>IF(ISERROR(VLOOKUP($T$106,'TAR FIN'!$A$1:$O$86,15,0)),0,VLOOKUP($T$106,'TAR FIN'!$A$1:$O$86,15,0))*(1-0.04)</f>
        <v>2030.7647999999999</v>
      </c>
      <c r="X106" s="58">
        <f>IF(ISERROR(VLOOKUP($U$106,'TAR FIN'!$A$1:$O$86,15,0)),0,VLOOKUP($U$106,'TAR FIN'!$A$1:$O$86,15,0))*(1-0.04)</f>
        <v>203.07839999999999</v>
      </c>
      <c r="Y106" s="58"/>
      <c r="Z106" s="58">
        <f ca="1">('TUSD BE'!$AM$11+'TUSD BF'!$AM$11+'TUSD CVA'!$AM$11)*1*(1-0.02)</f>
        <v>2238.5316164441306</v>
      </c>
      <c r="AA106" s="58">
        <f>('TE BE'!$AB$5+'TE BF'!$AB$5+'TE CVA'!$AB$5)*1*(1-0.02)</f>
        <v>192.63738650886071</v>
      </c>
      <c r="AB106" s="58">
        <f>(SUBSIDIO!$J$106*SUBSIDIO!$V$106)*(0.04)/(1-0.04)</f>
        <v>0</v>
      </c>
      <c r="AC106" s="58">
        <f>((SUBSIDIO!$L$106*SUBSIDIO!$W$106)+(SUBSIDIO!$N$106*SUBSIDIO!$X$106))*(0.04)/(1-0.04)</f>
        <v>257.07812160000003</v>
      </c>
      <c r="AD106" s="58">
        <f>(SUBSIDIO!$J$106*SUBSIDIO!$Y$106)*(0.02)/(1-0.02)</f>
        <v>0</v>
      </c>
      <c r="AE106" s="58">
        <f ca="1">((SUBSIDIO!$L$106*SUBSIDIO!$Z$106)+(SUBSIDIO!$N$106*SUBSIDIO!$AA$106))*(0.02)/(1-0.02)</f>
        <v>137.0385466562482</v>
      </c>
      <c r="AF106" s="3" t="s">
        <v>589</v>
      </c>
    </row>
    <row r="107" spans="1:32" ht="11.25" customHeight="1" x14ac:dyDescent="0.25">
      <c r="A107" s="3" t="s">
        <v>21</v>
      </c>
      <c r="B107" s="3" t="s">
        <v>35</v>
      </c>
      <c r="C107" s="3" t="s">
        <v>39</v>
      </c>
      <c r="D107" s="3" t="s">
        <v>42</v>
      </c>
      <c r="E107" s="3" t="s">
        <v>25</v>
      </c>
      <c r="F107" s="3" t="s">
        <v>25</v>
      </c>
      <c r="G107" s="3" t="s">
        <v>25</v>
      </c>
      <c r="H107" s="3" t="s">
        <v>37</v>
      </c>
      <c r="I107" s="6">
        <v>44652</v>
      </c>
      <c r="J107" s="4">
        <v>0</v>
      </c>
      <c r="K107" s="58">
        <v>0</v>
      </c>
      <c r="L107" s="4">
        <v>1.7370000000000001</v>
      </c>
      <c r="M107" s="58">
        <v>1.7370000000000001</v>
      </c>
      <c r="N107" s="4">
        <v>1.7370000000000001</v>
      </c>
      <c r="O107" s="58">
        <v>1.7370000000000001</v>
      </c>
      <c r="P107" s="4">
        <v>0</v>
      </c>
      <c r="Q107" s="3" t="s">
        <v>26</v>
      </c>
      <c r="R107" s="3">
        <v>0</v>
      </c>
      <c r="S107" s="3">
        <v>0</v>
      </c>
      <c r="T107" s="3">
        <v>15</v>
      </c>
      <c r="U107" s="3">
        <v>24</v>
      </c>
      <c r="V107" s="58">
        <f>IF(ISERROR(VLOOKUP($S$107,'TAR FIN'!$A$1:$O$86,15,0)),0,VLOOKUP($S$107,'TAR FIN'!$A$1:$O$86,15,0))</f>
        <v>0</v>
      </c>
      <c r="W107" s="58">
        <f>IF(ISERROR(VLOOKUP($T$107,'TAR FIN'!$A$1:$O$86,15,0)),0,VLOOKUP($T$107,'TAR FIN'!$A$1:$O$86,15,0))*(1-0.04)</f>
        <v>2030.7647999999999</v>
      </c>
      <c r="X107" s="58">
        <f>IF(ISERROR(VLOOKUP($U$107,'TAR FIN'!$A$1:$O$86,15,0)),0,VLOOKUP($U$107,'TAR FIN'!$A$1:$O$86,15,0))*(1-0.04)</f>
        <v>203.07839999999999</v>
      </c>
      <c r="Y107" s="58"/>
      <c r="Z107" s="58">
        <f ca="1">('TUSD BE'!$AM$11+'TUSD BF'!$AM$11+'TUSD CVA'!$AM$11)*1*(1-0.02)</f>
        <v>2238.5316164441306</v>
      </c>
      <c r="AA107" s="58">
        <f>('TE BE'!$AB$5+'TE BF'!$AB$5+'TE CVA'!$AB$5)*1*(1-0.02)</f>
        <v>192.63738650886071</v>
      </c>
      <c r="AB107" s="58">
        <f>(SUBSIDIO!$J$107*SUBSIDIO!$V$107)*(0.04)/(1-0.04)</f>
        <v>0</v>
      </c>
      <c r="AC107" s="58">
        <f>((SUBSIDIO!$L$107*SUBSIDIO!$W$107)+(SUBSIDIO!$N$107*SUBSIDIO!$X$107))*(0.04)/(1-0.04)</f>
        <v>161.67440160000001</v>
      </c>
      <c r="AD107" s="58">
        <f>(SUBSIDIO!$J$107*SUBSIDIO!$Y$107)*(0.02)/(1-0.02)</f>
        <v>0</v>
      </c>
      <c r="AE107" s="58">
        <f ca="1">((SUBSIDIO!$L$107*SUBSIDIO!$Z$107)+(SUBSIDIO!$N$107*SUBSIDIO!$AA$107))*(0.02)/(1-0.02)</f>
        <v>86.182460369986671</v>
      </c>
      <c r="AF107" s="3" t="s">
        <v>589</v>
      </c>
    </row>
    <row r="108" spans="1:32" ht="11.25" customHeight="1" x14ac:dyDescent="0.25">
      <c r="A108" s="3" t="s">
        <v>21</v>
      </c>
      <c r="B108" s="3" t="s">
        <v>35</v>
      </c>
      <c r="C108" s="3" t="s">
        <v>39</v>
      </c>
      <c r="D108" s="3" t="s">
        <v>42</v>
      </c>
      <c r="E108" s="3" t="s">
        <v>25</v>
      </c>
      <c r="F108" s="3" t="s">
        <v>25</v>
      </c>
      <c r="G108" s="3" t="s">
        <v>25</v>
      </c>
      <c r="H108" s="3" t="s">
        <v>37</v>
      </c>
      <c r="I108" s="6">
        <v>44682</v>
      </c>
      <c r="J108" s="4">
        <v>0</v>
      </c>
      <c r="K108" s="58">
        <v>0</v>
      </c>
      <c r="L108" s="4">
        <v>1.429</v>
      </c>
      <c r="M108" s="58">
        <v>1.429</v>
      </c>
      <c r="N108" s="4">
        <v>1.429</v>
      </c>
      <c r="O108" s="58">
        <v>1.429</v>
      </c>
      <c r="P108" s="4">
        <v>0</v>
      </c>
      <c r="Q108" s="3" t="s">
        <v>26</v>
      </c>
      <c r="R108" s="3">
        <v>0</v>
      </c>
      <c r="S108" s="3">
        <v>0</v>
      </c>
      <c r="T108" s="3">
        <v>15</v>
      </c>
      <c r="U108" s="3">
        <v>24</v>
      </c>
      <c r="V108" s="58">
        <f>IF(ISERROR(VLOOKUP($S$108,'TAR FIN'!$A$1:$O$86,15,0)),0,VLOOKUP($S$108,'TAR FIN'!$A$1:$O$86,15,0))</f>
        <v>0</v>
      </c>
      <c r="W108" s="58">
        <f>IF(ISERROR(VLOOKUP($T$108,'TAR FIN'!$A$1:$O$86,15,0)),0,VLOOKUP($T$108,'TAR FIN'!$A$1:$O$86,15,0))*(1-0.04)</f>
        <v>2030.7647999999999</v>
      </c>
      <c r="X108" s="58">
        <f>IF(ISERROR(VLOOKUP($U$108,'TAR FIN'!$A$1:$O$86,15,0)),0,VLOOKUP($U$108,'TAR FIN'!$A$1:$O$86,15,0))*(1-0.04)</f>
        <v>203.07839999999999</v>
      </c>
      <c r="Y108" s="58"/>
      <c r="Z108" s="58">
        <f ca="1">('TUSD BE'!$AM$11+'TUSD BF'!$AM$11+'TUSD CVA'!$AM$11)*1*(1-0.02)</f>
        <v>2238.5316164441306</v>
      </c>
      <c r="AA108" s="58">
        <f>('TE BE'!$AB$5+'TE BF'!$AB$5+'TE CVA'!$AB$5)*1*(1-0.02)</f>
        <v>192.63738650886071</v>
      </c>
      <c r="AB108" s="58">
        <f>(SUBSIDIO!$J$108*SUBSIDIO!$V$108)*(0.04)/(1-0.04)</f>
        <v>0</v>
      </c>
      <c r="AC108" s="58">
        <f>((SUBSIDIO!$L$108*SUBSIDIO!$W$108)+(SUBSIDIO!$N$108*SUBSIDIO!$X$108))*(0.04)/(1-0.04)</f>
        <v>133.00674720000001</v>
      </c>
      <c r="AD108" s="58">
        <f>(SUBSIDIO!$J$108*SUBSIDIO!$Y$108)*(0.02)/(1-0.02)</f>
        <v>0</v>
      </c>
      <c r="AE108" s="58">
        <f ca="1">((SUBSIDIO!$L$108*SUBSIDIO!$Z$108)+(SUBSIDIO!$N$108*SUBSIDIO!$AA$108))*(0.02)/(1-0.02)</f>
        <v>70.900826637139275</v>
      </c>
      <c r="AF108" s="3" t="s">
        <v>589</v>
      </c>
    </row>
    <row r="109" spans="1:32" ht="11.25" customHeight="1" x14ac:dyDescent="0.25">
      <c r="A109" s="3" t="s">
        <v>21</v>
      </c>
      <c r="B109" s="3" t="s">
        <v>35</v>
      </c>
      <c r="C109" s="3" t="s">
        <v>39</v>
      </c>
      <c r="D109" s="3" t="s">
        <v>42</v>
      </c>
      <c r="E109" s="3" t="s">
        <v>25</v>
      </c>
      <c r="F109" s="3" t="s">
        <v>25</v>
      </c>
      <c r="G109" s="3" t="s">
        <v>25</v>
      </c>
      <c r="H109" s="3" t="s">
        <v>37</v>
      </c>
      <c r="I109" s="6">
        <v>44713</v>
      </c>
      <c r="J109" s="4">
        <v>0</v>
      </c>
      <c r="K109" s="58">
        <v>0</v>
      </c>
      <c r="L109" s="4">
        <v>1.288</v>
      </c>
      <c r="M109" s="58">
        <v>1.288</v>
      </c>
      <c r="N109" s="4">
        <v>1.288</v>
      </c>
      <c r="O109" s="58">
        <v>1.288</v>
      </c>
      <c r="P109" s="4">
        <v>0</v>
      </c>
      <c r="Q109" s="3" t="s">
        <v>26</v>
      </c>
      <c r="R109" s="3">
        <v>0</v>
      </c>
      <c r="S109" s="3">
        <v>0</v>
      </c>
      <c r="T109" s="3">
        <v>15</v>
      </c>
      <c r="U109" s="3">
        <v>24</v>
      </c>
      <c r="V109" s="58">
        <f>IF(ISERROR(VLOOKUP($S$109,'TAR FIN'!$A$1:$O$86,15,0)),0,VLOOKUP($S$109,'TAR FIN'!$A$1:$O$86,15,0))</f>
        <v>0</v>
      </c>
      <c r="W109" s="58">
        <f>IF(ISERROR(VLOOKUP($T$109,'TAR FIN'!$A$1:$O$86,15,0)),0,VLOOKUP($T$109,'TAR FIN'!$A$1:$O$86,15,0))*(1-0.04)</f>
        <v>2030.7647999999999</v>
      </c>
      <c r="X109" s="58">
        <f>IF(ISERROR(VLOOKUP($U$109,'TAR FIN'!$A$1:$O$86,15,0)),0,VLOOKUP($U$109,'TAR FIN'!$A$1:$O$86,15,0))*(1-0.04)</f>
        <v>203.07839999999999</v>
      </c>
      <c r="Y109" s="58"/>
      <c r="Z109" s="58">
        <f ca="1">('TUSD BE'!$AM$11+'TUSD BF'!$AM$11+'TUSD CVA'!$AM$11)*1*(1-0.02)</f>
        <v>2238.5316164441306</v>
      </c>
      <c r="AA109" s="58">
        <f>('TE BE'!$AB$5+'TE BF'!$AB$5+'TE CVA'!$AB$5)*1*(1-0.02)</f>
        <v>192.63738650886071</v>
      </c>
      <c r="AB109" s="58">
        <f>(SUBSIDIO!$J$109*SUBSIDIO!$V$109)*(0.04)/(1-0.04)</f>
        <v>0</v>
      </c>
      <c r="AC109" s="58">
        <f>((SUBSIDIO!$L$109*SUBSIDIO!$W$109)+(SUBSIDIO!$N$109*SUBSIDIO!$X$109))*(0.04)/(1-0.04)</f>
        <v>119.88291839999999</v>
      </c>
      <c r="AD109" s="58">
        <f>(SUBSIDIO!$J$109*SUBSIDIO!$Y$109)*(0.02)/(1-0.02)</f>
        <v>0</v>
      </c>
      <c r="AE109" s="58">
        <f ca="1">((SUBSIDIO!$L$109*SUBSIDIO!$Z$109)+(SUBSIDIO!$N$109*SUBSIDIO!$AA$109))*(0.02)/(1-0.02)</f>
        <v>63.905013791907194</v>
      </c>
      <c r="AF109" s="3" t="s">
        <v>589</v>
      </c>
    </row>
    <row r="110" spans="1:32" ht="11.25" customHeight="1" x14ac:dyDescent="0.25">
      <c r="A110" s="3" t="s">
        <v>21</v>
      </c>
      <c r="B110" s="3" t="s">
        <v>22</v>
      </c>
      <c r="C110" s="3" t="s">
        <v>23</v>
      </c>
      <c r="D110" s="3" t="s">
        <v>24</v>
      </c>
      <c r="E110" s="3" t="s">
        <v>24</v>
      </c>
      <c r="F110" s="3" t="s">
        <v>25</v>
      </c>
      <c r="G110" s="3" t="s">
        <v>25</v>
      </c>
      <c r="H110" s="3" t="s">
        <v>25</v>
      </c>
      <c r="I110" s="6">
        <v>44378</v>
      </c>
      <c r="J110" s="4">
        <v>0</v>
      </c>
      <c r="K110" s="4">
        <v>0</v>
      </c>
      <c r="L110" s="4">
        <v>373.61099999999999</v>
      </c>
      <c r="M110" s="4">
        <v>373.61099999999999</v>
      </c>
      <c r="N110" s="4">
        <v>373.61099999999999</v>
      </c>
      <c r="O110" s="4">
        <v>373.61099999999999</v>
      </c>
      <c r="P110" s="4">
        <v>2299</v>
      </c>
      <c r="Q110" s="3" t="s">
        <v>26</v>
      </c>
      <c r="R110" s="3">
        <v>0</v>
      </c>
      <c r="S110" s="3">
        <v>0</v>
      </c>
      <c r="T110" s="3">
        <v>20</v>
      </c>
      <c r="U110" s="3">
        <v>62</v>
      </c>
      <c r="V110" s="4">
        <f>IF(ISERROR(VLOOKUP($S$110,'TAR FIN'!$A$1:$O$86,15,0)),0,VLOOKUP($S$110,'TAR FIN'!$A$1:$O$86,15,0))</f>
        <v>0</v>
      </c>
      <c r="W110" s="4">
        <f>IF(ISERROR(VLOOKUP($T$110,'TAR FIN'!$A$1:$O$86,15,0)),0,VLOOKUP($T$110,'TAR FIN'!$A$1:$O$86,15,0))</f>
        <v>489.03</v>
      </c>
      <c r="X110" s="4">
        <f>IF(ISERROR(VLOOKUP($U$110,'TAR FIN'!$A$1:$O$86,15,0)),0,VLOOKUP($U$110,'TAR FIN'!$A$1:$O$86,15,0))</f>
        <v>211.54</v>
      </c>
      <c r="Y110" s="4"/>
      <c r="Z110" s="4">
        <f ca="1">('TUSD BE'!$AM$20+'TUSD BF'!$AM$20+'TUSD CVA'!$AM$20)*1</f>
        <v>570.88759713673926</v>
      </c>
      <c r="AA110" s="4">
        <f>('TE BE'!$AB$11+'TE BF'!$AB$11+'TE CVA'!$AB$11)*1</f>
        <v>196.56876174373542</v>
      </c>
      <c r="AB110" s="4">
        <f t="shared" ref="AB110:AB129" si="8">(J110-K110)*V110</f>
        <v>0</v>
      </c>
      <c r="AC110" s="4">
        <f t="shared" ref="AC110" si="9">(L110-M110)*W110+(N110-O110)*X110</f>
        <v>0</v>
      </c>
      <c r="AD110" s="4">
        <f t="shared" ref="AD110:AD129" si="10">(J110-K110)*Y110</f>
        <v>0</v>
      </c>
      <c r="AE110" s="4">
        <f t="shared" ref="AE110" ca="1" si="11">(L110-M110)*Z110+(N110-O110)*AA110</f>
        <v>0</v>
      </c>
    </row>
    <row r="111" spans="1:32" ht="11.25" customHeight="1" x14ac:dyDescent="0.25">
      <c r="A111" s="3" t="s">
        <v>21</v>
      </c>
      <c r="B111" s="3" t="s">
        <v>22</v>
      </c>
      <c r="C111" s="3" t="s">
        <v>23</v>
      </c>
      <c r="D111" s="3" t="s">
        <v>24</v>
      </c>
      <c r="E111" s="3" t="s">
        <v>29</v>
      </c>
      <c r="F111" s="3" t="s">
        <v>25</v>
      </c>
      <c r="G111" s="3" t="s">
        <v>25</v>
      </c>
      <c r="H111" s="3" t="s">
        <v>25</v>
      </c>
      <c r="I111" s="6">
        <v>44378</v>
      </c>
      <c r="J111" s="4">
        <v>0</v>
      </c>
      <c r="K111" s="4">
        <v>0</v>
      </c>
      <c r="L111" s="4">
        <v>0.69</v>
      </c>
      <c r="M111" s="4">
        <v>0.69</v>
      </c>
      <c r="N111" s="4">
        <v>0.69</v>
      </c>
      <c r="O111" s="4">
        <v>0.69</v>
      </c>
      <c r="P111" s="4">
        <v>4</v>
      </c>
      <c r="Q111" s="3" t="s">
        <v>26</v>
      </c>
      <c r="R111" s="3">
        <v>0</v>
      </c>
      <c r="S111" s="3">
        <v>0</v>
      </c>
      <c r="T111" s="3">
        <v>11</v>
      </c>
      <c r="U111" s="3">
        <v>71</v>
      </c>
      <c r="V111" s="4">
        <f>IF(ISERROR(VLOOKUP($S$111,'TAR FIN'!$A$1:$O$86,15,0)),0,VLOOKUP($S$111,'TAR FIN'!$A$1:$O$86,15,0))</f>
        <v>0</v>
      </c>
      <c r="W111" s="4">
        <f>IF(ISERROR(VLOOKUP($T$111,'TAR FIN'!$A$1:$O$86,15,0)),0,VLOOKUP($T$111,'TAR FIN'!$A$1:$O$86,15,0))</f>
        <v>148.09</v>
      </c>
      <c r="X111" s="4">
        <f>IF(ISERROR(VLOOKUP($U$111,'TAR FIN'!$A$1:$O$86,15,0)),0,VLOOKUP($U$111,'TAR FIN'!$A$1:$O$86,15,0))</f>
        <v>74.040000000000006</v>
      </c>
      <c r="Y111" s="4"/>
      <c r="Z111" s="4">
        <f ca="1">('TUSD BE'!$AM$21+'TUSD BF'!$AM$21+'TUSD CVA'!$AM$21-('TUSD BE'!$P$21+'TUSD BF'!$P$21+'TUSD CVA'!$P$21)-('TUSD BE'!$Q$21+'TUSD BF'!$Q$21+'TUSD CVA'!$Q$21)-('TUSD BE'!$R$21+'TUSD BF'!$R$21+'TUSD CVA'!$R$21))*(1-CUSTOS!$M$34)</f>
        <v>163.38168093159149</v>
      </c>
      <c r="AA111" s="4">
        <f>('TE BE'!$AB$12+'TE BF'!$AB$12+'TE CVA'!$AB$12)*(1-CUSTOS!$M$34)</f>
        <v>68.799066610307392</v>
      </c>
      <c r="AB111" s="4">
        <f t="shared" si="8"/>
        <v>0</v>
      </c>
      <c r="AC111" s="4">
        <f>(L111-M111)*(W111+X111)+($W$147+$X$147-$W$111-$X$111)*(L111)</f>
        <v>284.63879999999995</v>
      </c>
      <c r="AD111" s="4">
        <f t="shared" si="10"/>
        <v>0</v>
      </c>
      <c r="AE111" s="4">
        <f ca="1">(L111-M111)*(Z111+AA111)+($Z$147+$AA$147-$Z$111-$AA$111)*(L111)</f>
        <v>297.52304363583329</v>
      </c>
      <c r="AF111" s="3" t="s">
        <v>591</v>
      </c>
    </row>
    <row r="112" spans="1:32" ht="11.25" customHeight="1" x14ac:dyDescent="0.25">
      <c r="A112" s="3" t="s">
        <v>21</v>
      </c>
      <c r="B112" s="3" t="s">
        <v>22</v>
      </c>
      <c r="C112" s="3" t="s">
        <v>23</v>
      </c>
      <c r="D112" s="3" t="s">
        <v>24</v>
      </c>
      <c r="E112" s="3" t="s">
        <v>29</v>
      </c>
      <c r="F112" s="3" t="s">
        <v>25</v>
      </c>
      <c r="G112" s="3" t="s">
        <v>25</v>
      </c>
      <c r="H112" s="3" t="s">
        <v>25</v>
      </c>
      <c r="I112" s="6">
        <v>44409</v>
      </c>
      <c r="J112" s="4">
        <v>0</v>
      </c>
      <c r="K112" s="4">
        <v>0</v>
      </c>
      <c r="L112" s="4">
        <v>0.69</v>
      </c>
      <c r="M112" s="4">
        <v>0.69</v>
      </c>
      <c r="N112" s="4">
        <v>0.69</v>
      </c>
      <c r="O112" s="4">
        <v>0.69</v>
      </c>
      <c r="P112" s="4">
        <v>2</v>
      </c>
      <c r="Q112" s="3" t="s">
        <v>26</v>
      </c>
      <c r="R112" s="3">
        <v>0</v>
      </c>
      <c r="S112" s="3">
        <v>0</v>
      </c>
      <c r="T112" s="3">
        <v>11</v>
      </c>
      <c r="U112" s="3">
        <v>71</v>
      </c>
      <c r="V112" s="4">
        <f>IF(ISERROR(VLOOKUP($S$112,'TAR FIN'!$A$1:$O$86,15,0)),0,VLOOKUP($S$112,'TAR FIN'!$A$1:$O$86,15,0))</f>
        <v>0</v>
      </c>
      <c r="W112" s="4">
        <f>IF(ISERROR(VLOOKUP($T$112,'TAR FIN'!$A$1:$O$86,15,0)),0,VLOOKUP($T$112,'TAR FIN'!$A$1:$O$86,15,0))</f>
        <v>148.09</v>
      </c>
      <c r="X112" s="4">
        <f>IF(ISERROR(VLOOKUP($U$112,'TAR FIN'!$A$1:$O$86,15,0)),0,VLOOKUP($U$112,'TAR FIN'!$A$1:$O$86,15,0))</f>
        <v>74.040000000000006</v>
      </c>
      <c r="Y112" s="4"/>
      <c r="Z112" s="4">
        <f ca="1">('TUSD BE'!$AM$21+'TUSD BF'!$AM$21+'TUSD CVA'!$AM$21-('TUSD BE'!$P$21+'TUSD BF'!$P$21+'TUSD CVA'!$P$21)-('TUSD BE'!$Q$21+'TUSD BF'!$Q$21+'TUSD CVA'!$Q$21)-('TUSD BE'!$R$21+'TUSD BF'!$R$21+'TUSD CVA'!$R$21))*(1-CUSTOS!$M$34)</f>
        <v>163.38168093159149</v>
      </c>
      <c r="AA112" s="4">
        <f>('TE BE'!$AB$12+'TE BF'!$AB$12+'TE CVA'!$AB$12)*(1-CUSTOS!$M$34)</f>
        <v>68.799066610307392</v>
      </c>
      <c r="AB112" s="4">
        <f t="shared" si="8"/>
        <v>0</v>
      </c>
      <c r="AC112" s="4">
        <f>(L112-M112)*(W112+X112)+($W$147+$X$147-$W$112-$X$112)*(L112)</f>
        <v>284.63879999999995</v>
      </c>
      <c r="AD112" s="4">
        <f t="shared" si="10"/>
        <v>0</v>
      </c>
      <c r="AE112" s="4">
        <f ca="1">(L112-M112)*(Z112+AA112)+($Z$147+$AA$147-$Z$112-$AA$112)*(L112)</f>
        <v>297.52304363583329</v>
      </c>
      <c r="AF112" s="3" t="s">
        <v>591</v>
      </c>
    </row>
    <row r="113" spans="1:32" ht="11.25" customHeight="1" x14ac:dyDescent="0.25">
      <c r="A113" s="3" t="s">
        <v>21</v>
      </c>
      <c r="B113" s="3" t="s">
        <v>22</v>
      </c>
      <c r="C113" s="3" t="s">
        <v>23</v>
      </c>
      <c r="D113" s="3" t="s">
        <v>24</v>
      </c>
      <c r="E113" s="3" t="s">
        <v>29</v>
      </c>
      <c r="F113" s="3" t="s">
        <v>25</v>
      </c>
      <c r="G113" s="3" t="s">
        <v>25</v>
      </c>
      <c r="H113" s="3" t="s">
        <v>25</v>
      </c>
      <c r="I113" s="6">
        <v>44440</v>
      </c>
      <c r="J113" s="4">
        <v>0</v>
      </c>
      <c r="K113" s="4">
        <v>0</v>
      </c>
      <c r="L113" s="4">
        <v>0.69</v>
      </c>
      <c r="M113" s="4">
        <v>0.69</v>
      </c>
      <c r="N113" s="4">
        <v>0.69</v>
      </c>
      <c r="O113" s="4">
        <v>0.69</v>
      </c>
      <c r="P113" s="4">
        <v>2</v>
      </c>
      <c r="Q113" s="3" t="s">
        <v>26</v>
      </c>
      <c r="R113" s="3">
        <v>0</v>
      </c>
      <c r="S113" s="3">
        <v>0</v>
      </c>
      <c r="T113" s="3">
        <v>11</v>
      </c>
      <c r="U113" s="3">
        <v>71</v>
      </c>
      <c r="V113" s="4">
        <f>IF(ISERROR(VLOOKUP($S$113,'TAR FIN'!$A$1:$O$86,15,0)),0,VLOOKUP($S$113,'TAR FIN'!$A$1:$O$86,15,0))</f>
        <v>0</v>
      </c>
      <c r="W113" s="4">
        <f>IF(ISERROR(VLOOKUP($T$113,'TAR FIN'!$A$1:$O$86,15,0)),0,VLOOKUP($T$113,'TAR FIN'!$A$1:$O$86,15,0))</f>
        <v>148.09</v>
      </c>
      <c r="X113" s="4">
        <f>IF(ISERROR(VLOOKUP($U$113,'TAR FIN'!$A$1:$O$86,15,0)),0,VLOOKUP($U$113,'TAR FIN'!$A$1:$O$86,15,0))</f>
        <v>74.040000000000006</v>
      </c>
      <c r="Y113" s="4"/>
      <c r="Z113" s="4">
        <f ca="1">('TUSD BE'!$AM$21+'TUSD BF'!$AM$21+'TUSD CVA'!$AM$21-('TUSD BE'!$P$21+'TUSD BF'!$P$21+'TUSD CVA'!$P$21)-('TUSD BE'!$Q$21+'TUSD BF'!$Q$21+'TUSD CVA'!$Q$21)-('TUSD BE'!$R$21+'TUSD BF'!$R$21+'TUSD CVA'!$R$21))*(1-CUSTOS!$M$34)</f>
        <v>163.38168093159149</v>
      </c>
      <c r="AA113" s="4">
        <f>('TE BE'!$AB$12+'TE BF'!$AB$12+'TE CVA'!$AB$12)*(1-CUSTOS!$M$34)</f>
        <v>68.799066610307392</v>
      </c>
      <c r="AB113" s="4">
        <f t="shared" si="8"/>
        <v>0</v>
      </c>
      <c r="AC113" s="4">
        <f>(L113-M113)*(W113+X113)+($W$147+$X$147-$W$113-$X$113)*(L113)</f>
        <v>284.63879999999995</v>
      </c>
      <c r="AD113" s="4">
        <f t="shared" si="10"/>
        <v>0</v>
      </c>
      <c r="AE113" s="4">
        <f ca="1">(L113-M113)*(Z113+AA113)+($Z$147+$AA$147-$Z$113-$AA$113)*(L113)</f>
        <v>297.52304363583329</v>
      </c>
      <c r="AF113" s="3" t="s">
        <v>591</v>
      </c>
    </row>
    <row r="114" spans="1:32" ht="11.25" customHeight="1" x14ac:dyDescent="0.25">
      <c r="A114" s="3" t="s">
        <v>21</v>
      </c>
      <c r="B114" s="3" t="s">
        <v>22</v>
      </c>
      <c r="C114" s="3" t="s">
        <v>23</v>
      </c>
      <c r="D114" s="3" t="s">
        <v>24</v>
      </c>
      <c r="E114" s="3" t="s">
        <v>29</v>
      </c>
      <c r="F114" s="3" t="s">
        <v>25</v>
      </c>
      <c r="G114" s="3" t="s">
        <v>25</v>
      </c>
      <c r="H114" s="3" t="s">
        <v>25</v>
      </c>
      <c r="I114" s="6">
        <v>44470</v>
      </c>
      <c r="J114" s="4">
        <v>0</v>
      </c>
      <c r="K114" s="4">
        <v>0</v>
      </c>
      <c r="L114" s="4">
        <v>0.69</v>
      </c>
      <c r="M114" s="4">
        <v>0.69</v>
      </c>
      <c r="N114" s="4">
        <v>0.69</v>
      </c>
      <c r="O114" s="4">
        <v>0.69</v>
      </c>
      <c r="P114" s="4">
        <v>2</v>
      </c>
      <c r="Q114" s="3" t="s">
        <v>26</v>
      </c>
      <c r="R114" s="3">
        <v>0</v>
      </c>
      <c r="S114" s="3">
        <v>0</v>
      </c>
      <c r="T114" s="3">
        <v>11</v>
      </c>
      <c r="U114" s="3">
        <v>71</v>
      </c>
      <c r="V114" s="4">
        <f>IF(ISERROR(VLOOKUP($S$114,'TAR FIN'!$A$1:$O$86,15,0)),0,VLOOKUP($S$114,'TAR FIN'!$A$1:$O$86,15,0))</f>
        <v>0</v>
      </c>
      <c r="W114" s="4">
        <f>IF(ISERROR(VLOOKUP($T$114,'TAR FIN'!$A$1:$O$86,15,0)),0,VLOOKUP($T$114,'TAR FIN'!$A$1:$O$86,15,0))</f>
        <v>148.09</v>
      </c>
      <c r="X114" s="4">
        <f>IF(ISERROR(VLOOKUP($U$114,'TAR FIN'!$A$1:$O$86,15,0)),0,VLOOKUP($U$114,'TAR FIN'!$A$1:$O$86,15,0))</f>
        <v>74.040000000000006</v>
      </c>
      <c r="Y114" s="4"/>
      <c r="Z114" s="4">
        <f ca="1">('TUSD BE'!$AM$21+'TUSD BF'!$AM$21+'TUSD CVA'!$AM$21-('TUSD BE'!$P$21+'TUSD BF'!$P$21+'TUSD CVA'!$P$21)-('TUSD BE'!$Q$21+'TUSD BF'!$Q$21+'TUSD CVA'!$Q$21)-('TUSD BE'!$R$21+'TUSD BF'!$R$21+'TUSD CVA'!$R$21))*(1-CUSTOS!$M$34)</f>
        <v>163.38168093159149</v>
      </c>
      <c r="AA114" s="4">
        <f>('TE BE'!$AB$12+'TE BF'!$AB$12+'TE CVA'!$AB$12)*(1-CUSTOS!$M$34)</f>
        <v>68.799066610307392</v>
      </c>
      <c r="AB114" s="4">
        <f t="shared" si="8"/>
        <v>0</v>
      </c>
      <c r="AC114" s="4">
        <f>(L114-M114)*(W114+X114)+($W$147+$X$147-$W$114-$X$114)*(L114)</f>
        <v>284.63879999999995</v>
      </c>
      <c r="AD114" s="4">
        <f t="shared" si="10"/>
        <v>0</v>
      </c>
      <c r="AE114" s="4">
        <f ca="1">(L114-M114)*(Z114+AA114)+($Z$147+$AA$147-$Z$114-$AA$114)*(L114)</f>
        <v>297.52304363583329</v>
      </c>
      <c r="AF114" s="3" t="s">
        <v>591</v>
      </c>
    </row>
    <row r="115" spans="1:32" ht="11.25" customHeight="1" x14ac:dyDescent="0.25">
      <c r="A115" s="3" t="s">
        <v>21</v>
      </c>
      <c r="B115" s="3" t="s">
        <v>22</v>
      </c>
      <c r="C115" s="3" t="s">
        <v>23</v>
      </c>
      <c r="D115" s="3" t="s">
        <v>24</v>
      </c>
      <c r="E115" s="3" t="s">
        <v>29</v>
      </c>
      <c r="F115" s="3" t="s">
        <v>25</v>
      </c>
      <c r="G115" s="3" t="s">
        <v>25</v>
      </c>
      <c r="H115" s="3" t="s">
        <v>25</v>
      </c>
      <c r="I115" s="6">
        <v>44501</v>
      </c>
      <c r="J115" s="4">
        <v>0</v>
      </c>
      <c r="K115" s="4">
        <v>0</v>
      </c>
      <c r="L115" s="4">
        <v>0.69</v>
      </c>
      <c r="M115" s="4">
        <v>0.69</v>
      </c>
      <c r="N115" s="4">
        <v>0.69</v>
      </c>
      <c r="O115" s="4">
        <v>0.69</v>
      </c>
      <c r="P115" s="4">
        <v>3</v>
      </c>
      <c r="Q115" s="3" t="s">
        <v>26</v>
      </c>
      <c r="R115" s="3">
        <v>0</v>
      </c>
      <c r="S115" s="3">
        <v>0</v>
      </c>
      <c r="T115" s="3">
        <v>11</v>
      </c>
      <c r="U115" s="3">
        <v>71</v>
      </c>
      <c r="V115" s="4">
        <f>IF(ISERROR(VLOOKUP($S$115,'TAR FIN'!$A$1:$O$86,15,0)),0,VLOOKUP($S$115,'TAR FIN'!$A$1:$O$86,15,0))</f>
        <v>0</v>
      </c>
      <c r="W115" s="4">
        <f>IF(ISERROR(VLOOKUP($T$115,'TAR FIN'!$A$1:$O$86,15,0)),0,VLOOKUP($T$115,'TAR FIN'!$A$1:$O$86,15,0))</f>
        <v>148.09</v>
      </c>
      <c r="X115" s="4">
        <f>IF(ISERROR(VLOOKUP($U$115,'TAR FIN'!$A$1:$O$86,15,0)),0,VLOOKUP($U$115,'TAR FIN'!$A$1:$O$86,15,0))</f>
        <v>74.040000000000006</v>
      </c>
      <c r="Y115" s="4"/>
      <c r="Z115" s="4">
        <f ca="1">('TUSD BE'!$AM$21+'TUSD BF'!$AM$21+'TUSD CVA'!$AM$21-('TUSD BE'!$P$21+'TUSD BF'!$P$21+'TUSD CVA'!$P$21)-('TUSD BE'!$Q$21+'TUSD BF'!$Q$21+'TUSD CVA'!$Q$21)-('TUSD BE'!$R$21+'TUSD BF'!$R$21+'TUSD CVA'!$R$21))*(1-CUSTOS!$M$34)</f>
        <v>163.38168093159149</v>
      </c>
      <c r="AA115" s="4">
        <f>('TE BE'!$AB$12+'TE BF'!$AB$12+'TE CVA'!$AB$12)*(1-CUSTOS!$M$34)</f>
        <v>68.799066610307392</v>
      </c>
      <c r="AB115" s="4">
        <f t="shared" si="8"/>
        <v>0</v>
      </c>
      <c r="AC115" s="4">
        <f>(L115-M115)*(W115+X115)+($W$147+$X$147-$W$115-$X$115)*(L115)</f>
        <v>284.63879999999995</v>
      </c>
      <c r="AD115" s="4">
        <f t="shared" si="10"/>
        <v>0</v>
      </c>
      <c r="AE115" s="4">
        <f ca="1">(L115-M115)*(Z115+AA115)+($Z$147+$AA$147-$Z$115-$AA$115)*(L115)</f>
        <v>297.52304363583329</v>
      </c>
      <c r="AF115" s="3" t="s">
        <v>591</v>
      </c>
    </row>
    <row r="116" spans="1:32" ht="11.25" customHeight="1" x14ac:dyDescent="0.25">
      <c r="A116" s="3" t="s">
        <v>21</v>
      </c>
      <c r="B116" s="3" t="s">
        <v>22</v>
      </c>
      <c r="C116" s="3" t="s">
        <v>23</v>
      </c>
      <c r="D116" s="3" t="s">
        <v>24</v>
      </c>
      <c r="E116" s="3" t="s">
        <v>29</v>
      </c>
      <c r="F116" s="3" t="s">
        <v>25</v>
      </c>
      <c r="G116" s="3" t="s">
        <v>25</v>
      </c>
      <c r="H116" s="3" t="s">
        <v>25</v>
      </c>
      <c r="I116" s="6">
        <v>44531</v>
      </c>
      <c r="J116" s="4">
        <v>0</v>
      </c>
      <c r="K116" s="4">
        <v>0</v>
      </c>
      <c r="L116" s="4">
        <v>0.69</v>
      </c>
      <c r="M116" s="4">
        <v>0.69</v>
      </c>
      <c r="N116" s="4">
        <v>0.69</v>
      </c>
      <c r="O116" s="4">
        <v>0.69</v>
      </c>
      <c r="P116" s="4">
        <v>3</v>
      </c>
      <c r="Q116" s="3" t="s">
        <v>26</v>
      </c>
      <c r="R116" s="3">
        <v>0</v>
      </c>
      <c r="S116" s="3">
        <v>0</v>
      </c>
      <c r="T116" s="3">
        <v>11</v>
      </c>
      <c r="U116" s="3">
        <v>71</v>
      </c>
      <c r="V116" s="4">
        <f>IF(ISERROR(VLOOKUP($S$116,'TAR FIN'!$A$1:$O$86,15,0)),0,VLOOKUP($S$116,'TAR FIN'!$A$1:$O$86,15,0))</f>
        <v>0</v>
      </c>
      <c r="W116" s="4">
        <f>IF(ISERROR(VLOOKUP($T$116,'TAR FIN'!$A$1:$O$86,15,0)),0,VLOOKUP($T$116,'TAR FIN'!$A$1:$O$86,15,0))</f>
        <v>148.09</v>
      </c>
      <c r="X116" s="4">
        <f>IF(ISERROR(VLOOKUP($U$116,'TAR FIN'!$A$1:$O$86,15,0)),0,VLOOKUP($U$116,'TAR FIN'!$A$1:$O$86,15,0))</f>
        <v>74.040000000000006</v>
      </c>
      <c r="Y116" s="4"/>
      <c r="Z116" s="4">
        <f ca="1">('TUSD BE'!$AM$21+'TUSD BF'!$AM$21+'TUSD CVA'!$AM$21-('TUSD BE'!$P$21+'TUSD BF'!$P$21+'TUSD CVA'!$P$21)-('TUSD BE'!$Q$21+'TUSD BF'!$Q$21+'TUSD CVA'!$Q$21)-('TUSD BE'!$R$21+'TUSD BF'!$R$21+'TUSD CVA'!$R$21))*(1-CUSTOS!$M$34)</f>
        <v>163.38168093159149</v>
      </c>
      <c r="AA116" s="4">
        <f>('TE BE'!$AB$12+'TE BF'!$AB$12+'TE CVA'!$AB$12)*(1-CUSTOS!$M$34)</f>
        <v>68.799066610307392</v>
      </c>
      <c r="AB116" s="4">
        <f t="shared" si="8"/>
        <v>0</v>
      </c>
      <c r="AC116" s="4">
        <f>(L116-M116)*(W116+X116)+($W$147+$X$147-$W$116-$X$116)*(L116)</f>
        <v>284.63879999999995</v>
      </c>
      <c r="AD116" s="4">
        <f t="shared" si="10"/>
        <v>0</v>
      </c>
      <c r="AE116" s="4">
        <f ca="1">(L116-M116)*(Z116+AA116)+($Z$147+$AA$147-$Z$116-$AA$116)*(L116)</f>
        <v>297.52304363583329</v>
      </c>
      <c r="AF116" s="3" t="s">
        <v>591</v>
      </c>
    </row>
    <row r="117" spans="1:32" ht="11.25" customHeight="1" x14ac:dyDescent="0.25">
      <c r="A117" s="3" t="s">
        <v>21</v>
      </c>
      <c r="B117" s="3" t="s">
        <v>22</v>
      </c>
      <c r="C117" s="3" t="s">
        <v>23</v>
      </c>
      <c r="D117" s="3" t="s">
        <v>24</v>
      </c>
      <c r="E117" s="3" t="s">
        <v>29</v>
      </c>
      <c r="F117" s="3" t="s">
        <v>25</v>
      </c>
      <c r="G117" s="3" t="s">
        <v>25</v>
      </c>
      <c r="H117" s="3" t="s">
        <v>25</v>
      </c>
      <c r="I117" s="6">
        <v>44562</v>
      </c>
      <c r="J117" s="4">
        <v>0</v>
      </c>
      <c r="K117" s="4">
        <v>0</v>
      </c>
      <c r="L117" s="4">
        <v>1.29</v>
      </c>
      <c r="M117" s="4">
        <v>1.29</v>
      </c>
      <c r="N117" s="4">
        <v>1.29</v>
      </c>
      <c r="O117" s="4">
        <v>1.29</v>
      </c>
      <c r="P117" s="4">
        <v>5</v>
      </c>
      <c r="Q117" s="3" t="s">
        <v>26</v>
      </c>
      <c r="R117" s="3">
        <v>0</v>
      </c>
      <c r="S117" s="3">
        <v>0</v>
      </c>
      <c r="T117" s="3">
        <v>11</v>
      </c>
      <c r="U117" s="3">
        <v>71</v>
      </c>
      <c r="V117" s="4">
        <f>IF(ISERROR(VLOOKUP($S$117,'TAR FIN'!$A$1:$O$86,15,0)),0,VLOOKUP($S$117,'TAR FIN'!$A$1:$O$86,15,0))</f>
        <v>0</v>
      </c>
      <c r="W117" s="4">
        <f>IF(ISERROR(VLOOKUP($T$117,'TAR FIN'!$A$1:$O$86,15,0)),0,VLOOKUP($T$117,'TAR FIN'!$A$1:$O$86,15,0))</f>
        <v>148.09</v>
      </c>
      <c r="X117" s="4">
        <f>IF(ISERROR(VLOOKUP($U$117,'TAR FIN'!$A$1:$O$86,15,0)),0,VLOOKUP($U$117,'TAR FIN'!$A$1:$O$86,15,0))</f>
        <v>74.040000000000006</v>
      </c>
      <c r="Y117" s="4"/>
      <c r="Z117" s="4">
        <f ca="1">('TUSD BE'!$AM$21+'TUSD BF'!$AM$21+'TUSD CVA'!$AM$21-('TUSD BE'!$P$21+'TUSD BF'!$P$21+'TUSD CVA'!$P$21)-('TUSD BE'!$Q$21+'TUSD BF'!$Q$21+'TUSD CVA'!$Q$21)-('TUSD BE'!$R$21+'TUSD BF'!$R$21+'TUSD CVA'!$R$21))*(1-CUSTOS!$M$34)</f>
        <v>163.38168093159149</v>
      </c>
      <c r="AA117" s="4">
        <f>('TE BE'!$AB$12+'TE BF'!$AB$12+'TE CVA'!$AB$12)*(1-CUSTOS!$M$34)</f>
        <v>68.799066610307392</v>
      </c>
      <c r="AB117" s="4">
        <f t="shared" si="8"/>
        <v>0</v>
      </c>
      <c r="AC117" s="4">
        <f>(L117-M117)*(W117+X117)+($W$147+$X$147-$W$117-$X$117)*(L117)</f>
        <v>532.15079999999989</v>
      </c>
      <c r="AD117" s="4">
        <f t="shared" si="10"/>
        <v>0</v>
      </c>
      <c r="AE117" s="4">
        <f ca="1">(L117-M117)*(Z117+AA117)+($Z$147+$AA$147-$Z$117-$AA$117)*(L117)</f>
        <v>556.2387337539493</v>
      </c>
      <c r="AF117" s="3" t="s">
        <v>591</v>
      </c>
    </row>
    <row r="118" spans="1:32" ht="11.25" customHeight="1" x14ac:dyDescent="0.25">
      <c r="A118" s="3" t="s">
        <v>21</v>
      </c>
      <c r="B118" s="3" t="s">
        <v>22</v>
      </c>
      <c r="C118" s="3" t="s">
        <v>23</v>
      </c>
      <c r="D118" s="3" t="s">
        <v>24</v>
      </c>
      <c r="E118" s="3" t="s">
        <v>29</v>
      </c>
      <c r="F118" s="3" t="s">
        <v>25</v>
      </c>
      <c r="G118" s="3" t="s">
        <v>25</v>
      </c>
      <c r="H118" s="3" t="s">
        <v>25</v>
      </c>
      <c r="I118" s="6">
        <v>44593</v>
      </c>
      <c r="J118" s="4">
        <v>0</v>
      </c>
      <c r="K118" s="4">
        <v>0</v>
      </c>
      <c r="L118" s="4">
        <v>4.62</v>
      </c>
      <c r="M118" s="4">
        <v>4.62</v>
      </c>
      <c r="N118" s="4">
        <v>4.62</v>
      </c>
      <c r="O118" s="4">
        <v>4.62</v>
      </c>
      <c r="P118" s="4">
        <v>7</v>
      </c>
      <c r="Q118" s="3" t="s">
        <v>26</v>
      </c>
      <c r="R118" s="3">
        <v>0</v>
      </c>
      <c r="S118" s="3">
        <v>0</v>
      </c>
      <c r="T118" s="3">
        <v>11</v>
      </c>
      <c r="U118" s="3">
        <v>71</v>
      </c>
      <c r="V118" s="4">
        <f>IF(ISERROR(VLOOKUP($S$118,'TAR FIN'!$A$1:$O$86,15,0)),0,VLOOKUP($S$118,'TAR FIN'!$A$1:$O$86,15,0))</f>
        <v>0</v>
      </c>
      <c r="W118" s="4">
        <f>IF(ISERROR(VLOOKUP($T$118,'TAR FIN'!$A$1:$O$86,15,0)),0,VLOOKUP($T$118,'TAR FIN'!$A$1:$O$86,15,0))</f>
        <v>148.09</v>
      </c>
      <c r="X118" s="4">
        <f>IF(ISERROR(VLOOKUP($U$118,'TAR FIN'!$A$1:$O$86,15,0)),0,VLOOKUP($U$118,'TAR FIN'!$A$1:$O$86,15,0))</f>
        <v>74.040000000000006</v>
      </c>
      <c r="Y118" s="4"/>
      <c r="Z118" s="4">
        <f ca="1">('TUSD BE'!$AM$21+'TUSD BF'!$AM$21+'TUSD CVA'!$AM$21-('TUSD BE'!$P$21+'TUSD BF'!$P$21+'TUSD CVA'!$P$21)-('TUSD BE'!$Q$21+'TUSD BF'!$Q$21+'TUSD CVA'!$Q$21)-('TUSD BE'!$R$21+'TUSD BF'!$R$21+'TUSD CVA'!$R$21))*(1-CUSTOS!$M$34)</f>
        <v>163.38168093159149</v>
      </c>
      <c r="AA118" s="4">
        <f>('TE BE'!$AB$12+'TE BF'!$AB$12+'TE CVA'!$AB$12)*(1-CUSTOS!$M$34)</f>
        <v>68.799066610307392</v>
      </c>
      <c r="AB118" s="4">
        <f t="shared" si="8"/>
        <v>0</v>
      </c>
      <c r="AC118" s="4">
        <f>(L118-M118)*(W118+X118)+($W$147+$X$147-$W$118-$X$118)*(L118)</f>
        <v>1905.8423999999998</v>
      </c>
      <c r="AD118" s="4">
        <f t="shared" si="10"/>
        <v>0</v>
      </c>
      <c r="AE118" s="4">
        <f ca="1">(L118-M118)*(Z118+AA118)+($Z$147+$AA$147-$Z$118-$AA$118)*(L118)</f>
        <v>1992.1108139094927</v>
      </c>
      <c r="AF118" s="3" t="s">
        <v>591</v>
      </c>
    </row>
    <row r="119" spans="1:32" ht="11.25" customHeight="1" x14ac:dyDescent="0.25">
      <c r="A119" s="3" t="s">
        <v>21</v>
      </c>
      <c r="B119" s="3" t="s">
        <v>22</v>
      </c>
      <c r="C119" s="3" t="s">
        <v>23</v>
      </c>
      <c r="D119" s="3" t="s">
        <v>24</v>
      </c>
      <c r="E119" s="3" t="s">
        <v>29</v>
      </c>
      <c r="F119" s="3" t="s">
        <v>25</v>
      </c>
      <c r="G119" s="3" t="s">
        <v>25</v>
      </c>
      <c r="H119" s="3" t="s">
        <v>25</v>
      </c>
      <c r="I119" s="6">
        <v>44621</v>
      </c>
      <c r="J119" s="4">
        <v>0</v>
      </c>
      <c r="K119" s="4">
        <v>0</v>
      </c>
      <c r="L119" s="4">
        <v>6.45</v>
      </c>
      <c r="M119" s="4">
        <v>6.45</v>
      </c>
      <c r="N119" s="4">
        <v>6.45</v>
      </c>
      <c r="O119" s="4">
        <v>6.45</v>
      </c>
      <c r="P119" s="4">
        <v>16</v>
      </c>
      <c r="Q119" s="3" t="s">
        <v>26</v>
      </c>
      <c r="R119" s="3">
        <v>0</v>
      </c>
      <c r="S119" s="3">
        <v>0</v>
      </c>
      <c r="T119" s="3">
        <v>11</v>
      </c>
      <c r="U119" s="3">
        <v>71</v>
      </c>
      <c r="V119" s="4">
        <f>IF(ISERROR(VLOOKUP($S$119,'TAR FIN'!$A$1:$O$86,15,0)),0,VLOOKUP($S$119,'TAR FIN'!$A$1:$O$86,15,0))</f>
        <v>0</v>
      </c>
      <c r="W119" s="4">
        <f>IF(ISERROR(VLOOKUP($T$119,'TAR FIN'!$A$1:$O$86,15,0)),0,VLOOKUP($T$119,'TAR FIN'!$A$1:$O$86,15,0))</f>
        <v>148.09</v>
      </c>
      <c r="X119" s="4">
        <f>IF(ISERROR(VLOOKUP($U$119,'TAR FIN'!$A$1:$O$86,15,0)),0,VLOOKUP($U$119,'TAR FIN'!$A$1:$O$86,15,0))</f>
        <v>74.040000000000006</v>
      </c>
      <c r="Y119" s="4"/>
      <c r="Z119" s="4">
        <f ca="1">('TUSD BE'!$AM$21+'TUSD BF'!$AM$21+'TUSD CVA'!$AM$21-('TUSD BE'!$P$21+'TUSD BF'!$P$21+'TUSD CVA'!$P$21)-('TUSD BE'!$Q$21+'TUSD BF'!$Q$21+'TUSD CVA'!$Q$21)-('TUSD BE'!$R$21+'TUSD BF'!$R$21+'TUSD CVA'!$R$21))*(1-CUSTOS!$M$34)</f>
        <v>163.38168093159149</v>
      </c>
      <c r="AA119" s="4">
        <f>('TE BE'!$AB$12+'TE BF'!$AB$12+'TE CVA'!$AB$12)*(1-CUSTOS!$M$34)</f>
        <v>68.799066610307392</v>
      </c>
      <c r="AB119" s="4">
        <f t="shared" si="8"/>
        <v>0</v>
      </c>
      <c r="AC119" s="4">
        <f>(L119-M119)*(W119+X119)+($W$147+$X$147-$W$119-$X$119)*(L119)</f>
        <v>2660.7539999999995</v>
      </c>
      <c r="AD119" s="4">
        <f t="shared" si="10"/>
        <v>0</v>
      </c>
      <c r="AE119" s="4">
        <f ca="1">(L119-M119)*(Z119+AA119)+($Z$147+$AA$147-$Z$119-$AA$119)*(L119)</f>
        <v>2781.1936687697462</v>
      </c>
      <c r="AF119" s="3" t="s">
        <v>591</v>
      </c>
    </row>
    <row r="120" spans="1:32" ht="11.25" customHeight="1" x14ac:dyDescent="0.25">
      <c r="A120" s="3" t="s">
        <v>21</v>
      </c>
      <c r="B120" s="3" t="s">
        <v>22</v>
      </c>
      <c r="C120" s="3" t="s">
        <v>23</v>
      </c>
      <c r="D120" s="3" t="s">
        <v>24</v>
      </c>
      <c r="E120" s="3" t="s">
        <v>29</v>
      </c>
      <c r="F120" s="3" t="s">
        <v>25</v>
      </c>
      <c r="G120" s="3" t="s">
        <v>25</v>
      </c>
      <c r="H120" s="3" t="s">
        <v>25</v>
      </c>
      <c r="I120" s="6">
        <v>44652</v>
      </c>
      <c r="J120" s="4">
        <v>0</v>
      </c>
      <c r="K120" s="4">
        <v>0</v>
      </c>
      <c r="L120" s="4">
        <v>6.57</v>
      </c>
      <c r="M120" s="4">
        <v>6.57</v>
      </c>
      <c r="N120" s="4">
        <v>6.57</v>
      </c>
      <c r="O120" s="4">
        <v>6.57</v>
      </c>
      <c r="P120" s="4">
        <v>20</v>
      </c>
      <c r="Q120" s="3" t="s">
        <v>26</v>
      </c>
      <c r="R120" s="3">
        <v>0</v>
      </c>
      <c r="S120" s="3">
        <v>0</v>
      </c>
      <c r="T120" s="3">
        <v>11</v>
      </c>
      <c r="U120" s="3">
        <v>71</v>
      </c>
      <c r="V120" s="4">
        <f>IF(ISERROR(VLOOKUP($S$120,'TAR FIN'!$A$1:$O$86,15,0)),0,VLOOKUP($S$120,'TAR FIN'!$A$1:$O$86,15,0))</f>
        <v>0</v>
      </c>
      <c r="W120" s="4">
        <f>IF(ISERROR(VLOOKUP($T$120,'TAR FIN'!$A$1:$O$86,15,0)),0,VLOOKUP($T$120,'TAR FIN'!$A$1:$O$86,15,0))</f>
        <v>148.09</v>
      </c>
      <c r="X120" s="4">
        <f>IF(ISERROR(VLOOKUP($U$120,'TAR FIN'!$A$1:$O$86,15,0)),0,VLOOKUP($U$120,'TAR FIN'!$A$1:$O$86,15,0))</f>
        <v>74.040000000000006</v>
      </c>
      <c r="Y120" s="4"/>
      <c r="Z120" s="4">
        <f ca="1">('TUSD BE'!$AM$21+'TUSD BF'!$AM$21+'TUSD CVA'!$AM$21-('TUSD BE'!$P$21+'TUSD BF'!$P$21+'TUSD CVA'!$P$21)-('TUSD BE'!$Q$21+'TUSD BF'!$Q$21+'TUSD CVA'!$Q$21)-('TUSD BE'!$R$21+'TUSD BF'!$R$21+'TUSD CVA'!$R$21))*(1-CUSTOS!$M$34)</f>
        <v>163.38168093159149</v>
      </c>
      <c r="AA120" s="4">
        <f>('TE BE'!$AB$12+'TE BF'!$AB$12+'TE CVA'!$AB$12)*(1-CUSTOS!$M$34)</f>
        <v>68.799066610307392</v>
      </c>
      <c r="AB120" s="4">
        <f t="shared" si="8"/>
        <v>0</v>
      </c>
      <c r="AC120" s="4">
        <f>(L120-M120)*(W120+X120)+($W$147+$X$147-$W$120-$X$120)*(L120)</f>
        <v>2710.2563999999998</v>
      </c>
      <c r="AD120" s="4">
        <f t="shared" si="10"/>
        <v>0</v>
      </c>
      <c r="AE120" s="4">
        <f ca="1">(L120-M120)*(Z120+AA120)+($Z$147+$AA$147-$Z$120-$AA$120)*(L120)</f>
        <v>2832.9368067933697</v>
      </c>
      <c r="AF120" s="3" t="s">
        <v>591</v>
      </c>
    </row>
    <row r="121" spans="1:32" ht="11.25" customHeight="1" x14ac:dyDescent="0.25">
      <c r="A121" s="3" t="s">
        <v>21</v>
      </c>
      <c r="B121" s="3" t="s">
        <v>22</v>
      </c>
      <c r="C121" s="3" t="s">
        <v>23</v>
      </c>
      <c r="D121" s="3" t="s">
        <v>24</v>
      </c>
      <c r="E121" s="3" t="s">
        <v>29</v>
      </c>
      <c r="F121" s="3" t="s">
        <v>25</v>
      </c>
      <c r="G121" s="3" t="s">
        <v>25</v>
      </c>
      <c r="H121" s="3" t="s">
        <v>25</v>
      </c>
      <c r="I121" s="6">
        <v>44682</v>
      </c>
      <c r="J121" s="4">
        <v>0</v>
      </c>
      <c r="K121" s="4">
        <v>0</v>
      </c>
      <c r="L121" s="4">
        <v>2.64</v>
      </c>
      <c r="M121" s="4">
        <v>2.64</v>
      </c>
      <c r="N121" s="4">
        <v>2.64</v>
      </c>
      <c r="O121" s="4">
        <v>2.64</v>
      </c>
      <c r="P121" s="4">
        <v>11</v>
      </c>
      <c r="Q121" s="3" t="s">
        <v>26</v>
      </c>
      <c r="R121" s="3">
        <v>0</v>
      </c>
      <c r="S121" s="3">
        <v>0</v>
      </c>
      <c r="T121" s="3">
        <v>11</v>
      </c>
      <c r="U121" s="3">
        <v>71</v>
      </c>
      <c r="V121" s="4">
        <f>IF(ISERROR(VLOOKUP($S$121,'TAR FIN'!$A$1:$O$86,15,0)),0,VLOOKUP($S$121,'TAR FIN'!$A$1:$O$86,15,0))</f>
        <v>0</v>
      </c>
      <c r="W121" s="4">
        <f>IF(ISERROR(VLOOKUP($T$121,'TAR FIN'!$A$1:$O$86,15,0)),0,VLOOKUP($T$121,'TAR FIN'!$A$1:$O$86,15,0))</f>
        <v>148.09</v>
      </c>
      <c r="X121" s="4">
        <f>IF(ISERROR(VLOOKUP($U$121,'TAR FIN'!$A$1:$O$86,15,0)),0,VLOOKUP($U$121,'TAR FIN'!$A$1:$O$86,15,0))</f>
        <v>74.040000000000006</v>
      </c>
      <c r="Y121" s="4"/>
      <c r="Z121" s="4">
        <f ca="1">('TUSD BE'!$AM$21+'TUSD BF'!$AM$21+'TUSD CVA'!$AM$21-('TUSD BE'!$P$21+'TUSD BF'!$P$21+'TUSD CVA'!$P$21)-('TUSD BE'!$Q$21+'TUSD BF'!$Q$21+'TUSD CVA'!$Q$21)-('TUSD BE'!$R$21+'TUSD BF'!$R$21+'TUSD CVA'!$R$21))*(1-CUSTOS!$M$34)</f>
        <v>163.38168093159149</v>
      </c>
      <c r="AA121" s="4">
        <f>('TE BE'!$AB$12+'TE BF'!$AB$12+'TE CVA'!$AB$12)*(1-CUSTOS!$M$34)</f>
        <v>68.799066610307392</v>
      </c>
      <c r="AB121" s="4">
        <f t="shared" si="8"/>
        <v>0</v>
      </c>
      <c r="AC121" s="4">
        <f>(L121-M121)*(W121+X121)+($W$147+$X$147-$W$121-$X$121)*(L121)</f>
        <v>1089.0527999999999</v>
      </c>
      <c r="AD121" s="4">
        <f t="shared" si="10"/>
        <v>0</v>
      </c>
      <c r="AE121" s="4">
        <f ca="1">(L121-M121)*(Z121+AA121)+($Z$147+$AA$147-$Z$121-$AA$121)*(L121)</f>
        <v>1138.3490365197101</v>
      </c>
      <c r="AF121" s="3" t="s">
        <v>591</v>
      </c>
    </row>
    <row r="122" spans="1:32" ht="11.25" customHeight="1" x14ac:dyDescent="0.25">
      <c r="A122" s="3" t="s">
        <v>21</v>
      </c>
      <c r="B122" s="3" t="s">
        <v>22</v>
      </c>
      <c r="C122" s="3" t="s">
        <v>23</v>
      </c>
      <c r="D122" s="3" t="s">
        <v>24</v>
      </c>
      <c r="E122" s="3" t="s">
        <v>29</v>
      </c>
      <c r="F122" s="3" t="s">
        <v>25</v>
      </c>
      <c r="G122" s="3" t="s">
        <v>25</v>
      </c>
      <c r="H122" s="3" t="s">
        <v>25</v>
      </c>
      <c r="I122" s="6">
        <v>44713</v>
      </c>
      <c r="J122" s="4">
        <v>0</v>
      </c>
      <c r="K122" s="4">
        <v>0</v>
      </c>
      <c r="L122" s="4">
        <v>2.58</v>
      </c>
      <c r="M122" s="4">
        <v>2.58</v>
      </c>
      <c r="N122" s="4">
        <v>2.58</v>
      </c>
      <c r="O122" s="4">
        <v>2.58</v>
      </c>
      <c r="P122" s="4">
        <v>9</v>
      </c>
      <c r="Q122" s="3" t="s">
        <v>26</v>
      </c>
      <c r="R122" s="3">
        <v>0</v>
      </c>
      <c r="S122" s="3">
        <v>0</v>
      </c>
      <c r="T122" s="3">
        <v>11</v>
      </c>
      <c r="U122" s="3">
        <v>71</v>
      </c>
      <c r="V122" s="4">
        <f>IF(ISERROR(VLOOKUP($S$122,'TAR FIN'!$A$1:$O$86,15,0)),0,VLOOKUP($S$122,'TAR FIN'!$A$1:$O$86,15,0))</f>
        <v>0</v>
      </c>
      <c r="W122" s="4">
        <f>IF(ISERROR(VLOOKUP($T$122,'TAR FIN'!$A$1:$O$86,15,0)),0,VLOOKUP($T$122,'TAR FIN'!$A$1:$O$86,15,0))</f>
        <v>148.09</v>
      </c>
      <c r="X122" s="4">
        <f>IF(ISERROR(VLOOKUP($U$122,'TAR FIN'!$A$1:$O$86,15,0)),0,VLOOKUP($U$122,'TAR FIN'!$A$1:$O$86,15,0))</f>
        <v>74.040000000000006</v>
      </c>
      <c r="Y122" s="4"/>
      <c r="Z122" s="4">
        <f ca="1">('TUSD BE'!$AM$21+'TUSD BF'!$AM$21+'TUSD CVA'!$AM$21-('TUSD BE'!$P$21+'TUSD BF'!$P$21+'TUSD CVA'!$P$21)-('TUSD BE'!$Q$21+'TUSD BF'!$Q$21+'TUSD CVA'!$Q$21)-('TUSD BE'!$R$21+'TUSD BF'!$R$21+'TUSD CVA'!$R$21))*(1-CUSTOS!$M$34)</f>
        <v>163.38168093159149</v>
      </c>
      <c r="AA122" s="4">
        <f>('TE BE'!$AB$12+'TE BF'!$AB$12+'TE CVA'!$AB$12)*(1-CUSTOS!$M$34)</f>
        <v>68.799066610307392</v>
      </c>
      <c r="AB122" s="4">
        <f t="shared" si="8"/>
        <v>0</v>
      </c>
      <c r="AC122" s="4">
        <f>(L122-M122)*(W122+X122)+($W$147+$X$147-$W$122-$X$122)*(L122)</f>
        <v>1064.3015999999998</v>
      </c>
      <c r="AD122" s="4">
        <f t="shared" si="10"/>
        <v>0</v>
      </c>
      <c r="AE122" s="4">
        <f ca="1">(L122-M122)*(Z122+AA122)+($Z$147+$AA$147-$Z$122-$AA$122)*(L122)</f>
        <v>1112.4774675078986</v>
      </c>
      <c r="AF122" s="3" t="s">
        <v>591</v>
      </c>
    </row>
    <row r="123" spans="1:32" ht="11.25" customHeight="1" x14ac:dyDescent="0.25">
      <c r="A123" s="3" t="s">
        <v>21</v>
      </c>
      <c r="B123" s="3" t="s">
        <v>22</v>
      </c>
      <c r="C123" s="3" t="s">
        <v>23</v>
      </c>
      <c r="D123" s="3" t="s">
        <v>24</v>
      </c>
      <c r="E123" s="3" t="s">
        <v>30</v>
      </c>
      <c r="F123" s="3" t="s">
        <v>25</v>
      </c>
      <c r="G123" s="3" t="s">
        <v>25</v>
      </c>
      <c r="H123" s="3" t="s">
        <v>25</v>
      </c>
      <c r="I123" s="6">
        <v>44378</v>
      </c>
      <c r="J123" s="4">
        <v>0</v>
      </c>
      <c r="K123" s="4">
        <v>0</v>
      </c>
      <c r="L123" s="4">
        <v>1.113</v>
      </c>
      <c r="M123" s="4">
        <v>1.113</v>
      </c>
      <c r="N123" s="4">
        <v>1.113</v>
      </c>
      <c r="O123" s="4">
        <v>1.113</v>
      </c>
      <c r="P123" s="4">
        <v>8</v>
      </c>
      <c r="Q123" s="3" t="s">
        <v>26</v>
      </c>
      <c r="R123" s="3">
        <v>0</v>
      </c>
      <c r="S123" s="3">
        <v>0</v>
      </c>
      <c r="T123" s="3">
        <v>40</v>
      </c>
      <c r="U123" s="3">
        <v>55</v>
      </c>
      <c r="V123" s="4">
        <f>IF(ISERROR(VLOOKUP($S$123,'TAR FIN'!$A$1:$O$86,15,0)),0,VLOOKUP($S$123,'TAR FIN'!$A$1:$O$86,15,0))</f>
        <v>0</v>
      </c>
      <c r="W123" s="4">
        <f>IF(ISERROR(VLOOKUP($T$123,'TAR FIN'!$A$1:$O$86,15,0)),0,VLOOKUP($T$123,'TAR FIN'!$A$1:$O$86,15,0))</f>
        <v>253.87</v>
      </c>
      <c r="X123" s="4">
        <f>IF(ISERROR(VLOOKUP($U$123,'TAR FIN'!$A$1:$O$86,15,0)),0,VLOOKUP($U$123,'TAR FIN'!$A$1:$O$86,15,0))</f>
        <v>126.93</v>
      </c>
      <c r="Y123" s="4"/>
      <c r="Z123" s="4">
        <f ca="1">('TUSD BE'!$AM$22+'TUSD BF'!$AM$22+'TUSD CVA'!$AM$22-('TUSD BE'!$P$22+'TUSD BF'!$P$22+'TUSD CVA'!$P$22)-('TUSD BE'!$Q$22+'TUSD BF'!$Q$22+'TUSD CVA'!$Q$22)-('TUSD BE'!$R$22+'TUSD BF'!$R$22+'TUSD CVA'!$R$22))*(1-CUSTOS!$M$35)</f>
        <v>280.08288159701397</v>
      </c>
      <c r="AA123" s="4">
        <f>('TE BE'!$AB$13+'TE BF'!$AB$13+'TE CVA'!$AB$13)*(1-CUSTOS!$M$35)</f>
        <v>117.94125704624125</v>
      </c>
      <c r="AB123" s="4">
        <f t="shared" si="8"/>
        <v>0</v>
      </c>
      <c r="AC123" s="4">
        <f>(L123-M123)*(W123+X123)+($W$147+$X$147-$W$123-$X$123)*(L123)</f>
        <v>282.53504999999996</v>
      </c>
      <c r="AD123" s="4">
        <f t="shared" si="10"/>
        <v>0</v>
      </c>
      <c r="AE123" s="4">
        <f ca="1">(L123-M123)*(Z123+AA123)+($Z$147+$AA$147-$Z$123-$AA$123)*(L123)</f>
        <v>295.33391087329545</v>
      </c>
      <c r="AF123" s="3" t="s">
        <v>591</v>
      </c>
    </row>
    <row r="124" spans="1:32" ht="11.25" customHeight="1" x14ac:dyDescent="0.25">
      <c r="A124" s="3" t="s">
        <v>21</v>
      </c>
      <c r="B124" s="3" t="s">
        <v>22</v>
      </c>
      <c r="C124" s="3" t="s">
        <v>23</v>
      </c>
      <c r="D124" s="3" t="s">
        <v>24</v>
      </c>
      <c r="E124" s="3" t="s">
        <v>30</v>
      </c>
      <c r="F124" s="3" t="s">
        <v>25</v>
      </c>
      <c r="G124" s="3" t="s">
        <v>25</v>
      </c>
      <c r="H124" s="3" t="s">
        <v>25</v>
      </c>
      <c r="I124" s="6">
        <v>44409</v>
      </c>
      <c r="J124" s="4">
        <v>0</v>
      </c>
      <c r="K124" s="4">
        <v>0</v>
      </c>
      <c r="L124" s="4">
        <v>1.236</v>
      </c>
      <c r="M124" s="4">
        <v>1.236</v>
      </c>
      <c r="N124" s="4">
        <v>1.236</v>
      </c>
      <c r="O124" s="4">
        <v>1.236</v>
      </c>
      <c r="P124" s="4">
        <v>6</v>
      </c>
      <c r="Q124" s="3" t="s">
        <v>26</v>
      </c>
      <c r="R124" s="3">
        <v>0</v>
      </c>
      <c r="S124" s="3">
        <v>0</v>
      </c>
      <c r="T124" s="3">
        <v>40</v>
      </c>
      <c r="U124" s="3">
        <v>55</v>
      </c>
      <c r="V124" s="4">
        <f>IF(ISERROR(VLOOKUP($S$124,'TAR FIN'!$A$1:$O$86,15,0)),0,VLOOKUP($S$124,'TAR FIN'!$A$1:$O$86,15,0))</f>
        <v>0</v>
      </c>
      <c r="W124" s="4">
        <f>IF(ISERROR(VLOOKUP($T$124,'TAR FIN'!$A$1:$O$86,15,0)),0,VLOOKUP($T$124,'TAR FIN'!$A$1:$O$86,15,0))</f>
        <v>253.87</v>
      </c>
      <c r="X124" s="4">
        <f>IF(ISERROR(VLOOKUP($U$124,'TAR FIN'!$A$1:$O$86,15,0)),0,VLOOKUP($U$124,'TAR FIN'!$A$1:$O$86,15,0))</f>
        <v>126.93</v>
      </c>
      <c r="Y124" s="4"/>
      <c r="Z124" s="4">
        <f ca="1">('TUSD BE'!$AM$22+'TUSD BF'!$AM$22+'TUSD CVA'!$AM$22-('TUSD BE'!$P$22+'TUSD BF'!$P$22+'TUSD CVA'!$P$22)-('TUSD BE'!$Q$22+'TUSD BF'!$Q$22+'TUSD CVA'!$Q$22)-('TUSD BE'!$R$22+'TUSD BF'!$R$22+'TUSD CVA'!$R$22))*(1-CUSTOS!$M$35)</f>
        <v>280.08288159701397</v>
      </c>
      <c r="AA124" s="4">
        <f>('TE BE'!$AB$13+'TE BF'!$AB$13+'TE CVA'!$AB$13)*(1-CUSTOS!$M$35)</f>
        <v>117.94125704624125</v>
      </c>
      <c r="AB124" s="4">
        <f t="shared" si="8"/>
        <v>0</v>
      </c>
      <c r="AC124" s="4">
        <f>(L124-M124)*(W124+X124)+($W$147+$X$147-$W$124-$X$124)*(L124)</f>
        <v>313.75859999999994</v>
      </c>
      <c r="AD124" s="4">
        <f t="shared" si="10"/>
        <v>0</v>
      </c>
      <c r="AE124" s="4">
        <f ca="1">(L124-M124)*(Z124+AA124)+($Z$147+$AA$147-$Z$124-$AA$124)*(L124)</f>
        <v>327.97189024204238</v>
      </c>
      <c r="AF124" s="3" t="s">
        <v>591</v>
      </c>
    </row>
    <row r="125" spans="1:32" ht="11.25" customHeight="1" x14ac:dyDescent="0.25">
      <c r="A125" s="3" t="s">
        <v>21</v>
      </c>
      <c r="B125" s="3" t="s">
        <v>22</v>
      </c>
      <c r="C125" s="3" t="s">
        <v>23</v>
      </c>
      <c r="D125" s="3" t="s">
        <v>24</v>
      </c>
      <c r="E125" s="3" t="s">
        <v>30</v>
      </c>
      <c r="F125" s="3" t="s">
        <v>25</v>
      </c>
      <c r="G125" s="3" t="s">
        <v>25</v>
      </c>
      <c r="H125" s="3" t="s">
        <v>25</v>
      </c>
      <c r="I125" s="6">
        <v>44440</v>
      </c>
      <c r="J125" s="4">
        <v>0</v>
      </c>
      <c r="K125" s="4">
        <v>0</v>
      </c>
      <c r="L125" s="4">
        <v>1.165</v>
      </c>
      <c r="M125" s="4">
        <v>1.165</v>
      </c>
      <c r="N125" s="4">
        <v>1.165</v>
      </c>
      <c r="O125" s="4">
        <v>1.165</v>
      </c>
      <c r="P125" s="4">
        <v>8</v>
      </c>
      <c r="Q125" s="3" t="s">
        <v>26</v>
      </c>
      <c r="R125" s="3">
        <v>0</v>
      </c>
      <c r="S125" s="3">
        <v>0</v>
      </c>
      <c r="T125" s="3">
        <v>40</v>
      </c>
      <c r="U125" s="3">
        <v>55</v>
      </c>
      <c r="V125" s="4">
        <f>IF(ISERROR(VLOOKUP($S$125,'TAR FIN'!$A$1:$O$86,15,0)),0,VLOOKUP($S$125,'TAR FIN'!$A$1:$O$86,15,0))</f>
        <v>0</v>
      </c>
      <c r="W125" s="4">
        <f>IF(ISERROR(VLOOKUP($T$125,'TAR FIN'!$A$1:$O$86,15,0)),0,VLOOKUP($T$125,'TAR FIN'!$A$1:$O$86,15,0))</f>
        <v>253.87</v>
      </c>
      <c r="X125" s="4">
        <f>IF(ISERROR(VLOOKUP($U$125,'TAR FIN'!$A$1:$O$86,15,0)),0,VLOOKUP($U$125,'TAR FIN'!$A$1:$O$86,15,0))</f>
        <v>126.93</v>
      </c>
      <c r="Y125" s="4"/>
      <c r="Z125" s="4">
        <f ca="1">('TUSD BE'!$AM$22+'TUSD BF'!$AM$22+'TUSD CVA'!$AM$22-('TUSD BE'!$P$22+'TUSD BF'!$P$22+'TUSD CVA'!$P$22)-('TUSD BE'!$Q$22+'TUSD BF'!$Q$22+'TUSD CVA'!$Q$22)-('TUSD BE'!$R$22+'TUSD BF'!$R$22+'TUSD CVA'!$R$22))*(1-CUSTOS!$M$35)</f>
        <v>280.08288159701397</v>
      </c>
      <c r="AA125" s="4">
        <f>('TE BE'!$AB$13+'TE BF'!$AB$13+'TE CVA'!$AB$13)*(1-CUSTOS!$M$35)</f>
        <v>117.94125704624125</v>
      </c>
      <c r="AB125" s="4">
        <f t="shared" si="8"/>
        <v>0</v>
      </c>
      <c r="AC125" s="4">
        <f>(L125-M125)*(W125+X125)+($W$147+$X$147-$W$125-$X$125)*(L125)</f>
        <v>295.73524999999995</v>
      </c>
      <c r="AD125" s="4">
        <f t="shared" si="10"/>
        <v>0</v>
      </c>
      <c r="AE125" s="4">
        <f ca="1">(L125-M125)*(Z125+AA125)+($Z$147+$AA$147-$Z$125-$AA$125)*(L125)</f>
        <v>309.13208101292827</v>
      </c>
      <c r="AF125" s="3" t="s">
        <v>591</v>
      </c>
    </row>
    <row r="126" spans="1:32" ht="11.25" customHeight="1" x14ac:dyDescent="0.25">
      <c r="A126" s="3" t="s">
        <v>21</v>
      </c>
      <c r="B126" s="3" t="s">
        <v>22</v>
      </c>
      <c r="C126" s="3" t="s">
        <v>23</v>
      </c>
      <c r="D126" s="3" t="s">
        <v>24</v>
      </c>
      <c r="E126" s="3" t="s">
        <v>30</v>
      </c>
      <c r="F126" s="3" t="s">
        <v>25</v>
      </c>
      <c r="G126" s="3" t="s">
        <v>25</v>
      </c>
      <c r="H126" s="3" t="s">
        <v>25</v>
      </c>
      <c r="I126" s="6">
        <v>44470</v>
      </c>
      <c r="J126" s="4">
        <v>0</v>
      </c>
      <c r="K126" s="4">
        <v>0</v>
      </c>
      <c r="L126" s="4">
        <v>1.2390000000000001</v>
      </c>
      <c r="M126" s="4">
        <v>1.2390000000000001</v>
      </c>
      <c r="N126" s="4">
        <v>1.2390000000000001</v>
      </c>
      <c r="O126" s="4">
        <v>1.2390000000000001</v>
      </c>
      <c r="P126" s="4">
        <v>6</v>
      </c>
      <c r="Q126" s="3" t="s">
        <v>26</v>
      </c>
      <c r="R126" s="3">
        <v>0</v>
      </c>
      <c r="S126" s="3">
        <v>0</v>
      </c>
      <c r="T126" s="3">
        <v>40</v>
      </c>
      <c r="U126" s="3">
        <v>55</v>
      </c>
      <c r="V126" s="4">
        <f>IF(ISERROR(VLOOKUP($S$126,'TAR FIN'!$A$1:$O$86,15,0)),0,VLOOKUP($S$126,'TAR FIN'!$A$1:$O$86,15,0))</f>
        <v>0</v>
      </c>
      <c r="W126" s="4">
        <f>IF(ISERROR(VLOOKUP($T$126,'TAR FIN'!$A$1:$O$86,15,0)),0,VLOOKUP($T$126,'TAR FIN'!$A$1:$O$86,15,0))</f>
        <v>253.87</v>
      </c>
      <c r="X126" s="4">
        <f>IF(ISERROR(VLOOKUP($U$126,'TAR FIN'!$A$1:$O$86,15,0)),0,VLOOKUP($U$126,'TAR FIN'!$A$1:$O$86,15,0))</f>
        <v>126.93</v>
      </c>
      <c r="Y126" s="4"/>
      <c r="Z126" s="4">
        <f ca="1">('TUSD BE'!$AM$22+'TUSD BF'!$AM$22+'TUSD CVA'!$AM$22-('TUSD BE'!$P$22+'TUSD BF'!$P$22+'TUSD CVA'!$P$22)-('TUSD BE'!$Q$22+'TUSD BF'!$Q$22+'TUSD CVA'!$Q$22)-('TUSD BE'!$R$22+'TUSD BF'!$R$22+'TUSD CVA'!$R$22))*(1-CUSTOS!$M$35)</f>
        <v>280.08288159701397</v>
      </c>
      <c r="AA126" s="4">
        <f>('TE BE'!$AB$13+'TE BF'!$AB$13+'TE CVA'!$AB$13)*(1-CUSTOS!$M$35)</f>
        <v>117.94125704624125</v>
      </c>
      <c r="AB126" s="4">
        <f t="shared" si="8"/>
        <v>0</v>
      </c>
      <c r="AC126" s="4">
        <f>(L126-M126)*(W126+X126)+($W$147+$X$147-$W$126-$X$126)*(L126)</f>
        <v>314.52015</v>
      </c>
      <c r="AD126" s="4">
        <f t="shared" si="10"/>
        <v>0</v>
      </c>
      <c r="AE126" s="4">
        <f ca="1">(L126-M126)*(Z126+AA126)+($Z$147+$AA$147-$Z$126-$AA$126)*(L126)</f>
        <v>328.76793851932888</v>
      </c>
      <c r="AF126" s="3" t="s">
        <v>591</v>
      </c>
    </row>
    <row r="127" spans="1:32" ht="11.25" customHeight="1" x14ac:dyDescent="0.25">
      <c r="A127" s="3" t="s">
        <v>21</v>
      </c>
      <c r="B127" s="3" t="s">
        <v>22</v>
      </c>
      <c r="C127" s="3" t="s">
        <v>23</v>
      </c>
      <c r="D127" s="3" t="s">
        <v>24</v>
      </c>
      <c r="E127" s="3" t="s">
        <v>30</v>
      </c>
      <c r="F127" s="3" t="s">
        <v>25</v>
      </c>
      <c r="G127" s="3" t="s">
        <v>25</v>
      </c>
      <c r="H127" s="3" t="s">
        <v>25</v>
      </c>
      <c r="I127" s="6">
        <v>44501</v>
      </c>
      <c r="J127" s="4">
        <v>0</v>
      </c>
      <c r="K127" s="4">
        <v>0</v>
      </c>
      <c r="L127" s="4">
        <v>1.137</v>
      </c>
      <c r="M127" s="4">
        <v>1.137</v>
      </c>
      <c r="N127" s="4">
        <v>1.137</v>
      </c>
      <c r="O127" s="4">
        <v>1.137</v>
      </c>
      <c r="P127" s="4">
        <v>6</v>
      </c>
      <c r="Q127" s="3" t="s">
        <v>26</v>
      </c>
      <c r="R127" s="3">
        <v>0</v>
      </c>
      <c r="S127" s="3">
        <v>0</v>
      </c>
      <c r="T127" s="3">
        <v>40</v>
      </c>
      <c r="U127" s="3">
        <v>55</v>
      </c>
      <c r="V127" s="4">
        <f>IF(ISERROR(VLOOKUP($S$127,'TAR FIN'!$A$1:$O$86,15,0)),0,VLOOKUP($S$127,'TAR FIN'!$A$1:$O$86,15,0))</f>
        <v>0</v>
      </c>
      <c r="W127" s="4">
        <f>IF(ISERROR(VLOOKUP($T$127,'TAR FIN'!$A$1:$O$86,15,0)),0,VLOOKUP($T$127,'TAR FIN'!$A$1:$O$86,15,0))</f>
        <v>253.87</v>
      </c>
      <c r="X127" s="4">
        <f>IF(ISERROR(VLOOKUP($U$127,'TAR FIN'!$A$1:$O$86,15,0)),0,VLOOKUP($U$127,'TAR FIN'!$A$1:$O$86,15,0))</f>
        <v>126.93</v>
      </c>
      <c r="Y127" s="4"/>
      <c r="Z127" s="4">
        <f ca="1">('TUSD BE'!$AM$22+'TUSD BF'!$AM$22+'TUSD CVA'!$AM$22-('TUSD BE'!$P$22+'TUSD BF'!$P$22+'TUSD CVA'!$P$22)-('TUSD BE'!$Q$22+'TUSD BF'!$Q$22+'TUSD CVA'!$Q$22)-('TUSD BE'!$R$22+'TUSD BF'!$R$22+'TUSD CVA'!$R$22))*(1-CUSTOS!$M$35)</f>
        <v>280.08288159701397</v>
      </c>
      <c r="AA127" s="4">
        <f>('TE BE'!$AB$13+'TE BF'!$AB$13+'TE CVA'!$AB$13)*(1-CUSTOS!$M$35)</f>
        <v>117.94125704624125</v>
      </c>
      <c r="AB127" s="4">
        <f t="shared" si="8"/>
        <v>0</v>
      </c>
      <c r="AC127" s="4">
        <f>(L127-M127)*(W127+X127)+($W$147+$X$147-$W$127-$X$127)*(L127)</f>
        <v>288.62744999999995</v>
      </c>
      <c r="AD127" s="4">
        <f t="shared" si="10"/>
        <v>0</v>
      </c>
      <c r="AE127" s="4">
        <f ca="1">(L127-M127)*(Z127+AA127)+($Z$147+$AA$147-$Z$127-$AA$127)*(L127)</f>
        <v>301.70229709158752</v>
      </c>
      <c r="AF127" s="3" t="s">
        <v>591</v>
      </c>
    </row>
    <row r="128" spans="1:32" ht="11.25" customHeight="1" x14ac:dyDescent="0.25">
      <c r="A128" s="3" t="s">
        <v>21</v>
      </c>
      <c r="B128" s="3" t="s">
        <v>22</v>
      </c>
      <c r="C128" s="3" t="s">
        <v>23</v>
      </c>
      <c r="D128" s="3" t="s">
        <v>24</v>
      </c>
      <c r="E128" s="3" t="s">
        <v>30</v>
      </c>
      <c r="F128" s="3" t="s">
        <v>25</v>
      </c>
      <c r="G128" s="3" t="s">
        <v>25</v>
      </c>
      <c r="H128" s="3" t="s">
        <v>25</v>
      </c>
      <c r="I128" s="6">
        <v>44531</v>
      </c>
      <c r="J128" s="4">
        <v>0</v>
      </c>
      <c r="K128" s="4">
        <v>0</v>
      </c>
      <c r="L128" s="4">
        <v>1.1419999999999999</v>
      </c>
      <c r="M128" s="4">
        <v>1.1419999999999999</v>
      </c>
      <c r="N128" s="4">
        <v>1.1419999999999999</v>
      </c>
      <c r="O128" s="4">
        <v>1.1419999999999999</v>
      </c>
      <c r="P128" s="4">
        <v>6</v>
      </c>
      <c r="Q128" s="3" t="s">
        <v>26</v>
      </c>
      <c r="R128" s="3">
        <v>0</v>
      </c>
      <c r="S128" s="3">
        <v>0</v>
      </c>
      <c r="T128" s="3">
        <v>40</v>
      </c>
      <c r="U128" s="3">
        <v>55</v>
      </c>
      <c r="V128" s="4">
        <f>IF(ISERROR(VLOOKUP($S$128,'TAR FIN'!$A$1:$O$86,15,0)),0,VLOOKUP($S$128,'TAR FIN'!$A$1:$O$86,15,0))</f>
        <v>0</v>
      </c>
      <c r="W128" s="4">
        <f>IF(ISERROR(VLOOKUP($T$128,'TAR FIN'!$A$1:$O$86,15,0)),0,VLOOKUP($T$128,'TAR FIN'!$A$1:$O$86,15,0))</f>
        <v>253.87</v>
      </c>
      <c r="X128" s="4">
        <f>IF(ISERROR(VLOOKUP($U$128,'TAR FIN'!$A$1:$O$86,15,0)),0,VLOOKUP($U$128,'TAR FIN'!$A$1:$O$86,15,0))</f>
        <v>126.93</v>
      </c>
      <c r="Y128" s="4"/>
      <c r="Z128" s="4">
        <f ca="1">('TUSD BE'!$AM$22+'TUSD BF'!$AM$22+'TUSD CVA'!$AM$22-('TUSD BE'!$P$22+'TUSD BF'!$P$22+'TUSD CVA'!$P$22)-('TUSD BE'!$Q$22+'TUSD BF'!$Q$22+'TUSD CVA'!$Q$22)-('TUSD BE'!$R$22+'TUSD BF'!$R$22+'TUSD CVA'!$R$22))*(1-CUSTOS!$M$35)</f>
        <v>280.08288159701397</v>
      </c>
      <c r="AA128" s="4">
        <f>('TE BE'!$AB$13+'TE BF'!$AB$13+'TE CVA'!$AB$13)*(1-CUSTOS!$M$35)</f>
        <v>117.94125704624125</v>
      </c>
      <c r="AB128" s="4">
        <f t="shared" si="8"/>
        <v>0</v>
      </c>
      <c r="AC128" s="4">
        <f>(L128-M128)*(W128+X128)+($W$147+$X$147-$W$128-$X$128)*(L128)</f>
        <v>289.89669999999995</v>
      </c>
      <c r="AD128" s="4">
        <f t="shared" si="10"/>
        <v>0</v>
      </c>
      <c r="AE128" s="4">
        <f ca="1">(L128-M128)*(Z128+AA128)+($Z$147+$AA$147-$Z$128-$AA$128)*(L128)</f>
        <v>303.02904422039836</v>
      </c>
      <c r="AF128" s="3" t="s">
        <v>591</v>
      </c>
    </row>
    <row r="129" spans="1:32" ht="11.25" customHeight="1" x14ac:dyDescent="0.25">
      <c r="A129" s="3" t="s">
        <v>21</v>
      </c>
      <c r="B129" s="3" t="s">
        <v>22</v>
      </c>
      <c r="C129" s="3" t="s">
        <v>23</v>
      </c>
      <c r="D129" s="3" t="s">
        <v>24</v>
      </c>
      <c r="E129" s="3" t="s">
        <v>30</v>
      </c>
      <c r="F129" s="3" t="s">
        <v>25</v>
      </c>
      <c r="G129" s="3" t="s">
        <v>25</v>
      </c>
      <c r="H129" s="3" t="s">
        <v>25</v>
      </c>
      <c r="I129" s="6">
        <v>44562</v>
      </c>
      <c r="J129" s="4">
        <v>0</v>
      </c>
      <c r="K129" s="4">
        <v>0</v>
      </c>
      <c r="L129" s="4">
        <v>2.14</v>
      </c>
      <c r="M129" s="4">
        <v>2.14</v>
      </c>
      <c r="N129" s="4">
        <v>2.14</v>
      </c>
      <c r="O129" s="4">
        <v>2.14</v>
      </c>
      <c r="P129" s="4">
        <v>14</v>
      </c>
      <c r="Q129" s="3" t="s">
        <v>26</v>
      </c>
      <c r="R129" s="3">
        <v>0</v>
      </c>
      <c r="S129" s="3">
        <v>0</v>
      </c>
      <c r="T129" s="3">
        <v>40</v>
      </c>
      <c r="U129" s="3">
        <v>55</v>
      </c>
      <c r="V129" s="4">
        <f>IF(ISERROR(VLOOKUP($S$129,'TAR FIN'!$A$1:$O$86,15,0)),0,VLOOKUP($S$129,'TAR FIN'!$A$1:$O$86,15,0))</f>
        <v>0</v>
      </c>
      <c r="W129" s="4">
        <f>IF(ISERROR(VLOOKUP($T$129,'TAR FIN'!$A$1:$O$86,15,0)),0,VLOOKUP($T$129,'TAR FIN'!$A$1:$O$86,15,0))</f>
        <v>253.87</v>
      </c>
      <c r="X129" s="4">
        <f>IF(ISERROR(VLOOKUP($U$129,'TAR FIN'!$A$1:$O$86,15,0)),0,VLOOKUP($U$129,'TAR FIN'!$A$1:$O$86,15,0))</f>
        <v>126.93</v>
      </c>
      <c r="Y129" s="4"/>
      <c r="Z129" s="4">
        <f ca="1">('TUSD BE'!$AM$22+'TUSD BF'!$AM$22+'TUSD CVA'!$AM$22-('TUSD BE'!$P$22+'TUSD BF'!$P$22+'TUSD CVA'!$P$22)-('TUSD BE'!$Q$22+'TUSD BF'!$Q$22+'TUSD CVA'!$Q$22)-('TUSD BE'!$R$22+'TUSD BF'!$R$22+'TUSD CVA'!$R$22))*(1-CUSTOS!$M$35)</f>
        <v>280.08288159701397</v>
      </c>
      <c r="AA129" s="4">
        <f>('TE BE'!$AB$13+'TE BF'!$AB$13+'TE CVA'!$AB$13)*(1-CUSTOS!$M$35)</f>
        <v>117.94125704624125</v>
      </c>
      <c r="AB129" s="4">
        <f t="shared" si="8"/>
        <v>0</v>
      </c>
      <c r="AC129" s="4">
        <f>(L129-M129)*(W129+X129)+($W$147+$X$147-$W$129-$X$129)*(L129)</f>
        <v>543.23899999999992</v>
      </c>
      <c r="AD129" s="4">
        <f t="shared" si="10"/>
        <v>0</v>
      </c>
      <c r="AE129" s="4">
        <f ca="1">(L129-M129)*(Z129+AA129)+($Z$147+$AA$147-$Z$129-$AA$129)*(L129)</f>
        <v>567.84777113104428</v>
      </c>
      <c r="AF129" s="3" t="s">
        <v>591</v>
      </c>
    </row>
    <row r="130" spans="1:32" ht="11.25" customHeight="1" x14ac:dyDescent="0.25">
      <c r="A130" s="3" t="s">
        <v>21</v>
      </c>
      <c r="B130" s="3" t="s">
        <v>22</v>
      </c>
      <c r="C130" s="3" t="s">
        <v>23</v>
      </c>
      <c r="D130" s="3" t="s">
        <v>24</v>
      </c>
      <c r="E130" s="3" t="s">
        <v>30</v>
      </c>
      <c r="F130" s="3" t="s">
        <v>25</v>
      </c>
      <c r="G130" s="3" t="s">
        <v>25</v>
      </c>
      <c r="H130" s="3" t="s">
        <v>25</v>
      </c>
      <c r="I130" s="6">
        <v>44593</v>
      </c>
      <c r="J130" s="4">
        <v>0</v>
      </c>
      <c r="K130" s="4">
        <v>0</v>
      </c>
      <c r="L130" s="4">
        <v>8.7059999999999995</v>
      </c>
      <c r="M130" s="4">
        <v>8.7059999999999995</v>
      </c>
      <c r="N130" s="4">
        <v>8.7059999999999995</v>
      </c>
      <c r="O130" s="4">
        <v>8.7059999999999995</v>
      </c>
      <c r="P130" s="4">
        <v>49</v>
      </c>
      <c r="Q130" s="3" t="s">
        <v>26</v>
      </c>
      <c r="R130" s="3">
        <v>0</v>
      </c>
      <c r="S130" s="3">
        <v>0</v>
      </c>
      <c r="T130" s="3">
        <v>40</v>
      </c>
      <c r="U130" s="3">
        <v>55</v>
      </c>
      <c r="V130" s="4">
        <f>IF(ISERROR(VLOOKUP($S$130,'TAR FIN'!$A$1:$O$86,15,0)),0,VLOOKUP($S$130,'TAR FIN'!$A$1:$O$86,15,0))</f>
        <v>0</v>
      </c>
      <c r="W130" s="4">
        <f>IF(ISERROR(VLOOKUP($T$130,'TAR FIN'!$A$1:$O$86,15,0)),0,VLOOKUP($T$130,'TAR FIN'!$A$1:$O$86,15,0))</f>
        <v>253.87</v>
      </c>
      <c r="X130" s="4">
        <f>IF(ISERROR(VLOOKUP($U$130,'TAR FIN'!$A$1:$O$86,15,0)),0,VLOOKUP($U$130,'TAR FIN'!$A$1:$O$86,15,0))</f>
        <v>126.93</v>
      </c>
      <c r="Y130" s="4"/>
      <c r="Z130" s="4">
        <f ca="1">('TUSD BE'!$AM$22+'TUSD BF'!$AM$22+'TUSD CVA'!$AM$22-('TUSD BE'!$P$22+'TUSD BF'!$P$22+'TUSD CVA'!$P$22)-('TUSD BE'!$Q$22+'TUSD BF'!$Q$22+'TUSD CVA'!$Q$22)-('TUSD BE'!$R$22+'TUSD BF'!$R$22+'TUSD CVA'!$R$22))*(1-CUSTOS!$M$35)</f>
        <v>280.08288159701397</v>
      </c>
      <c r="AA130" s="4">
        <f>('TE BE'!$AB$13+'TE BF'!$AB$13+'TE CVA'!$AB$13)*(1-CUSTOS!$M$35)</f>
        <v>117.94125704624125</v>
      </c>
      <c r="AB130" s="4">
        <f t="shared" ref="AB130:AB193" si="12">(J130-K130)*V130</f>
        <v>0</v>
      </c>
      <c r="AC130" s="4">
        <f>(L130-M130)*(W130+X130)+($W$147+$X$147-$W$130-$X$130)*(L130)</f>
        <v>2210.0180999999998</v>
      </c>
      <c r="AD130" s="4">
        <f t="shared" ref="AD130:AD193" si="13">(J130-K130)*Y130</f>
        <v>0</v>
      </c>
      <c r="AE130" s="4">
        <f ca="1">(L130-M130)*(Z130+AA130)+($Z$147+$AA$147-$Z$130-$AA$130)*(L130)</f>
        <v>2310.1321006854537</v>
      </c>
      <c r="AF130" s="3" t="s">
        <v>591</v>
      </c>
    </row>
    <row r="131" spans="1:32" ht="11.25" customHeight="1" x14ac:dyDescent="0.25">
      <c r="A131" s="3" t="s">
        <v>21</v>
      </c>
      <c r="B131" s="3" t="s">
        <v>22</v>
      </c>
      <c r="C131" s="3" t="s">
        <v>23</v>
      </c>
      <c r="D131" s="3" t="s">
        <v>24</v>
      </c>
      <c r="E131" s="3" t="s">
        <v>30</v>
      </c>
      <c r="F131" s="3" t="s">
        <v>25</v>
      </c>
      <c r="G131" s="3" t="s">
        <v>25</v>
      </c>
      <c r="H131" s="3" t="s">
        <v>25</v>
      </c>
      <c r="I131" s="6">
        <v>44621</v>
      </c>
      <c r="J131" s="4">
        <v>0</v>
      </c>
      <c r="K131" s="4">
        <v>0</v>
      </c>
      <c r="L131" s="4">
        <v>11.788</v>
      </c>
      <c r="M131" s="4">
        <v>11.788</v>
      </c>
      <c r="N131" s="4">
        <v>11.788</v>
      </c>
      <c r="O131" s="4">
        <v>11.788</v>
      </c>
      <c r="P131" s="4">
        <v>67</v>
      </c>
      <c r="Q131" s="3" t="s">
        <v>26</v>
      </c>
      <c r="R131" s="3">
        <v>0</v>
      </c>
      <c r="S131" s="3">
        <v>0</v>
      </c>
      <c r="T131" s="3">
        <v>40</v>
      </c>
      <c r="U131" s="3">
        <v>55</v>
      </c>
      <c r="V131" s="4">
        <f>IF(ISERROR(VLOOKUP($S$131,'TAR FIN'!$A$1:$O$86,15,0)),0,VLOOKUP($S$131,'TAR FIN'!$A$1:$O$86,15,0))</f>
        <v>0</v>
      </c>
      <c r="W131" s="4">
        <f>IF(ISERROR(VLOOKUP($T$131,'TAR FIN'!$A$1:$O$86,15,0)),0,VLOOKUP($T$131,'TAR FIN'!$A$1:$O$86,15,0))</f>
        <v>253.87</v>
      </c>
      <c r="X131" s="4">
        <f>IF(ISERROR(VLOOKUP($U$131,'TAR FIN'!$A$1:$O$86,15,0)),0,VLOOKUP($U$131,'TAR FIN'!$A$1:$O$86,15,0))</f>
        <v>126.93</v>
      </c>
      <c r="Y131" s="4"/>
      <c r="Z131" s="4">
        <f ca="1">('TUSD BE'!$AM$22+'TUSD BF'!$AM$22+'TUSD CVA'!$AM$22-('TUSD BE'!$P$22+'TUSD BF'!$P$22+'TUSD CVA'!$P$22)-('TUSD BE'!$Q$22+'TUSD BF'!$Q$22+'TUSD CVA'!$Q$22)-('TUSD BE'!$R$22+'TUSD BF'!$R$22+'TUSD CVA'!$R$22))*(1-CUSTOS!$M$35)</f>
        <v>280.08288159701397</v>
      </c>
      <c r="AA131" s="4">
        <f>('TE BE'!$AB$13+'TE BF'!$AB$13+'TE CVA'!$AB$13)*(1-CUSTOS!$M$35)</f>
        <v>117.94125704624125</v>
      </c>
      <c r="AB131" s="4">
        <f t="shared" si="12"/>
        <v>0</v>
      </c>
      <c r="AC131" s="4">
        <f>(L131-M131)*(W131+X131)+($W$147+$X$147-$W$131-$X$131)*(L131)</f>
        <v>2992.3837999999996</v>
      </c>
      <c r="AD131" s="4">
        <f t="shared" si="13"/>
        <v>0</v>
      </c>
      <c r="AE131" s="4">
        <f ca="1">(L131-M131)*(Z131+AA131)+($Z$147+$AA$147-$Z$131-$AA$131)*(L131)</f>
        <v>3127.9390308844622</v>
      </c>
      <c r="AF131" s="3" t="s">
        <v>591</v>
      </c>
    </row>
    <row r="132" spans="1:32" ht="11.25" customHeight="1" x14ac:dyDescent="0.25">
      <c r="A132" s="3" t="s">
        <v>21</v>
      </c>
      <c r="B132" s="3" t="s">
        <v>22</v>
      </c>
      <c r="C132" s="3" t="s">
        <v>23</v>
      </c>
      <c r="D132" s="3" t="s">
        <v>24</v>
      </c>
      <c r="E132" s="3" t="s">
        <v>30</v>
      </c>
      <c r="F132" s="3" t="s">
        <v>25</v>
      </c>
      <c r="G132" s="3" t="s">
        <v>25</v>
      </c>
      <c r="H132" s="3" t="s">
        <v>25</v>
      </c>
      <c r="I132" s="6">
        <v>44652</v>
      </c>
      <c r="J132" s="4">
        <v>0</v>
      </c>
      <c r="K132" s="4">
        <v>0</v>
      </c>
      <c r="L132" s="4">
        <v>11.923999999999999</v>
      </c>
      <c r="M132" s="4">
        <v>11.923999999999999</v>
      </c>
      <c r="N132" s="4">
        <v>11.923999999999999</v>
      </c>
      <c r="O132" s="4">
        <v>11.923999999999999</v>
      </c>
      <c r="P132" s="4">
        <v>66</v>
      </c>
      <c r="Q132" s="3" t="s">
        <v>26</v>
      </c>
      <c r="R132" s="3">
        <v>0</v>
      </c>
      <c r="S132" s="3">
        <v>0</v>
      </c>
      <c r="T132" s="3">
        <v>40</v>
      </c>
      <c r="U132" s="3">
        <v>55</v>
      </c>
      <c r="V132" s="4">
        <f>IF(ISERROR(VLOOKUP($S$132,'TAR FIN'!$A$1:$O$86,15,0)),0,VLOOKUP($S$132,'TAR FIN'!$A$1:$O$86,15,0))</f>
        <v>0</v>
      </c>
      <c r="W132" s="4">
        <f>IF(ISERROR(VLOOKUP($T$132,'TAR FIN'!$A$1:$O$86,15,0)),0,VLOOKUP($T$132,'TAR FIN'!$A$1:$O$86,15,0))</f>
        <v>253.87</v>
      </c>
      <c r="X132" s="4">
        <f>IF(ISERROR(VLOOKUP($U$132,'TAR FIN'!$A$1:$O$86,15,0)),0,VLOOKUP($U$132,'TAR FIN'!$A$1:$O$86,15,0))</f>
        <v>126.93</v>
      </c>
      <c r="Y132" s="4"/>
      <c r="Z132" s="4">
        <f ca="1">('TUSD BE'!$AM$22+'TUSD BF'!$AM$22+'TUSD CVA'!$AM$22-('TUSD BE'!$P$22+'TUSD BF'!$P$22+'TUSD CVA'!$P$22)-('TUSD BE'!$Q$22+'TUSD BF'!$Q$22+'TUSD CVA'!$Q$22)-('TUSD BE'!$R$22+'TUSD BF'!$R$22+'TUSD CVA'!$R$22))*(1-CUSTOS!$M$35)</f>
        <v>280.08288159701397</v>
      </c>
      <c r="AA132" s="4">
        <f>('TE BE'!$AB$13+'TE BF'!$AB$13+'TE CVA'!$AB$13)*(1-CUSTOS!$M$35)</f>
        <v>117.94125704624125</v>
      </c>
      <c r="AB132" s="4">
        <f t="shared" si="12"/>
        <v>0</v>
      </c>
      <c r="AC132" s="4">
        <f>(L132-M132)*(W132+X132)+($W$147+$X$147-$W$132-$X$132)*(L132)</f>
        <v>3026.9073999999996</v>
      </c>
      <c r="AD132" s="4">
        <f t="shared" si="13"/>
        <v>0</v>
      </c>
      <c r="AE132" s="4">
        <f ca="1">(L132-M132)*(Z132+AA132)+($Z$147+$AA$147-$Z$132-$AA$132)*(L132)</f>
        <v>3164.0265527881174</v>
      </c>
      <c r="AF132" s="3" t="s">
        <v>591</v>
      </c>
    </row>
    <row r="133" spans="1:32" ht="11.25" customHeight="1" x14ac:dyDescent="0.25">
      <c r="A133" s="3" t="s">
        <v>21</v>
      </c>
      <c r="B133" s="3" t="s">
        <v>22</v>
      </c>
      <c r="C133" s="3" t="s">
        <v>23</v>
      </c>
      <c r="D133" s="3" t="s">
        <v>24</v>
      </c>
      <c r="E133" s="3" t="s">
        <v>30</v>
      </c>
      <c r="F133" s="3" t="s">
        <v>25</v>
      </c>
      <c r="G133" s="3" t="s">
        <v>25</v>
      </c>
      <c r="H133" s="3" t="s">
        <v>25</v>
      </c>
      <c r="I133" s="6">
        <v>44682</v>
      </c>
      <c r="J133" s="4">
        <v>0</v>
      </c>
      <c r="K133" s="4">
        <v>0</v>
      </c>
      <c r="L133" s="4">
        <v>4.3550000000000004</v>
      </c>
      <c r="M133" s="4">
        <v>4.3550000000000004</v>
      </c>
      <c r="N133" s="4">
        <v>4.3550000000000004</v>
      </c>
      <c r="O133" s="4">
        <v>4.3550000000000004</v>
      </c>
      <c r="P133" s="4">
        <v>28</v>
      </c>
      <c r="Q133" s="3" t="s">
        <v>26</v>
      </c>
      <c r="R133" s="3">
        <v>0</v>
      </c>
      <c r="S133" s="3">
        <v>0</v>
      </c>
      <c r="T133" s="3">
        <v>40</v>
      </c>
      <c r="U133" s="3">
        <v>55</v>
      </c>
      <c r="V133" s="4">
        <f>IF(ISERROR(VLOOKUP($S$133,'TAR FIN'!$A$1:$O$86,15,0)),0,VLOOKUP($S$133,'TAR FIN'!$A$1:$O$86,15,0))</f>
        <v>0</v>
      </c>
      <c r="W133" s="4">
        <f>IF(ISERROR(VLOOKUP($T$133,'TAR FIN'!$A$1:$O$86,15,0)),0,VLOOKUP($T$133,'TAR FIN'!$A$1:$O$86,15,0))</f>
        <v>253.87</v>
      </c>
      <c r="X133" s="4">
        <f>IF(ISERROR(VLOOKUP($U$133,'TAR FIN'!$A$1:$O$86,15,0)),0,VLOOKUP($U$133,'TAR FIN'!$A$1:$O$86,15,0))</f>
        <v>126.93</v>
      </c>
      <c r="Y133" s="4"/>
      <c r="Z133" s="4">
        <f ca="1">('TUSD BE'!$AM$22+'TUSD BF'!$AM$22+'TUSD CVA'!$AM$22-('TUSD BE'!$P$22+'TUSD BF'!$P$22+'TUSD CVA'!$P$22)-('TUSD BE'!$Q$22+'TUSD BF'!$Q$22+'TUSD CVA'!$Q$22)-('TUSD BE'!$R$22+'TUSD BF'!$R$22+'TUSD CVA'!$R$22))*(1-CUSTOS!$M$35)</f>
        <v>280.08288159701397</v>
      </c>
      <c r="AA133" s="4">
        <f>('TE BE'!$AB$13+'TE BF'!$AB$13+'TE CVA'!$AB$13)*(1-CUSTOS!$M$35)</f>
        <v>117.94125704624125</v>
      </c>
      <c r="AB133" s="4">
        <f t="shared" si="12"/>
        <v>0</v>
      </c>
      <c r="AC133" s="4">
        <f>(L133-M133)*(W133+X133)+($W$147+$X$147-$W$133-$X$133)*(L133)</f>
        <v>1105.51675</v>
      </c>
      <c r="AD133" s="4">
        <f t="shared" si="13"/>
        <v>0</v>
      </c>
      <c r="AE133" s="4">
        <f ca="1">(L133-M133)*(Z133+AA133)+($Z$147+$AA$147-$Z$133-$AA$133)*(L133)</f>
        <v>1155.5967491942513</v>
      </c>
      <c r="AF133" s="3" t="s">
        <v>591</v>
      </c>
    </row>
    <row r="134" spans="1:32" ht="11.25" customHeight="1" x14ac:dyDescent="0.25">
      <c r="A134" s="3" t="s">
        <v>21</v>
      </c>
      <c r="B134" s="3" t="s">
        <v>22</v>
      </c>
      <c r="C134" s="3" t="s">
        <v>23</v>
      </c>
      <c r="D134" s="3" t="s">
        <v>24</v>
      </c>
      <c r="E134" s="3" t="s">
        <v>30</v>
      </c>
      <c r="F134" s="3" t="s">
        <v>25</v>
      </c>
      <c r="G134" s="3" t="s">
        <v>25</v>
      </c>
      <c r="H134" s="3" t="s">
        <v>25</v>
      </c>
      <c r="I134" s="6">
        <v>44713</v>
      </c>
      <c r="J134" s="4">
        <v>0</v>
      </c>
      <c r="K134" s="4">
        <v>0</v>
      </c>
      <c r="L134" s="4">
        <v>4.5709999999999997</v>
      </c>
      <c r="M134" s="4">
        <v>4.5709999999999997</v>
      </c>
      <c r="N134" s="4">
        <v>4.5709999999999997</v>
      </c>
      <c r="O134" s="4">
        <v>4.5709999999999997</v>
      </c>
      <c r="P134" s="4">
        <v>29</v>
      </c>
      <c r="Q134" s="3" t="s">
        <v>26</v>
      </c>
      <c r="R134" s="3">
        <v>0</v>
      </c>
      <c r="S134" s="3">
        <v>0</v>
      </c>
      <c r="T134" s="3">
        <v>40</v>
      </c>
      <c r="U134" s="3">
        <v>55</v>
      </c>
      <c r="V134" s="4">
        <f>IF(ISERROR(VLOOKUP($S$134,'TAR FIN'!$A$1:$O$86,15,0)),0,VLOOKUP($S$134,'TAR FIN'!$A$1:$O$86,15,0))</f>
        <v>0</v>
      </c>
      <c r="W134" s="4">
        <f>IF(ISERROR(VLOOKUP($T$134,'TAR FIN'!$A$1:$O$86,15,0)),0,VLOOKUP($T$134,'TAR FIN'!$A$1:$O$86,15,0))</f>
        <v>253.87</v>
      </c>
      <c r="X134" s="4">
        <f>IF(ISERROR(VLOOKUP($U$134,'TAR FIN'!$A$1:$O$86,15,0)),0,VLOOKUP($U$134,'TAR FIN'!$A$1:$O$86,15,0))</f>
        <v>126.93</v>
      </c>
      <c r="Y134" s="4"/>
      <c r="Z134" s="4">
        <f ca="1">('TUSD BE'!$AM$22+'TUSD BF'!$AM$22+'TUSD CVA'!$AM$22-('TUSD BE'!$P$22+'TUSD BF'!$P$22+'TUSD CVA'!$P$22)-('TUSD BE'!$Q$22+'TUSD BF'!$Q$22+'TUSD CVA'!$Q$22)-('TUSD BE'!$R$22+'TUSD BF'!$R$22+'TUSD CVA'!$R$22))*(1-CUSTOS!$M$35)</f>
        <v>280.08288159701397</v>
      </c>
      <c r="AA134" s="4">
        <f>('TE BE'!$AB$13+'TE BF'!$AB$13+'TE CVA'!$AB$13)*(1-CUSTOS!$M$35)</f>
        <v>117.94125704624125</v>
      </c>
      <c r="AB134" s="4">
        <f t="shared" si="12"/>
        <v>0</v>
      </c>
      <c r="AC134" s="4">
        <f>(L134-M134)*(W134+X134)+($W$147+$X$147-$W$134-$X$134)*(L134)</f>
        <v>1160.3483499999998</v>
      </c>
      <c r="AD134" s="4">
        <f t="shared" si="13"/>
        <v>0</v>
      </c>
      <c r="AE134" s="4">
        <f ca="1">(L134-M134)*(Z134+AA134)+($Z$147+$AA$147-$Z$134-$AA$134)*(L134)</f>
        <v>1212.9122251588799</v>
      </c>
      <c r="AF134" s="3" t="s">
        <v>591</v>
      </c>
    </row>
    <row r="135" spans="1:32" ht="11.25" customHeight="1" x14ac:dyDescent="0.25">
      <c r="A135" s="3" t="s">
        <v>21</v>
      </c>
      <c r="B135" s="3" t="s">
        <v>22</v>
      </c>
      <c r="C135" s="3" t="s">
        <v>23</v>
      </c>
      <c r="D135" s="3" t="s">
        <v>24</v>
      </c>
      <c r="E135" s="3" t="s">
        <v>31</v>
      </c>
      <c r="F135" s="3" t="s">
        <v>25</v>
      </c>
      <c r="G135" s="3" t="s">
        <v>25</v>
      </c>
      <c r="H135" s="3" t="s">
        <v>25</v>
      </c>
      <c r="I135" s="6">
        <v>44378</v>
      </c>
      <c r="J135" s="4">
        <v>0</v>
      </c>
      <c r="K135" s="4">
        <v>0</v>
      </c>
      <c r="L135" s="4">
        <v>0.63</v>
      </c>
      <c r="M135" s="4">
        <v>0.63</v>
      </c>
      <c r="N135" s="4">
        <v>0.63</v>
      </c>
      <c r="O135" s="4">
        <v>0.63</v>
      </c>
      <c r="P135" s="4">
        <v>9</v>
      </c>
      <c r="Q135" s="3" t="s">
        <v>26</v>
      </c>
      <c r="R135" s="3">
        <v>0</v>
      </c>
      <c r="S135" s="3">
        <v>0</v>
      </c>
      <c r="T135" s="3">
        <v>26</v>
      </c>
      <c r="U135" s="3">
        <v>73</v>
      </c>
      <c r="V135" s="4">
        <f>IF(ISERROR(VLOOKUP($S$135,'TAR FIN'!$A$1:$O$86,15,0)),0,VLOOKUP($S$135,'TAR FIN'!$A$1:$O$86,15,0))</f>
        <v>0</v>
      </c>
      <c r="W135" s="4">
        <f>IF(ISERROR(VLOOKUP($T$135,'TAR FIN'!$A$1:$O$86,15,0)),0,VLOOKUP($T$135,'TAR FIN'!$A$1:$O$86,15,0))</f>
        <v>380.8</v>
      </c>
      <c r="X135" s="4">
        <f>IF(ISERROR(VLOOKUP($U$135,'TAR FIN'!$A$1:$O$86,15,0)),0,VLOOKUP($U$135,'TAR FIN'!$A$1:$O$86,15,0))</f>
        <v>190.39</v>
      </c>
      <c r="Y135" s="4"/>
      <c r="Z135" s="4">
        <f ca="1">('TUSD BE'!$AM$23+'TUSD BF'!$AM$23+'TUSD CVA'!$AM$23-('TUSD BE'!$P$23+'TUSD BF'!$P$23+'TUSD CVA'!$P$23)-('TUSD BE'!$Q$23+'TUSD BF'!$Q$23+'TUSD CVA'!$Q$23)-('TUSD BE'!$R$23+'TUSD BF'!$R$23+'TUSD CVA'!$R$23))*(1-CUSTOS!$M$36)</f>
        <v>420.12432239552095</v>
      </c>
      <c r="AA135" s="4">
        <f>('TE BE'!$AB$14+'TE BF'!$AB$14+'TE CVA'!$AB$14)*(1-CUSTOS!$M$36)</f>
        <v>176.91188556936189</v>
      </c>
      <c r="AB135" s="4">
        <f t="shared" si="12"/>
        <v>0</v>
      </c>
      <c r="AC135" s="4">
        <f>(L135-M135)*(W135+X135)+($W$147+$X$147-$W$135-$X$135)*(L135)</f>
        <v>39.97979999999999</v>
      </c>
      <c r="AD135" s="4">
        <f t="shared" si="13"/>
        <v>0</v>
      </c>
      <c r="AE135" s="4">
        <f ca="1">(L135-M135)*(Z135+AA135)+($Z$147+$AA$147-$Z$135-$AA$135)*(L135)</f>
        <v>41.792534557541842</v>
      </c>
      <c r="AF135" s="3" t="s">
        <v>591</v>
      </c>
    </row>
    <row r="136" spans="1:32" ht="11.25" customHeight="1" x14ac:dyDescent="0.25">
      <c r="A136" s="3" t="s">
        <v>21</v>
      </c>
      <c r="B136" s="3" t="s">
        <v>22</v>
      </c>
      <c r="C136" s="3" t="s">
        <v>23</v>
      </c>
      <c r="D136" s="3" t="s">
        <v>24</v>
      </c>
      <c r="E136" s="3" t="s">
        <v>31</v>
      </c>
      <c r="F136" s="3" t="s">
        <v>25</v>
      </c>
      <c r="G136" s="3" t="s">
        <v>25</v>
      </c>
      <c r="H136" s="3" t="s">
        <v>25</v>
      </c>
      <c r="I136" s="6">
        <v>44409</v>
      </c>
      <c r="J136" s="4">
        <v>0</v>
      </c>
      <c r="K136" s="4">
        <v>0</v>
      </c>
      <c r="L136" s="4">
        <v>0.96299999999999997</v>
      </c>
      <c r="M136" s="4">
        <v>0.96299999999999997</v>
      </c>
      <c r="N136" s="4">
        <v>0.96299999999999997</v>
      </c>
      <c r="O136" s="4">
        <v>0.96299999999999997</v>
      </c>
      <c r="P136" s="4">
        <v>11</v>
      </c>
      <c r="Q136" s="3" t="s">
        <v>26</v>
      </c>
      <c r="R136" s="3">
        <v>0</v>
      </c>
      <c r="S136" s="3">
        <v>0</v>
      </c>
      <c r="T136" s="3">
        <v>26</v>
      </c>
      <c r="U136" s="3">
        <v>73</v>
      </c>
      <c r="V136" s="4">
        <f>IF(ISERROR(VLOOKUP($S$136,'TAR FIN'!$A$1:$O$86,15,0)),0,VLOOKUP($S$136,'TAR FIN'!$A$1:$O$86,15,0))</f>
        <v>0</v>
      </c>
      <c r="W136" s="4">
        <f>IF(ISERROR(VLOOKUP($T$136,'TAR FIN'!$A$1:$O$86,15,0)),0,VLOOKUP($T$136,'TAR FIN'!$A$1:$O$86,15,0))</f>
        <v>380.8</v>
      </c>
      <c r="X136" s="4">
        <f>IF(ISERROR(VLOOKUP($U$136,'TAR FIN'!$A$1:$O$86,15,0)),0,VLOOKUP($U$136,'TAR FIN'!$A$1:$O$86,15,0))</f>
        <v>190.39</v>
      </c>
      <c r="Y136" s="4"/>
      <c r="Z136" s="4">
        <f ca="1">('TUSD BE'!$AM$23+'TUSD BF'!$AM$23+'TUSD CVA'!$AM$23-('TUSD BE'!$P$23+'TUSD BF'!$P$23+'TUSD CVA'!$P$23)-('TUSD BE'!$Q$23+'TUSD BF'!$Q$23+'TUSD CVA'!$Q$23)-('TUSD BE'!$R$23+'TUSD BF'!$R$23+'TUSD CVA'!$R$23))*(1-CUSTOS!$M$36)</f>
        <v>420.12432239552095</v>
      </c>
      <c r="AA136" s="4">
        <f>('TE BE'!$AB$14+'TE BF'!$AB$14+'TE CVA'!$AB$14)*(1-CUSTOS!$M$36)</f>
        <v>176.91188556936189</v>
      </c>
      <c r="AB136" s="4">
        <f t="shared" si="12"/>
        <v>0</v>
      </c>
      <c r="AC136" s="4">
        <f>(L136-M136)*(W136+X136)+($W$147+$X$147-$W$136-$X$136)*(L136)</f>
        <v>61.111979999999981</v>
      </c>
      <c r="AD136" s="4">
        <f t="shared" si="13"/>
        <v>0</v>
      </c>
      <c r="AE136" s="4">
        <f ca="1">(L136-M136)*(Z136+AA136)+($Z$147+$AA$147-$Z$136-$AA$136)*(L136)</f>
        <v>63.88287425224253</v>
      </c>
      <c r="AF136" s="3" t="s">
        <v>591</v>
      </c>
    </row>
    <row r="137" spans="1:32" ht="11.25" customHeight="1" x14ac:dyDescent="0.25">
      <c r="A137" s="3" t="s">
        <v>21</v>
      </c>
      <c r="B137" s="3" t="s">
        <v>22</v>
      </c>
      <c r="C137" s="3" t="s">
        <v>23</v>
      </c>
      <c r="D137" s="3" t="s">
        <v>24</v>
      </c>
      <c r="E137" s="3" t="s">
        <v>31</v>
      </c>
      <c r="F137" s="3" t="s">
        <v>25</v>
      </c>
      <c r="G137" s="3" t="s">
        <v>25</v>
      </c>
      <c r="H137" s="3" t="s">
        <v>25</v>
      </c>
      <c r="I137" s="6">
        <v>44440</v>
      </c>
      <c r="J137" s="4">
        <v>0</v>
      </c>
      <c r="K137" s="4">
        <v>0</v>
      </c>
      <c r="L137" s="4">
        <v>0.84799999999999998</v>
      </c>
      <c r="M137" s="4">
        <v>0.84799999999999998</v>
      </c>
      <c r="N137" s="4">
        <v>0.84799999999999998</v>
      </c>
      <c r="O137" s="4">
        <v>0.84799999999999998</v>
      </c>
      <c r="P137" s="4">
        <v>9</v>
      </c>
      <c r="Q137" s="3" t="s">
        <v>26</v>
      </c>
      <c r="R137" s="3">
        <v>0</v>
      </c>
      <c r="S137" s="3">
        <v>0</v>
      </c>
      <c r="T137" s="3">
        <v>26</v>
      </c>
      <c r="U137" s="3">
        <v>73</v>
      </c>
      <c r="V137" s="4">
        <f>IF(ISERROR(VLOOKUP($S$137,'TAR FIN'!$A$1:$O$86,15,0)),0,VLOOKUP($S$137,'TAR FIN'!$A$1:$O$86,15,0))</f>
        <v>0</v>
      </c>
      <c r="W137" s="4">
        <f>IF(ISERROR(VLOOKUP($T$137,'TAR FIN'!$A$1:$O$86,15,0)),0,VLOOKUP($T$137,'TAR FIN'!$A$1:$O$86,15,0))</f>
        <v>380.8</v>
      </c>
      <c r="X137" s="4">
        <f>IF(ISERROR(VLOOKUP($U$137,'TAR FIN'!$A$1:$O$86,15,0)),0,VLOOKUP($U$137,'TAR FIN'!$A$1:$O$86,15,0))</f>
        <v>190.39</v>
      </c>
      <c r="Y137" s="4"/>
      <c r="Z137" s="4">
        <f ca="1">('TUSD BE'!$AM$23+'TUSD BF'!$AM$23+'TUSD CVA'!$AM$23-('TUSD BE'!$P$23+'TUSD BF'!$P$23+'TUSD CVA'!$P$23)-('TUSD BE'!$Q$23+'TUSD BF'!$Q$23+'TUSD CVA'!$Q$23)-('TUSD BE'!$R$23+'TUSD BF'!$R$23+'TUSD CVA'!$R$23))*(1-CUSTOS!$M$36)</f>
        <v>420.12432239552095</v>
      </c>
      <c r="AA137" s="4">
        <f>('TE BE'!$AB$14+'TE BF'!$AB$14+'TE CVA'!$AB$14)*(1-CUSTOS!$M$36)</f>
        <v>176.91188556936189</v>
      </c>
      <c r="AB137" s="4">
        <f t="shared" si="12"/>
        <v>0</v>
      </c>
      <c r="AC137" s="4">
        <f>(L137-M137)*(W137+X137)+($W$147+$X$147-$W$137-$X$137)*(L137)</f>
        <v>53.814079999999983</v>
      </c>
      <c r="AD137" s="4">
        <f t="shared" si="13"/>
        <v>0</v>
      </c>
      <c r="AE137" s="4">
        <f ca="1">(L137-M137)*(Z137+AA137)+($Z$147+$AA$147-$Z$137-$AA$137)*(L137)</f>
        <v>56.254078261580126</v>
      </c>
      <c r="AF137" s="3" t="s">
        <v>591</v>
      </c>
    </row>
    <row r="138" spans="1:32" ht="11.25" customHeight="1" x14ac:dyDescent="0.25">
      <c r="A138" s="3" t="s">
        <v>21</v>
      </c>
      <c r="B138" s="3" t="s">
        <v>22</v>
      </c>
      <c r="C138" s="3" t="s">
        <v>23</v>
      </c>
      <c r="D138" s="3" t="s">
        <v>24</v>
      </c>
      <c r="E138" s="3" t="s">
        <v>31</v>
      </c>
      <c r="F138" s="3" t="s">
        <v>25</v>
      </c>
      <c r="G138" s="3" t="s">
        <v>25</v>
      </c>
      <c r="H138" s="3" t="s">
        <v>25</v>
      </c>
      <c r="I138" s="6">
        <v>44470</v>
      </c>
      <c r="J138" s="4">
        <v>0</v>
      </c>
      <c r="K138" s="4">
        <v>0</v>
      </c>
      <c r="L138" s="4">
        <v>1.123</v>
      </c>
      <c r="M138" s="4">
        <v>1.123</v>
      </c>
      <c r="N138" s="4">
        <v>1.123</v>
      </c>
      <c r="O138" s="4">
        <v>1.123</v>
      </c>
      <c r="P138" s="4">
        <v>10</v>
      </c>
      <c r="Q138" s="3" t="s">
        <v>26</v>
      </c>
      <c r="R138" s="3">
        <v>0</v>
      </c>
      <c r="S138" s="3">
        <v>0</v>
      </c>
      <c r="T138" s="3">
        <v>26</v>
      </c>
      <c r="U138" s="3">
        <v>73</v>
      </c>
      <c r="V138" s="4">
        <f>IF(ISERROR(VLOOKUP($S$138,'TAR FIN'!$A$1:$O$86,15,0)),0,VLOOKUP($S$138,'TAR FIN'!$A$1:$O$86,15,0))</f>
        <v>0</v>
      </c>
      <c r="W138" s="4">
        <f>IF(ISERROR(VLOOKUP($T$138,'TAR FIN'!$A$1:$O$86,15,0)),0,VLOOKUP($T$138,'TAR FIN'!$A$1:$O$86,15,0))</f>
        <v>380.8</v>
      </c>
      <c r="X138" s="4">
        <f>IF(ISERROR(VLOOKUP($U$138,'TAR FIN'!$A$1:$O$86,15,0)),0,VLOOKUP($U$138,'TAR FIN'!$A$1:$O$86,15,0))</f>
        <v>190.39</v>
      </c>
      <c r="Y138" s="4"/>
      <c r="Z138" s="4">
        <f ca="1">('TUSD BE'!$AM$23+'TUSD BF'!$AM$23+'TUSD CVA'!$AM$23-('TUSD BE'!$P$23+'TUSD BF'!$P$23+'TUSD CVA'!$P$23)-('TUSD BE'!$Q$23+'TUSD BF'!$Q$23+'TUSD CVA'!$Q$23)-('TUSD BE'!$R$23+'TUSD BF'!$R$23+'TUSD CVA'!$R$23))*(1-CUSTOS!$M$36)</f>
        <v>420.12432239552095</v>
      </c>
      <c r="AA138" s="4">
        <f>('TE BE'!$AB$14+'TE BF'!$AB$14+'TE CVA'!$AB$14)*(1-CUSTOS!$M$36)</f>
        <v>176.91188556936189</v>
      </c>
      <c r="AB138" s="4">
        <f t="shared" si="12"/>
        <v>0</v>
      </c>
      <c r="AC138" s="4">
        <f>(L138-M138)*(W138+X138)+($W$147+$X$147-$W$138-$X$138)*(L138)</f>
        <v>71.265579999999972</v>
      </c>
      <c r="AD138" s="4">
        <f t="shared" si="13"/>
        <v>0</v>
      </c>
      <c r="AE138" s="4">
        <f ca="1">(L138-M138)*(Z138+AA138)+($Z$147+$AA$147-$Z$138-$AA$138)*(L138)</f>
        <v>74.496851282729352</v>
      </c>
      <c r="AF138" s="3" t="s">
        <v>591</v>
      </c>
    </row>
    <row r="139" spans="1:32" ht="11.25" customHeight="1" x14ac:dyDescent="0.25">
      <c r="A139" s="3" t="s">
        <v>21</v>
      </c>
      <c r="B139" s="3" t="s">
        <v>22</v>
      </c>
      <c r="C139" s="3" t="s">
        <v>23</v>
      </c>
      <c r="D139" s="3" t="s">
        <v>24</v>
      </c>
      <c r="E139" s="3" t="s">
        <v>31</v>
      </c>
      <c r="F139" s="3" t="s">
        <v>25</v>
      </c>
      <c r="G139" s="3" t="s">
        <v>25</v>
      </c>
      <c r="H139" s="3" t="s">
        <v>25</v>
      </c>
      <c r="I139" s="6">
        <v>44501</v>
      </c>
      <c r="J139" s="4">
        <v>0</v>
      </c>
      <c r="K139" s="4">
        <v>0</v>
      </c>
      <c r="L139" s="4">
        <v>0.91800000000000004</v>
      </c>
      <c r="M139" s="4">
        <v>0.91800000000000004</v>
      </c>
      <c r="N139" s="4">
        <v>0.91800000000000004</v>
      </c>
      <c r="O139" s="4">
        <v>0.91800000000000004</v>
      </c>
      <c r="P139" s="4">
        <v>10</v>
      </c>
      <c r="Q139" s="3" t="s">
        <v>26</v>
      </c>
      <c r="R139" s="3">
        <v>0</v>
      </c>
      <c r="S139" s="3">
        <v>0</v>
      </c>
      <c r="T139" s="3">
        <v>26</v>
      </c>
      <c r="U139" s="3">
        <v>73</v>
      </c>
      <c r="V139" s="4">
        <f>IF(ISERROR(VLOOKUP($S$139,'TAR FIN'!$A$1:$O$86,15,0)),0,VLOOKUP($S$139,'TAR FIN'!$A$1:$O$86,15,0))</f>
        <v>0</v>
      </c>
      <c r="W139" s="4">
        <f>IF(ISERROR(VLOOKUP($T$139,'TAR FIN'!$A$1:$O$86,15,0)),0,VLOOKUP($T$139,'TAR FIN'!$A$1:$O$86,15,0))</f>
        <v>380.8</v>
      </c>
      <c r="X139" s="4">
        <f>IF(ISERROR(VLOOKUP($U$139,'TAR FIN'!$A$1:$O$86,15,0)),0,VLOOKUP($U$139,'TAR FIN'!$A$1:$O$86,15,0))</f>
        <v>190.39</v>
      </c>
      <c r="Y139" s="4"/>
      <c r="Z139" s="4">
        <f ca="1">('TUSD BE'!$AM$23+'TUSD BF'!$AM$23+'TUSD CVA'!$AM$23-('TUSD BE'!$P$23+'TUSD BF'!$P$23+'TUSD CVA'!$P$23)-('TUSD BE'!$Q$23+'TUSD BF'!$Q$23+'TUSD CVA'!$Q$23)-('TUSD BE'!$R$23+'TUSD BF'!$R$23+'TUSD CVA'!$R$23))*(1-CUSTOS!$M$36)</f>
        <v>420.12432239552095</v>
      </c>
      <c r="AA139" s="4">
        <f>('TE BE'!$AB$14+'TE BF'!$AB$14+'TE CVA'!$AB$14)*(1-CUSTOS!$M$36)</f>
        <v>176.91188556936189</v>
      </c>
      <c r="AB139" s="4">
        <f t="shared" si="12"/>
        <v>0</v>
      </c>
      <c r="AC139" s="4">
        <f>(L139-M139)*(W139+X139)+($W$147+$X$147-$W$139-$X$139)*(L139)</f>
        <v>58.256279999999983</v>
      </c>
      <c r="AD139" s="4">
        <f t="shared" si="13"/>
        <v>0</v>
      </c>
      <c r="AE139" s="4">
        <f ca="1">(L139-M139)*(Z139+AA139)+($Z$147+$AA$147-$Z$139-$AA$139)*(L139)</f>
        <v>60.897693212418119</v>
      </c>
      <c r="AF139" s="3" t="s">
        <v>591</v>
      </c>
    </row>
    <row r="140" spans="1:32" ht="11.25" customHeight="1" x14ac:dyDescent="0.25">
      <c r="A140" s="3" t="s">
        <v>21</v>
      </c>
      <c r="B140" s="3" t="s">
        <v>22</v>
      </c>
      <c r="C140" s="3" t="s">
        <v>23</v>
      </c>
      <c r="D140" s="3" t="s">
        <v>24</v>
      </c>
      <c r="E140" s="3" t="s">
        <v>31</v>
      </c>
      <c r="F140" s="3" t="s">
        <v>25</v>
      </c>
      <c r="G140" s="3" t="s">
        <v>25</v>
      </c>
      <c r="H140" s="3" t="s">
        <v>25</v>
      </c>
      <c r="I140" s="6">
        <v>44531</v>
      </c>
      <c r="J140" s="4">
        <v>0</v>
      </c>
      <c r="K140" s="4">
        <v>0</v>
      </c>
      <c r="L140" s="4">
        <v>1.099</v>
      </c>
      <c r="M140" s="4">
        <v>1.099</v>
      </c>
      <c r="N140" s="4">
        <v>1.099</v>
      </c>
      <c r="O140" s="4">
        <v>1.099</v>
      </c>
      <c r="P140" s="4">
        <v>10</v>
      </c>
      <c r="Q140" s="3" t="s">
        <v>26</v>
      </c>
      <c r="R140" s="3">
        <v>0</v>
      </c>
      <c r="S140" s="3">
        <v>0</v>
      </c>
      <c r="T140" s="3">
        <v>26</v>
      </c>
      <c r="U140" s="3">
        <v>73</v>
      </c>
      <c r="V140" s="4">
        <f>IF(ISERROR(VLOOKUP($S$140,'TAR FIN'!$A$1:$O$86,15,0)),0,VLOOKUP($S$140,'TAR FIN'!$A$1:$O$86,15,0))</f>
        <v>0</v>
      </c>
      <c r="W140" s="4">
        <f>IF(ISERROR(VLOOKUP($T$140,'TAR FIN'!$A$1:$O$86,15,0)),0,VLOOKUP($T$140,'TAR FIN'!$A$1:$O$86,15,0))</f>
        <v>380.8</v>
      </c>
      <c r="X140" s="4">
        <f>IF(ISERROR(VLOOKUP($U$140,'TAR FIN'!$A$1:$O$86,15,0)),0,VLOOKUP($U$140,'TAR FIN'!$A$1:$O$86,15,0))</f>
        <v>190.39</v>
      </c>
      <c r="Y140" s="4"/>
      <c r="Z140" s="4">
        <f ca="1">('TUSD BE'!$AM$23+'TUSD BF'!$AM$23+'TUSD CVA'!$AM$23-('TUSD BE'!$P$23+'TUSD BF'!$P$23+'TUSD CVA'!$P$23)-('TUSD BE'!$Q$23+'TUSD BF'!$Q$23+'TUSD CVA'!$Q$23)-('TUSD BE'!$R$23+'TUSD BF'!$R$23+'TUSD CVA'!$R$23))*(1-CUSTOS!$M$36)</f>
        <v>420.12432239552095</v>
      </c>
      <c r="AA140" s="4">
        <f>('TE BE'!$AB$14+'TE BF'!$AB$14+'TE CVA'!$AB$14)*(1-CUSTOS!$M$36)</f>
        <v>176.91188556936189</v>
      </c>
      <c r="AB140" s="4">
        <f t="shared" si="12"/>
        <v>0</v>
      </c>
      <c r="AC140" s="4">
        <f>(L140-M140)*(W140+X140)+($W$147+$X$147-$W$140-$X$140)*(L140)</f>
        <v>69.742539999999977</v>
      </c>
      <c r="AD140" s="4">
        <f t="shared" si="13"/>
        <v>0</v>
      </c>
      <c r="AE140" s="4">
        <f ca="1">(L140-M140)*(Z140+AA140)+($Z$147+$AA$147-$Z$140-$AA$140)*(L140)</f>
        <v>72.90475472815632</v>
      </c>
      <c r="AF140" s="3" t="s">
        <v>591</v>
      </c>
    </row>
    <row r="141" spans="1:32" ht="11.25" customHeight="1" x14ac:dyDescent="0.25">
      <c r="A141" s="3" t="s">
        <v>21</v>
      </c>
      <c r="B141" s="3" t="s">
        <v>22</v>
      </c>
      <c r="C141" s="3" t="s">
        <v>23</v>
      </c>
      <c r="D141" s="3" t="s">
        <v>24</v>
      </c>
      <c r="E141" s="3" t="s">
        <v>31</v>
      </c>
      <c r="F141" s="3" t="s">
        <v>25</v>
      </c>
      <c r="G141" s="3" t="s">
        <v>25</v>
      </c>
      <c r="H141" s="3" t="s">
        <v>25</v>
      </c>
      <c r="I141" s="6">
        <v>44562</v>
      </c>
      <c r="J141" s="4">
        <v>0</v>
      </c>
      <c r="K141" s="4">
        <v>0</v>
      </c>
      <c r="L141" s="4">
        <v>1.78</v>
      </c>
      <c r="M141" s="4">
        <v>1.78</v>
      </c>
      <c r="N141" s="4">
        <v>1.78</v>
      </c>
      <c r="O141" s="4">
        <v>1.78</v>
      </c>
      <c r="P141" s="4">
        <v>18</v>
      </c>
      <c r="Q141" s="3" t="s">
        <v>26</v>
      </c>
      <c r="R141" s="3">
        <v>0</v>
      </c>
      <c r="S141" s="3">
        <v>0</v>
      </c>
      <c r="T141" s="3">
        <v>26</v>
      </c>
      <c r="U141" s="3">
        <v>73</v>
      </c>
      <c r="V141" s="4">
        <f>IF(ISERROR(VLOOKUP($S$141,'TAR FIN'!$A$1:$O$86,15,0)),0,VLOOKUP($S$141,'TAR FIN'!$A$1:$O$86,15,0))</f>
        <v>0</v>
      </c>
      <c r="W141" s="4">
        <f>IF(ISERROR(VLOOKUP($T$141,'TAR FIN'!$A$1:$O$86,15,0)),0,VLOOKUP($T$141,'TAR FIN'!$A$1:$O$86,15,0))</f>
        <v>380.8</v>
      </c>
      <c r="X141" s="4">
        <f>IF(ISERROR(VLOOKUP($U$141,'TAR FIN'!$A$1:$O$86,15,0)),0,VLOOKUP($U$141,'TAR FIN'!$A$1:$O$86,15,0))</f>
        <v>190.39</v>
      </c>
      <c r="Y141" s="4"/>
      <c r="Z141" s="4">
        <f ca="1">('TUSD BE'!$AM$23+'TUSD BF'!$AM$23+'TUSD CVA'!$AM$23-('TUSD BE'!$P$23+'TUSD BF'!$P$23+'TUSD CVA'!$P$23)-('TUSD BE'!$Q$23+'TUSD BF'!$Q$23+'TUSD CVA'!$Q$23)-('TUSD BE'!$R$23+'TUSD BF'!$R$23+'TUSD CVA'!$R$23))*(1-CUSTOS!$M$36)</f>
        <v>420.12432239552095</v>
      </c>
      <c r="AA141" s="4">
        <f>('TE BE'!$AB$14+'TE BF'!$AB$14+'TE CVA'!$AB$14)*(1-CUSTOS!$M$36)</f>
        <v>176.91188556936189</v>
      </c>
      <c r="AB141" s="4">
        <f t="shared" si="12"/>
        <v>0</v>
      </c>
      <c r="AC141" s="4">
        <f>(L141-M141)*(W141+X141)+($W$147+$X$147-$W$141-$X$141)*(L141)</f>
        <v>112.95879999999997</v>
      </c>
      <c r="AD141" s="4">
        <f t="shared" si="13"/>
        <v>0</v>
      </c>
      <c r="AE141" s="4">
        <f ca="1">(L141-M141)*(Z141+AA141)+($Z$147+$AA$147-$Z$141-$AA$141)*(L141)</f>
        <v>118.08049446416584</v>
      </c>
      <c r="AF141" s="3" t="s">
        <v>591</v>
      </c>
    </row>
    <row r="142" spans="1:32" ht="11.25" customHeight="1" x14ac:dyDescent="0.25">
      <c r="A142" s="3" t="s">
        <v>21</v>
      </c>
      <c r="B142" s="3" t="s">
        <v>22</v>
      </c>
      <c r="C142" s="3" t="s">
        <v>23</v>
      </c>
      <c r="D142" s="3" t="s">
        <v>24</v>
      </c>
      <c r="E142" s="3" t="s">
        <v>31</v>
      </c>
      <c r="F142" s="3" t="s">
        <v>25</v>
      </c>
      <c r="G142" s="3" t="s">
        <v>25</v>
      </c>
      <c r="H142" s="3" t="s">
        <v>25</v>
      </c>
      <c r="I142" s="6">
        <v>44593</v>
      </c>
      <c r="J142" s="4">
        <v>0</v>
      </c>
      <c r="K142" s="4">
        <v>0</v>
      </c>
      <c r="L142" s="4">
        <v>6.9859999999999998</v>
      </c>
      <c r="M142" s="4">
        <v>6.9859999999999998</v>
      </c>
      <c r="N142" s="4">
        <v>6.9859999999999998</v>
      </c>
      <c r="O142" s="4">
        <v>6.9859999999999998</v>
      </c>
      <c r="P142" s="4">
        <v>69</v>
      </c>
      <c r="Q142" s="3" t="s">
        <v>26</v>
      </c>
      <c r="R142" s="3">
        <v>0</v>
      </c>
      <c r="S142" s="3">
        <v>0</v>
      </c>
      <c r="T142" s="3">
        <v>26</v>
      </c>
      <c r="U142" s="3">
        <v>73</v>
      </c>
      <c r="V142" s="4">
        <f>IF(ISERROR(VLOOKUP($S$142,'TAR FIN'!$A$1:$O$86,15,0)),0,VLOOKUP($S$142,'TAR FIN'!$A$1:$O$86,15,0))</f>
        <v>0</v>
      </c>
      <c r="W142" s="4">
        <f>IF(ISERROR(VLOOKUP($T$142,'TAR FIN'!$A$1:$O$86,15,0)),0,VLOOKUP($T$142,'TAR FIN'!$A$1:$O$86,15,0))</f>
        <v>380.8</v>
      </c>
      <c r="X142" s="4">
        <f>IF(ISERROR(VLOOKUP($U$142,'TAR FIN'!$A$1:$O$86,15,0)),0,VLOOKUP($U$142,'TAR FIN'!$A$1:$O$86,15,0))</f>
        <v>190.39</v>
      </c>
      <c r="Y142" s="4"/>
      <c r="Z142" s="4">
        <f ca="1">('TUSD BE'!$AM$23+'TUSD BF'!$AM$23+'TUSD CVA'!$AM$23-('TUSD BE'!$P$23+'TUSD BF'!$P$23+'TUSD CVA'!$P$23)-('TUSD BE'!$Q$23+'TUSD BF'!$Q$23+'TUSD CVA'!$Q$23)-('TUSD BE'!$R$23+'TUSD BF'!$R$23+'TUSD CVA'!$R$23))*(1-CUSTOS!$M$36)</f>
        <v>420.12432239552095</v>
      </c>
      <c r="AA142" s="4">
        <f>('TE BE'!$AB$14+'TE BF'!$AB$14+'TE CVA'!$AB$14)*(1-CUSTOS!$M$36)</f>
        <v>176.91188556936189</v>
      </c>
      <c r="AB142" s="4">
        <f t="shared" si="12"/>
        <v>0</v>
      </c>
      <c r="AC142" s="4">
        <f>(L142-M142)*(W142+X142)+($W$147+$X$147-$W$142-$X$142)*(L142)</f>
        <v>443.33155999999985</v>
      </c>
      <c r="AD142" s="4">
        <f t="shared" si="13"/>
        <v>0</v>
      </c>
      <c r="AE142" s="4">
        <f ca="1">(L142-M142)*(Z142+AA142)+($Z$147+$AA$147-$Z$142-$AA$142)*(L142)</f>
        <v>463.43277209363066</v>
      </c>
      <c r="AF142" s="3" t="s">
        <v>591</v>
      </c>
    </row>
    <row r="143" spans="1:32" ht="11.25" customHeight="1" x14ac:dyDescent="0.25">
      <c r="A143" s="3" t="s">
        <v>21</v>
      </c>
      <c r="B143" s="3" t="s">
        <v>22</v>
      </c>
      <c r="C143" s="3" t="s">
        <v>23</v>
      </c>
      <c r="D143" s="3" t="s">
        <v>24</v>
      </c>
      <c r="E143" s="3" t="s">
        <v>31</v>
      </c>
      <c r="F143" s="3" t="s">
        <v>25</v>
      </c>
      <c r="G143" s="3" t="s">
        <v>25</v>
      </c>
      <c r="H143" s="3" t="s">
        <v>25</v>
      </c>
      <c r="I143" s="6">
        <v>44621</v>
      </c>
      <c r="J143" s="4">
        <v>0</v>
      </c>
      <c r="K143" s="4">
        <v>0</v>
      </c>
      <c r="L143" s="4">
        <v>9.4109999999999996</v>
      </c>
      <c r="M143" s="4">
        <v>9.4109999999999996</v>
      </c>
      <c r="N143" s="4">
        <v>9.4109999999999996</v>
      </c>
      <c r="O143" s="4">
        <v>9.4109999999999996</v>
      </c>
      <c r="P143" s="4">
        <v>98</v>
      </c>
      <c r="Q143" s="3" t="s">
        <v>26</v>
      </c>
      <c r="R143" s="3">
        <v>0</v>
      </c>
      <c r="S143" s="3">
        <v>0</v>
      </c>
      <c r="T143" s="3">
        <v>26</v>
      </c>
      <c r="U143" s="3">
        <v>73</v>
      </c>
      <c r="V143" s="4">
        <f>IF(ISERROR(VLOOKUP($S$143,'TAR FIN'!$A$1:$O$86,15,0)),0,VLOOKUP($S$143,'TAR FIN'!$A$1:$O$86,15,0))</f>
        <v>0</v>
      </c>
      <c r="W143" s="4">
        <f>IF(ISERROR(VLOOKUP($T$143,'TAR FIN'!$A$1:$O$86,15,0)),0,VLOOKUP($T$143,'TAR FIN'!$A$1:$O$86,15,0))</f>
        <v>380.8</v>
      </c>
      <c r="X143" s="4">
        <f>IF(ISERROR(VLOOKUP($U$143,'TAR FIN'!$A$1:$O$86,15,0)),0,VLOOKUP($U$143,'TAR FIN'!$A$1:$O$86,15,0))</f>
        <v>190.39</v>
      </c>
      <c r="Y143" s="4"/>
      <c r="Z143" s="4">
        <f ca="1">('TUSD BE'!$AM$23+'TUSD BF'!$AM$23+'TUSD CVA'!$AM$23-('TUSD BE'!$P$23+'TUSD BF'!$P$23+'TUSD CVA'!$P$23)-('TUSD BE'!$Q$23+'TUSD BF'!$Q$23+'TUSD CVA'!$Q$23)-('TUSD BE'!$R$23+'TUSD BF'!$R$23+'TUSD CVA'!$R$23))*(1-CUSTOS!$M$36)</f>
        <v>420.12432239552095</v>
      </c>
      <c r="AA143" s="4">
        <f>('TE BE'!$AB$14+'TE BF'!$AB$14+'TE CVA'!$AB$14)*(1-CUSTOS!$M$36)</f>
        <v>176.91188556936189</v>
      </c>
      <c r="AB143" s="4">
        <f t="shared" si="12"/>
        <v>0</v>
      </c>
      <c r="AC143" s="4">
        <f>(L143-M143)*(W143+X143)+($W$147+$X$147-$W$143-$X$143)*(L143)</f>
        <v>597.22205999999983</v>
      </c>
      <c r="AD143" s="4">
        <f t="shared" si="13"/>
        <v>0</v>
      </c>
      <c r="AE143" s="4">
        <f ca="1">(L143-M143)*(Z143+AA143)+($Z$147+$AA$147-$Z$143-$AA$143)*(L143)</f>
        <v>624.3008614619464</v>
      </c>
      <c r="AF143" s="3" t="s">
        <v>591</v>
      </c>
    </row>
    <row r="144" spans="1:32" ht="11.25" customHeight="1" x14ac:dyDescent="0.25">
      <c r="A144" s="3" t="s">
        <v>21</v>
      </c>
      <c r="B144" s="3" t="s">
        <v>22</v>
      </c>
      <c r="C144" s="3" t="s">
        <v>23</v>
      </c>
      <c r="D144" s="3" t="s">
        <v>24</v>
      </c>
      <c r="E144" s="3" t="s">
        <v>31</v>
      </c>
      <c r="F144" s="3" t="s">
        <v>25</v>
      </c>
      <c r="G144" s="3" t="s">
        <v>25</v>
      </c>
      <c r="H144" s="3" t="s">
        <v>25</v>
      </c>
      <c r="I144" s="6">
        <v>44652</v>
      </c>
      <c r="J144" s="4">
        <v>0</v>
      </c>
      <c r="K144" s="4">
        <v>0</v>
      </c>
      <c r="L144" s="4">
        <v>9.6950000000000003</v>
      </c>
      <c r="M144" s="4">
        <v>9.6950000000000003</v>
      </c>
      <c r="N144" s="4">
        <v>9.6950000000000003</v>
      </c>
      <c r="O144" s="4">
        <v>9.6950000000000003</v>
      </c>
      <c r="P144" s="4">
        <v>96</v>
      </c>
      <c r="Q144" s="3" t="s">
        <v>26</v>
      </c>
      <c r="R144" s="3">
        <v>0</v>
      </c>
      <c r="S144" s="3">
        <v>0</v>
      </c>
      <c r="T144" s="3">
        <v>26</v>
      </c>
      <c r="U144" s="3">
        <v>73</v>
      </c>
      <c r="V144" s="4">
        <f>IF(ISERROR(VLOOKUP($S$144,'TAR FIN'!$A$1:$O$86,15,0)),0,VLOOKUP($S$144,'TAR FIN'!$A$1:$O$86,15,0))</f>
        <v>0</v>
      </c>
      <c r="W144" s="4">
        <f>IF(ISERROR(VLOOKUP($T$144,'TAR FIN'!$A$1:$O$86,15,0)),0,VLOOKUP($T$144,'TAR FIN'!$A$1:$O$86,15,0))</f>
        <v>380.8</v>
      </c>
      <c r="X144" s="4">
        <f>IF(ISERROR(VLOOKUP($U$144,'TAR FIN'!$A$1:$O$86,15,0)),0,VLOOKUP($U$144,'TAR FIN'!$A$1:$O$86,15,0))</f>
        <v>190.39</v>
      </c>
      <c r="Y144" s="4"/>
      <c r="Z144" s="4">
        <f ca="1">('TUSD BE'!$AM$23+'TUSD BF'!$AM$23+'TUSD CVA'!$AM$23-('TUSD BE'!$P$23+'TUSD BF'!$P$23+'TUSD CVA'!$P$23)-('TUSD BE'!$Q$23+'TUSD BF'!$Q$23+'TUSD CVA'!$Q$23)-('TUSD BE'!$R$23+'TUSD BF'!$R$23+'TUSD CVA'!$R$23))*(1-CUSTOS!$M$36)</f>
        <v>420.12432239552095</v>
      </c>
      <c r="AA144" s="4">
        <f>('TE BE'!$AB$14+'TE BF'!$AB$14+'TE CVA'!$AB$14)*(1-CUSTOS!$M$36)</f>
        <v>176.91188556936189</v>
      </c>
      <c r="AB144" s="4">
        <f t="shared" si="12"/>
        <v>0</v>
      </c>
      <c r="AC144" s="4">
        <f>(L144-M144)*(W144+X144)+($W$147+$X$147-$W$144-$X$144)*(L144)</f>
        <v>615.24469999999985</v>
      </c>
      <c r="AD144" s="4">
        <f t="shared" si="13"/>
        <v>0</v>
      </c>
      <c r="AE144" s="4">
        <f ca="1">(L144-M144)*(Z144+AA144)+($Z$147+$AA$147-$Z$144-$AA$144)*(L144)</f>
        <v>643.14067069106056</v>
      </c>
      <c r="AF144" s="3" t="s">
        <v>591</v>
      </c>
    </row>
    <row r="145" spans="1:32" ht="11.25" customHeight="1" x14ac:dyDescent="0.25">
      <c r="A145" s="3" t="s">
        <v>21</v>
      </c>
      <c r="B145" s="3" t="s">
        <v>22</v>
      </c>
      <c r="C145" s="3" t="s">
        <v>23</v>
      </c>
      <c r="D145" s="3" t="s">
        <v>24</v>
      </c>
      <c r="E145" s="3" t="s">
        <v>31</v>
      </c>
      <c r="F145" s="3" t="s">
        <v>25</v>
      </c>
      <c r="G145" s="3" t="s">
        <v>25</v>
      </c>
      <c r="H145" s="3" t="s">
        <v>25</v>
      </c>
      <c r="I145" s="6">
        <v>44682</v>
      </c>
      <c r="J145" s="4">
        <v>0</v>
      </c>
      <c r="K145" s="4">
        <v>0</v>
      </c>
      <c r="L145" s="4">
        <v>2.5819999999999999</v>
      </c>
      <c r="M145" s="4">
        <v>2.5819999999999999</v>
      </c>
      <c r="N145" s="4">
        <v>2.5819999999999999</v>
      </c>
      <c r="O145" s="4">
        <v>2.5819999999999999</v>
      </c>
      <c r="P145" s="4">
        <v>41</v>
      </c>
      <c r="Q145" s="3" t="s">
        <v>26</v>
      </c>
      <c r="R145" s="3">
        <v>0</v>
      </c>
      <c r="S145" s="3">
        <v>0</v>
      </c>
      <c r="T145" s="3">
        <v>26</v>
      </c>
      <c r="U145" s="3">
        <v>73</v>
      </c>
      <c r="V145" s="4">
        <f>IF(ISERROR(VLOOKUP($S$145,'TAR FIN'!$A$1:$O$86,15,0)),0,VLOOKUP($S$145,'TAR FIN'!$A$1:$O$86,15,0))</f>
        <v>0</v>
      </c>
      <c r="W145" s="4">
        <f>IF(ISERROR(VLOOKUP($T$145,'TAR FIN'!$A$1:$O$86,15,0)),0,VLOOKUP($T$145,'TAR FIN'!$A$1:$O$86,15,0))</f>
        <v>380.8</v>
      </c>
      <c r="X145" s="4">
        <f>IF(ISERROR(VLOOKUP($U$145,'TAR FIN'!$A$1:$O$86,15,0)),0,VLOOKUP($U$145,'TAR FIN'!$A$1:$O$86,15,0))</f>
        <v>190.39</v>
      </c>
      <c r="Y145" s="4"/>
      <c r="Z145" s="4">
        <f ca="1">('TUSD BE'!$AM$23+'TUSD BF'!$AM$23+'TUSD CVA'!$AM$23-('TUSD BE'!$P$23+'TUSD BF'!$P$23+'TUSD CVA'!$P$23)-('TUSD BE'!$Q$23+'TUSD BF'!$Q$23+'TUSD CVA'!$Q$23)-('TUSD BE'!$R$23+'TUSD BF'!$R$23+'TUSD CVA'!$R$23))*(1-CUSTOS!$M$36)</f>
        <v>420.12432239552095</v>
      </c>
      <c r="AA145" s="4">
        <f>('TE BE'!$AB$14+'TE BF'!$AB$14+'TE CVA'!$AB$14)*(1-CUSTOS!$M$36)</f>
        <v>176.91188556936189</v>
      </c>
      <c r="AB145" s="4">
        <f t="shared" si="12"/>
        <v>0</v>
      </c>
      <c r="AC145" s="4">
        <f>(L145-M145)*(W145+X145)+($W$147+$X$147-$W$145-$X$145)*(L145)</f>
        <v>163.85371999999992</v>
      </c>
      <c r="AD145" s="4">
        <f t="shared" si="13"/>
        <v>0</v>
      </c>
      <c r="AE145" s="4">
        <f ca="1">(L145-M145)*(Z145+AA145)+($Z$147+$AA$147-$Z$145-$AA$145)*(L145)</f>
        <v>171.28305432948099</v>
      </c>
      <c r="AF145" s="3" t="s">
        <v>591</v>
      </c>
    </row>
    <row r="146" spans="1:32" ht="11.25" customHeight="1" x14ac:dyDescent="0.25">
      <c r="A146" s="3" t="s">
        <v>21</v>
      </c>
      <c r="B146" s="3" t="s">
        <v>22</v>
      </c>
      <c r="C146" s="3" t="s">
        <v>23</v>
      </c>
      <c r="D146" s="3" t="s">
        <v>24</v>
      </c>
      <c r="E146" s="3" t="s">
        <v>31</v>
      </c>
      <c r="F146" s="3" t="s">
        <v>25</v>
      </c>
      <c r="G146" s="3" t="s">
        <v>25</v>
      </c>
      <c r="H146" s="3" t="s">
        <v>25</v>
      </c>
      <c r="I146" s="6">
        <v>44713</v>
      </c>
      <c r="J146" s="4">
        <v>0</v>
      </c>
      <c r="K146" s="4">
        <v>0</v>
      </c>
      <c r="L146" s="4">
        <v>3.0760000000000001</v>
      </c>
      <c r="M146" s="4">
        <v>3.0760000000000001</v>
      </c>
      <c r="N146" s="4">
        <v>3.0760000000000001</v>
      </c>
      <c r="O146" s="4">
        <v>3.0760000000000001</v>
      </c>
      <c r="P146" s="4">
        <v>39</v>
      </c>
      <c r="Q146" s="3" t="s">
        <v>26</v>
      </c>
      <c r="R146" s="3">
        <v>0</v>
      </c>
      <c r="S146" s="3">
        <v>0</v>
      </c>
      <c r="T146" s="3">
        <v>26</v>
      </c>
      <c r="U146" s="3">
        <v>73</v>
      </c>
      <c r="V146" s="4">
        <f>IF(ISERROR(VLOOKUP($S$146,'TAR FIN'!$A$1:$O$86,15,0)),0,VLOOKUP($S$146,'TAR FIN'!$A$1:$O$86,15,0))</f>
        <v>0</v>
      </c>
      <c r="W146" s="4">
        <f>IF(ISERROR(VLOOKUP($T$146,'TAR FIN'!$A$1:$O$86,15,0)),0,VLOOKUP($T$146,'TAR FIN'!$A$1:$O$86,15,0))</f>
        <v>380.8</v>
      </c>
      <c r="X146" s="4">
        <f>IF(ISERROR(VLOOKUP($U$146,'TAR FIN'!$A$1:$O$86,15,0)),0,VLOOKUP($U$146,'TAR FIN'!$A$1:$O$86,15,0))</f>
        <v>190.39</v>
      </c>
      <c r="Y146" s="4"/>
      <c r="Z146" s="4">
        <f ca="1">('TUSD BE'!$AM$23+'TUSD BF'!$AM$23+'TUSD CVA'!$AM$23-('TUSD BE'!$P$23+'TUSD BF'!$P$23+'TUSD CVA'!$P$23)-('TUSD BE'!$Q$23+'TUSD BF'!$Q$23+'TUSD CVA'!$Q$23)-('TUSD BE'!$R$23+'TUSD BF'!$R$23+'TUSD CVA'!$R$23))*(1-CUSTOS!$M$36)</f>
        <v>420.12432239552095</v>
      </c>
      <c r="AA146" s="4">
        <f>('TE BE'!$AB$14+'TE BF'!$AB$14+'TE CVA'!$AB$14)*(1-CUSTOS!$M$36)</f>
        <v>176.91188556936189</v>
      </c>
      <c r="AB146" s="4">
        <f t="shared" si="12"/>
        <v>0</v>
      </c>
      <c r="AC146" s="4">
        <f>(L146-M146)*(W146+X146)+($W$147+$X$147-$W$146-$X$146)*(L146)</f>
        <v>195.20295999999993</v>
      </c>
      <c r="AD146" s="4">
        <f t="shared" si="13"/>
        <v>0</v>
      </c>
      <c r="AE146" s="4">
        <f ca="1">(L146-M146)*(Z146+AA146)+($Z$147+$AA$147-$Z$146-$AA$146)*(L146)</f>
        <v>204.05370841110906</v>
      </c>
      <c r="AF146" s="3" t="s">
        <v>591</v>
      </c>
    </row>
    <row r="147" spans="1:32" ht="11.25" customHeight="1" x14ac:dyDescent="0.25">
      <c r="A147" s="3" t="s">
        <v>21</v>
      </c>
      <c r="B147" s="3" t="s">
        <v>22</v>
      </c>
      <c r="C147" s="3" t="s">
        <v>23</v>
      </c>
      <c r="D147" s="3" t="s">
        <v>24</v>
      </c>
      <c r="E147" s="3" t="s">
        <v>32</v>
      </c>
      <c r="F147" s="3" t="s">
        <v>25</v>
      </c>
      <c r="G147" s="3" t="s">
        <v>25</v>
      </c>
      <c r="H147" s="3" t="s">
        <v>25</v>
      </c>
      <c r="I147" s="6">
        <v>44378</v>
      </c>
      <c r="J147" s="4">
        <v>0</v>
      </c>
      <c r="K147" s="4">
        <v>0</v>
      </c>
      <c r="L147" s="4">
        <v>0.153</v>
      </c>
      <c r="M147" s="4">
        <v>0.153</v>
      </c>
      <c r="N147" s="4">
        <v>0.153</v>
      </c>
      <c r="O147" s="4">
        <v>0.153</v>
      </c>
      <c r="P147" s="4">
        <v>2</v>
      </c>
      <c r="Q147" s="3" t="s">
        <v>26</v>
      </c>
      <c r="R147" s="3">
        <v>0</v>
      </c>
      <c r="S147" s="3">
        <v>0</v>
      </c>
      <c r="T147" s="3">
        <v>18</v>
      </c>
      <c r="U147" s="3">
        <v>52</v>
      </c>
      <c r="V147" s="4">
        <f>IF(ISERROR(VLOOKUP($S$147,'TAR FIN'!$A$1:$O$86,15,0)),0,VLOOKUP($S$147,'TAR FIN'!$A$1:$O$86,15,0))</f>
        <v>0</v>
      </c>
      <c r="W147" s="4">
        <f>IF(ISERROR(VLOOKUP($T$147,'TAR FIN'!$A$1:$O$86,15,0)),0,VLOOKUP($T$147,'TAR FIN'!$A$1:$O$86,15,0))</f>
        <v>423.11</v>
      </c>
      <c r="X147" s="4">
        <f>IF(ISERROR(VLOOKUP($U$147,'TAR FIN'!$A$1:$O$86,15,0)),0,VLOOKUP($U$147,'TAR FIN'!$A$1:$O$86,15,0))</f>
        <v>211.54</v>
      </c>
      <c r="Y147" s="4"/>
      <c r="Z147" s="4">
        <f ca="1">('TUSD BE'!$AM$24+'TUSD BF'!$AM$24+'TUSD CVA'!$AM$24-('TUSD BE'!$P$24+'TUSD BF'!$P$24+'TUSD CVA'!$P$24)-('TUSD BE'!$Q$24+'TUSD BF'!$Q$24+'TUSD CVA'!$Q$24)-('TUSD BE'!$R$24+'TUSD BF'!$R$24+'TUSD CVA'!$R$24))*(1-CUSTOS!$M$37)</f>
        <v>466.80480266168996</v>
      </c>
      <c r="AA147" s="4">
        <f>('TE BE'!$AB$15+'TE BF'!$AB$15+'TE CVA'!$AB$15)*(1-CUSTOS!$M$37)</f>
        <v>196.56876174373542</v>
      </c>
      <c r="AB147" s="4">
        <f t="shared" si="12"/>
        <v>0</v>
      </c>
      <c r="AC147" s="4">
        <f>(L147-M147)*(W147+X147)+($W$147+$X$147-$W$147-$X$147)*(L147)</f>
        <v>-4.3485215428518131E-15</v>
      </c>
      <c r="AD147" s="4">
        <f t="shared" si="13"/>
        <v>0</v>
      </c>
      <c r="AE147" s="4">
        <f ca="1">(L147-M147)*(Z147+AA147)+($Z$147+$AA$147-$Z$147-$AA$147)*(L147)</f>
        <v>8.6970430857036261E-15</v>
      </c>
      <c r="AF147" s="3" t="s">
        <v>591</v>
      </c>
    </row>
    <row r="148" spans="1:32" ht="11.25" customHeight="1" x14ac:dyDescent="0.25">
      <c r="A148" s="3" t="s">
        <v>21</v>
      </c>
      <c r="B148" s="3" t="s">
        <v>22</v>
      </c>
      <c r="C148" s="3" t="s">
        <v>23</v>
      </c>
      <c r="D148" s="3" t="s">
        <v>24</v>
      </c>
      <c r="E148" s="3" t="s">
        <v>32</v>
      </c>
      <c r="F148" s="3" t="s">
        <v>25</v>
      </c>
      <c r="G148" s="3" t="s">
        <v>25</v>
      </c>
      <c r="H148" s="3" t="s">
        <v>25</v>
      </c>
      <c r="I148" s="6">
        <v>44409</v>
      </c>
      <c r="J148" s="4">
        <v>0</v>
      </c>
      <c r="K148" s="4">
        <v>0</v>
      </c>
      <c r="L148" s="4">
        <v>0.64600000000000002</v>
      </c>
      <c r="M148" s="4">
        <v>0.64600000000000002</v>
      </c>
      <c r="N148" s="4">
        <v>0.64600000000000002</v>
      </c>
      <c r="O148" s="4">
        <v>0.64600000000000002</v>
      </c>
      <c r="P148" s="4">
        <v>4</v>
      </c>
      <c r="Q148" s="3" t="s">
        <v>26</v>
      </c>
      <c r="R148" s="3">
        <v>0</v>
      </c>
      <c r="S148" s="3">
        <v>0</v>
      </c>
      <c r="T148" s="3">
        <v>18</v>
      </c>
      <c r="U148" s="3">
        <v>52</v>
      </c>
      <c r="V148" s="4">
        <f>IF(ISERROR(VLOOKUP($S$148,'TAR FIN'!$A$1:$O$86,15,0)),0,VLOOKUP($S$148,'TAR FIN'!$A$1:$O$86,15,0))</f>
        <v>0</v>
      </c>
      <c r="W148" s="4">
        <f>IF(ISERROR(VLOOKUP($T$148,'TAR FIN'!$A$1:$O$86,15,0)),0,VLOOKUP($T$148,'TAR FIN'!$A$1:$O$86,15,0))</f>
        <v>423.11</v>
      </c>
      <c r="X148" s="4">
        <f>IF(ISERROR(VLOOKUP($U$148,'TAR FIN'!$A$1:$O$86,15,0)),0,VLOOKUP($U$148,'TAR FIN'!$A$1:$O$86,15,0))</f>
        <v>211.54</v>
      </c>
      <c r="Y148" s="4"/>
      <c r="Z148" s="4">
        <f ca="1">('TUSD BE'!$AM$24+'TUSD BF'!$AM$24+'TUSD CVA'!$AM$24-('TUSD BE'!$P$24+'TUSD BF'!$P$24+'TUSD CVA'!$P$24)-('TUSD BE'!$Q$24+'TUSD BF'!$Q$24+'TUSD CVA'!$Q$24)-('TUSD BE'!$R$24+'TUSD BF'!$R$24+'TUSD CVA'!$R$24))*(1-CUSTOS!$M$37)</f>
        <v>466.80480266168996</v>
      </c>
      <c r="AA148" s="4">
        <f>('TE BE'!$AB$15+'TE BF'!$AB$15+'TE CVA'!$AB$15)*(1-CUSTOS!$M$37)</f>
        <v>196.56876174373542</v>
      </c>
      <c r="AB148" s="4">
        <f t="shared" si="12"/>
        <v>0</v>
      </c>
      <c r="AC148" s="4">
        <f>(L148-M148)*(W148+X148)+($W$147+$X$147-$W$148-$X$148)*(L148)</f>
        <v>-1.8360424292040989E-14</v>
      </c>
      <c r="AD148" s="4">
        <f t="shared" si="13"/>
        <v>0</v>
      </c>
      <c r="AE148" s="4">
        <f ca="1">(L148-M148)*(Z148+AA148)+($Z$147+$AA$147-$Z$148-$AA$148)*(L148)</f>
        <v>3.6720848584081979E-14</v>
      </c>
      <c r="AF148" s="3" t="s">
        <v>591</v>
      </c>
    </row>
    <row r="149" spans="1:32" ht="11.25" customHeight="1" x14ac:dyDescent="0.25">
      <c r="A149" s="3" t="s">
        <v>21</v>
      </c>
      <c r="B149" s="3" t="s">
        <v>22</v>
      </c>
      <c r="C149" s="3" t="s">
        <v>23</v>
      </c>
      <c r="D149" s="3" t="s">
        <v>24</v>
      </c>
      <c r="E149" s="3" t="s">
        <v>32</v>
      </c>
      <c r="F149" s="3" t="s">
        <v>25</v>
      </c>
      <c r="G149" s="3" t="s">
        <v>25</v>
      </c>
      <c r="H149" s="3" t="s">
        <v>25</v>
      </c>
      <c r="I149" s="6">
        <v>44440</v>
      </c>
      <c r="J149" s="4">
        <v>0</v>
      </c>
      <c r="K149" s="4">
        <v>0</v>
      </c>
      <c r="L149" s="4">
        <v>0.221</v>
      </c>
      <c r="M149" s="4">
        <v>0.221</v>
      </c>
      <c r="N149" s="4">
        <v>0.221</v>
      </c>
      <c r="O149" s="4">
        <v>0.221</v>
      </c>
      <c r="P149" s="4">
        <v>4</v>
      </c>
      <c r="Q149" s="3" t="s">
        <v>26</v>
      </c>
      <c r="R149" s="3">
        <v>0</v>
      </c>
      <c r="S149" s="3">
        <v>0</v>
      </c>
      <c r="T149" s="3">
        <v>18</v>
      </c>
      <c r="U149" s="3">
        <v>52</v>
      </c>
      <c r="V149" s="4">
        <f>IF(ISERROR(VLOOKUP($S$149,'TAR FIN'!$A$1:$O$86,15,0)),0,VLOOKUP($S$149,'TAR FIN'!$A$1:$O$86,15,0))</f>
        <v>0</v>
      </c>
      <c r="W149" s="4">
        <f>IF(ISERROR(VLOOKUP($T$149,'TAR FIN'!$A$1:$O$86,15,0)),0,VLOOKUP($T$149,'TAR FIN'!$A$1:$O$86,15,0))</f>
        <v>423.11</v>
      </c>
      <c r="X149" s="4">
        <f>IF(ISERROR(VLOOKUP($U$149,'TAR FIN'!$A$1:$O$86,15,0)),0,VLOOKUP($U$149,'TAR FIN'!$A$1:$O$86,15,0))</f>
        <v>211.54</v>
      </c>
      <c r="Y149" s="4"/>
      <c r="Z149" s="4">
        <f ca="1">('TUSD BE'!$AM$24+'TUSD BF'!$AM$24+'TUSD CVA'!$AM$24-('TUSD BE'!$P$24+'TUSD BF'!$P$24+'TUSD CVA'!$P$24)-('TUSD BE'!$Q$24+'TUSD BF'!$Q$24+'TUSD CVA'!$Q$24)-('TUSD BE'!$R$24+'TUSD BF'!$R$24+'TUSD CVA'!$R$24))*(1-CUSTOS!$M$37)</f>
        <v>466.80480266168996</v>
      </c>
      <c r="AA149" s="4">
        <f>('TE BE'!$AB$15+'TE BF'!$AB$15+'TE CVA'!$AB$15)*(1-CUSTOS!$M$37)</f>
        <v>196.56876174373542</v>
      </c>
      <c r="AB149" s="4">
        <f t="shared" si="12"/>
        <v>0</v>
      </c>
      <c r="AC149" s="4">
        <f>(L149-M149)*(W149+X149)+($W$147+$X$147-$W$149-$X$149)*(L149)</f>
        <v>-6.2811977841192857E-15</v>
      </c>
      <c r="AD149" s="4">
        <f t="shared" si="13"/>
        <v>0</v>
      </c>
      <c r="AE149" s="4">
        <f ca="1">(L149-M149)*(Z149+AA149)+($Z$147+$AA$147-$Z$149-$AA$149)*(L149)</f>
        <v>1.2562395568238571E-14</v>
      </c>
      <c r="AF149" s="3" t="s">
        <v>591</v>
      </c>
    </row>
    <row r="150" spans="1:32" ht="11.25" customHeight="1" x14ac:dyDescent="0.25">
      <c r="A150" s="3" t="s">
        <v>21</v>
      </c>
      <c r="B150" s="3" t="s">
        <v>22</v>
      </c>
      <c r="C150" s="3" t="s">
        <v>23</v>
      </c>
      <c r="D150" s="3" t="s">
        <v>24</v>
      </c>
      <c r="E150" s="3" t="s">
        <v>32</v>
      </c>
      <c r="F150" s="3" t="s">
        <v>25</v>
      </c>
      <c r="G150" s="3" t="s">
        <v>25</v>
      </c>
      <c r="H150" s="3" t="s">
        <v>25</v>
      </c>
      <c r="I150" s="6">
        <v>44470</v>
      </c>
      <c r="J150" s="4">
        <v>0</v>
      </c>
      <c r="K150" s="4">
        <v>0</v>
      </c>
      <c r="L150" s="4">
        <v>0.38200000000000001</v>
      </c>
      <c r="M150" s="4">
        <v>0.38200000000000001</v>
      </c>
      <c r="N150" s="4">
        <v>0.38200000000000001</v>
      </c>
      <c r="O150" s="4">
        <v>0.38200000000000001</v>
      </c>
      <c r="P150" s="4">
        <v>5</v>
      </c>
      <c r="Q150" s="3" t="s">
        <v>26</v>
      </c>
      <c r="R150" s="3">
        <v>0</v>
      </c>
      <c r="S150" s="3">
        <v>0</v>
      </c>
      <c r="T150" s="3">
        <v>18</v>
      </c>
      <c r="U150" s="3">
        <v>52</v>
      </c>
      <c r="V150" s="4">
        <f>IF(ISERROR(VLOOKUP($S$150,'TAR FIN'!$A$1:$O$86,15,0)),0,VLOOKUP($S$150,'TAR FIN'!$A$1:$O$86,15,0))</f>
        <v>0</v>
      </c>
      <c r="W150" s="4">
        <f>IF(ISERROR(VLOOKUP($T$150,'TAR FIN'!$A$1:$O$86,15,0)),0,VLOOKUP($T$150,'TAR FIN'!$A$1:$O$86,15,0))</f>
        <v>423.11</v>
      </c>
      <c r="X150" s="4">
        <f>IF(ISERROR(VLOOKUP($U$150,'TAR FIN'!$A$1:$O$86,15,0)),0,VLOOKUP($U$150,'TAR FIN'!$A$1:$O$86,15,0))</f>
        <v>211.54</v>
      </c>
      <c r="Y150" s="4"/>
      <c r="Z150" s="4">
        <f ca="1">('TUSD BE'!$AM$24+'TUSD BF'!$AM$24+'TUSD CVA'!$AM$24-('TUSD BE'!$P$24+'TUSD BF'!$P$24+'TUSD CVA'!$P$24)-('TUSD BE'!$Q$24+'TUSD BF'!$Q$24+'TUSD CVA'!$Q$24)-('TUSD BE'!$R$24+'TUSD BF'!$R$24+'TUSD CVA'!$R$24))*(1-CUSTOS!$M$37)</f>
        <v>466.80480266168996</v>
      </c>
      <c r="AA150" s="4">
        <f>('TE BE'!$AB$15+'TE BF'!$AB$15+'TE CVA'!$AB$15)*(1-CUSTOS!$M$37)</f>
        <v>196.56876174373542</v>
      </c>
      <c r="AB150" s="4">
        <f t="shared" si="12"/>
        <v>0</v>
      </c>
      <c r="AC150" s="4">
        <f>(L150-M150)*(W150+X150)+($W$147+$X$147-$W$150-$X$150)*(L150)</f>
        <v>-1.0857093002414331E-14</v>
      </c>
      <c r="AD150" s="4">
        <f t="shared" si="13"/>
        <v>0</v>
      </c>
      <c r="AE150" s="4">
        <f ca="1">(L150-M150)*(Z150+AA150)+($Z$147+$AA$147-$Z$150-$AA$150)*(L150)</f>
        <v>2.1714186004828662E-14</v>
      </c>
      <c r="AF150" s="3" t="s">
        <v>591</v>
      </c>
    </row>
    <row r="151" spans="1:32" ht="11.25" customHeight="1" x14ac:dyDescent="0.25">
      <c r="A151" s="3" t="s">
        <v>21</v>
      </c>
      <c r="B151" s="3" t="s">
        <v>22</v>
      </c>
      <c r="C151" s="3" t="s">
        <v>23</v>
      </c>
      <c r="D151" s="3" t="s">
        <v>24</v>
      </c>
      <c r="E151" s="3" t="s">
        <v>32</v>
      </c>
      <c r="F151" s="3" t="s">
        <v>25</v>
      </c>
      <c r="G151" s="3" t="s">
        <v>25</v>
      </c>
      <c r="H151" s="3" t="s">
        <v>25</v>
      </c>
      <c r="I151" s="6">
        <v>44501</v>
      </c>
      <c r="J151" s="4">
        <v>0</v>
      </c>
      <c r="K151" s="4">
        <v>0</v>
      </c>
      <c r="L151" s="4">
        <v>0.182</v>
      </c>
      <c r="M151" s="4">
        <v>0.182</v>
      </c>
      <c r="N151" s="4">
        <v>0.182</v>
      </c>
      <c r="O151" s="4">
        <v>0.182</v>
      </c>
      <c r="P151" s="4">
        <v>4</v>
      </c>
      <c r="Q151" s="3" t="s">
        <v>26</v>
      </c>
      <c r="R151" s="3">
        <v>0</v>
      </c>
      <c r="S151" s="3">
        <v>0</v>
      </c>
      <c r="T151" s="3">
        <v>18</v>
      </c>
      <c r="U151" s="3">
        <v>52</v>
      </c>
      <c r="V151" s="4">
        <f>IF(ISERROR(VLOOKUP($S$151,'TAR FIN'!$A$1:$O$86,15,0)),0,VLOOKUP($S$151,'TAR FIN'!$A$1:$O$86,15,0))</f>
        <v>0</v>
      </c>
      <c r="W151" s="4">
        <f>IF(ISERROR(VLOOKUP($T$151,'TAR FIN'!$A$1:$O$86,15,0)),0,VLOOKUP($T$151,'TAR FIN'!$A$1:$O$86,15,0))</f>
        <v>423.11</v>
      </c>
      <c r="X151" s="4">
        <f>IF(ISERROR(VLOOKUP($U$151,'TAR FIN'!$A$1:$O$86,15,0)),0,VLOOKUP($U$151,'TAR FIN'!$A$1:$O$86,15,0))</f>
        <v>211.54</v>
      </c>
      <c r="Y151" s="4"/>
      <c r="Z151" s="4">
        <f ca="1">('TUSD BE'!$AM$24+'TUSD BF'!$AM$24+'TUSD CVA'!$AM$24-('TUSD BE'!$P$24+'TUSD BF'!$P$24+'TUSD CVA'!$P$24)-('TUSD BE'!$Q$24+'TUSD BF'!$Q$24+'TUSD CVA'!$Q$24)-('TUSD BE'!$R$24+'TUSD BF'!$R$24+'TUSD CVA'!$R$24))*(1-CUSTOS!$M$37)</f>
        <v>466.80480266168996</v>
      </c>
      <c r="AA151" s="4">
        <f>('TE BE'!$AB$15+'TE BF'!$AB$15+'TE CVA'!$AB$15)*(1-CUSTOS!$M$37)</f>
        <v>196.56876174373542</v>
      </c>
      <c r="AB151" s="4">
        <f t="shared" si="12"/>
        <v>0</v>
      </c>
      <c r="AC151" s="4">
        <f>(L151-M151)*(W151+X151)+($W$147+$X$147-$W$151-$X$151)*(L151)</f>
        <v>-5.1727511163335292E-15</v>
      </c>
      <c r="AD151" s="4">
        <f t="shared" si="13"/>
        <v>0</v>
      </c>
      <c r="AE151" s="4">
        <f ca="1">(L151-M151)*(Z151+AA151)+($Z$147+$AA$147-$Z$151-$AA$151)*(L151)</f>
        <v>1.0345502232667058E-14</v>
      </c>
      <c r="AF151" s="3" t="s">
        <v>591</v>
      </c>
    </row>
    <row r="152" spans="1:32" ht="11.25" customHeight="1" x14ac:dyDescent="0.25">
      <c r="A152" s="3" t="s">
        <v>21</v>
      </c>
      <c r="B152" s="3" t="s">
        <v>22</v>
      </c>
      <c r="C152" s="3" t="s">
        <v>23</v>
      </c>
      <c r="D152" s="3" t="s">
        <v>24</v>
      </c>
      <c r="E152" s="3" t="s">
        <v>32</v>
      </c>
      <c r="F152" s="3" t="s">
        <v>25</v>
      </c>
      <c r="G152" s="3" t="s">
        <v>25</v>
      </c>
      <c r="H152" s="3" t="s">
        <v>25</v>
      </c>
      <c r="I152" s="6">
        <v>44531</v>
      </c>
      <c r="J152" s="4">
        <v>0</v>
      </c>
      <c r="K152" s="4">
        <v>0</v>
      </c>
      <c r="L152" s="4">
        <v>0.24399999999999999</v>
      </c>
      <c r="M152" s="4">
        <v>0.24399999999999999</v>
      </c>
      <c r="N152" s="4">
        <v>0.24399999999999999</v>
      </c>
      <c r="O152" s="4">
        <v>0.24399999999999999</v>
      </c>
      <c r="P152" s="4">
        <v>4</v>
      </c>
      <c r="Q152" s="3" t="s">
        <v>26</v>
      </c>
      <c r="R152" s="3">
        <v>0</v>
      </c>
      <c r="S152" s="3">
        <v>0</v>
      </c>
      <c r="T152" s="3">
        <v>18</v>
      </c>
      <c r="U152" s="3">
        <v>52</v>
      </c>
      <c r="V152" s="4">
        <f>IF(ISERROR(VLOOKUP($S$152,'TAR FIN'!$A$1:$O$86,15,0)),0,VLOOKUP($S$152,'TAR FIN'!$A$1:$O$86,15,0))</f>
        <v>0</v>
      </c>
      <c r="W152" s="4">
        <f>IF(ISERROR(VLOOKUP($T$152,'TAR FIN'!$A$1:$O$86,15,0)),0,VLOOKUP($T$152,'TAR FIN'!$A$1:$O$86,15,0))</f>
        <v>423.11</v>
      </c>
      <c r="X152" s="4">
        <f>IF(ISERROR(VLOOKUP($U$152,'TAR FIN'!$A$1:$O$86,15,0)),0,VLOOKUP($U$152,'TAR FIN'!$A$1:$O$86,15,0))</f>
        <v>211.54</v>
      </c>
      <c r="Y152" s="4"/>
      <c r="Z152" s="4">
        <f ca="1">('TUSD BE'!$AM$24+'TUSD BF'!$AM$24+'TUSD CVA'!$AM$24-('TUSD BE'!$P$24+'TUSD BF'!$P$24+'TUSD CVA'!$P$24)-('TUSD BE'!$Q$24+'TUSD BF'!$Q$24+'TUSD CVA'!$Q$24)-('TUSD BE'!$R$24+'TUSD BF'!$R$24+'TUSD CVA'!$R$24))*(1-CUSTOS!$M$37)</f>
        <v>466.80480266168996</v>
      </c>
      <c r="AA152" s="4">
        <f>('TE BE'!$AB$15+'TE BF'!$AB$15+'TE CVA'!$AB$15)*(1-CUSTOS!$M$37)</f>
        <v>196.56876174373542</v>
      </c>
      <c r="AB152" s="4">
        <f t="shared" si="12"/>
        <v>0</v>
      </c>
      <c r="AC152" s="4">
        <f>(L152-M152)*(W152+X152)+($W$147+$X$147-$W$152-$X$152)*(L152)</f>
        <v>-6.9348971010185777E-15</v>
      </c>
      <c r="AD152" s="4">
        <f t="shared" si="13"/>
        <v>0</v>
      </c>
      <c r="AE152" s="4">
        <f ca="1">(L152-M152)*(Z152+AA152)+($Z$147+$AA$147-$Z$152-$AA$152)*(L152)</f>
        <v>1.3869794202037155E-14</v>
      </c>
      <c r="AF152" s="3" t="s">
        <v>591</v>
      </c>
    </row>
    <row r="153" spans="1:32" ht="11.25" customHeight="1" x14ac:dyDescent="0.25">
      <c r="A153" s="3" t="s">
        <v>21</v>
      </c>
      <c r="B153" s="3" t="s">
        <v>22</v>
      </c>
      <c r="C153" s="3" t="s">
        <v>23</v>
      </c>
      <c r="D153" s="3" t="s">
        <v>24</v>
      </c>
      <c r="E153" s="3" t="s">
        <v>32</v>
      </c>
      <c r="F153" s="3" t="s">
        <v>25</v>
      </c>
      <c r="G153" s="3" t="s">
        <v>25</v>
      </c>
      <c r="H153" s="3" t="s">
        <v>25</v>
      </c>
      <c r="I153" s="6">
        <v>44562</v>
      </c>
      <c r="J153" s="4">
        <v>0</v>
      </c>
      <c r="K153" s="4">
        <v>0</v>
      </c>
      <c r="L153" s="4">
        <v>0.30199999999999999</v>
      </c>
      <c r="M153" s="4">
        <v>0.30199999999999999</v>
      </c>
      <c r="N153" s="4">
        <v>0.30199999999999999</v>
      </c>
      <c r="O153" s="4">
        <v>0.30199999999999999</v>
      </c>
      <c r="P153" s="4">
        <v>6</v>
      </c>
      <c r="Q153" s="3" t="s">
        <v>26</v>
      </c>
      <c r="R153" s="3">
        <v>0</v>
      </c>
      <c r="S153" s="3">
        <v>0</v>
      </c>
      <c r="T153" s="3">
        <v>18</v>
      </c>
      <c r="U153" s="3">
        <v>52</v>
      </c>
      <c r="V153" s="4">
        <f>IF(ISERROR(VLOOKUP($S$153,'TAR FIN'!$A$1:$O$86,15,0)),0,VLOOKUP($S$153,'TAR FIN'!$A$1:$O$86,15,0))</f>
        <v>0</v>
      </c>
      <c r="W153" s="4">
        <f>IF(ISERROR(VLOOKUP($T$153,'TAR FIN'!$A$1:$O$86,15,0)),0,VLOOKUP($T$153,'TAR FIN'!$A$1:$O$86,15,0))</f>
        <v>423.11</v>
      </c>
      <c r="X153" s="4">
        <f>IF(ISERROR(VLOOKUP($U$153,'TAR FIN'!$A$1:$O$86,15,0)),0,VLOOKUP($U$153,'TAR FIN'!$A$1:$O$86,15,0))</f>
        <v>211.54</v>
      </c>
      <c r="Y153" s="4"/>
      <c r="Z153" s="4">
        <f ca="1">('TUSD BE'!$AM$24+'TUSD BF'!$AM$24+'TUSD CVA'!$AM$24-('TUSD BE'!$P$24+'TUSD BF'!$P$24+'TUSD CVA'!$P$24)-('TUSD BE'!$Q$24+'TUSD BF'!$Q$24+'TUSD CVA'!$Q$24)-('TUSD BE'!$R$24+'TUSD BF'!$R$24+'TUSD CVA'!$R$24))*(1-CUSTOS!$M$37)</f>
        <v>466.80480266168996</v>
      </c>
      <c r="AA153" s="4">
        <f>('TE BE'!$AB$15+'TE BF'!$AB$15+'TE CVA'!$AB$15)*(1-CUSTOS!$M$37)</f>
        <v>196.56876174373542</v>
      </c>
      <c r="AB153" s="4">
        <f t="shared" si="12"/>
        <v>0</v>
      </c>
      <c r="AC153" s="4">
        <f>(L153-M153)*(W153+X153)+($W$147+$X$147-$W$153-$X$153)*(L153)</f>
        <v>-8.58335624798201E-15</v>
      </c>
      <c r="AD153" s="4">
        <f t="shared" si="13"/>
        <v>0</v>
      </c>
      <c r="AE153" s="4">
        <f ca="1">(L153-M153)*(Z153+AA153)+($Z$147+$AA$147-$Z$153-$AA$153)*(L153)</f>
        <v>1.716671249596402E-14</v>
      </c>
      <c r="AF153" s="3" t="s">
        <v>591</v>
      </c>
    </row>
    <row r="154" spans="1:32" ht="11.25" customHeight="1" x14ac:dyDescent="0.25">
      <c r="A154" s="3" t="s">
        <v>21</v>
      </c>
      <c r="B154" s="3" t="s">
        <v>22</v>
      </c>
      <c r="C154" s="3" t="s">
        <v>23</v>
      </c>
      <c r="D154" s="3" t="s">
        <v>24</v>
      </c>
      <c r="E154" s="3" t="s">
        <v>32</v>
      </c>
      <c r="F154" s="3" t="s">
        <v>25</v>
      </c>
      <c r="G154" s="3" t="s">
        <v>25</v>
      </c>
      <c r="H154" s="3" t="s">
        <v>25</v>
      </c>
      <c r="I154" s="6">
        <v>44593</v>
      </c>
      <c r="J154" s="4">
        <v>0</v>
      </c>
      <c r="K154" s="4">
        <v>0</v>
      </c>
      <c r="L154" s="4">
        <v>1.462</v>
      </c>
      <c r="M154" s="4">
        <v>1.462</v>
      </c>
      <c r="N154" s="4">
        <v>1.462</v>
      </c>
      <c r="O154" s="4">
        <v>1.462</v>
      </c>
      <c r="P154" s="4">
        <v>29</v>
      </c>
      <c r="Q154" s="3" t="s">
        <v>26</v>
      </c>
      <c r="R154" s="3">
        <v>0</v>
      </c>
      <c r="S154" s="3">
        <v>0</v>
      </c>
      <c r="T154" s="3">
        <v>18</v>
      </c>
      <c r="U154" s="3">
        <v>52</v>
      </c>
      <c r="V154" s="4">
        <f>IF(ISERROR(VLOOKUP($S$154,'TAR FIN'!$A$1:$O$86,15,0)),0,VLOOKUP($S$154,'TAR FIN'!$A$1:$O$86,15,0))</f>
        <v>0</v>
      </c>
      <c r="W154" s="4">
        <f>IF(ISERROR(VLOOKUP($T$154,'TAR FIN'!$A$1:$O$86,15,0)),0,VLOOKUP($T$154,'TAR FIN'!$A$1:$O$86,15,0))</f>
        <v>423.11</v>
      </c>
      <c r="X154" s="4">
        <f>IF(ISERROR(VLOOKUP($U$154,'TAR FIN'!$A$1:$O$86,15,0)),0,VLOOKUP($U$154,'TAR FIN'!$A$1:$O$86,15,0))</f>
        <v>211.54</v>
      </c>
      <c r="Y154" s="4"/>
      <c r="Z154" s="4">
        <f ca="1">('TUSD BE'!$AM$24+'TUSD BF'!$AM$24+'TUSD CVA'!$AM$24-('TUSD BE'!$P$24+'TUSD BF'!$P$24+'TUSD CVA'!$P$24)-('TUSD BE'!$Q$24+'TUSD BF'!$Q$24+'TUSD CVA'!$Q$24)-('TUSD BE'!$R$24+'TUSD BF'!$R$24+'TUSD CVA'!$R$24))*(1-CUSTOS!$M$37)</f>
        <v>466.80480266168996</v>
      </c>
      <c r="AA154" s="4">
        <f>('TE BE'!$AB$15+'TE BF'!$AB$15+'TE CVA'!$AB$15)*(1-CUSTOS!$M$37)</f>
        <v>196.56876174373542</v>
      </c>
      <c r="AB154" s="4">
        <f t="shared" si="12"/>
        <v>0</v>
      </c>
      <c r="AC154" s="4">
        <f>(L154-M154)*(W154+X154)+($W$147+$X$147-$W$154-$X$154)*(L154)</f>
        <v>-4.1552539187250658E-14</v>
      </c>
      <c r="AD154" s="4">
        <f t="shared" si="13"/>
        <v>0</v>
      </c>
      <c r="AE154" s="4">
        <f ca="1">(L154-M154)*(Z154+AA154)+($Z$147+$AA$147-$Z$154-$AA$154)*(L154)</f>
        <v>8.3105078374501316E-14</v>
      </c>
      <c r="AF154" s="3" t="s">
        <v>591</v>
      </c>
    </row>
    <row r="155" spans="1:32" ht="11.25" customHeight="1" x14ac:dyDescent="0.25">
      <c r="A155" s="3" t="s">
        <v>21</v>
      </c>
      <c r="B155" s="3" t="s">
        <v>22</v>
      </c>
      <c r="C155" s="3" t="s">
        <v>23</v>
      </c>
      <c r="D155" s="3" t="s">
        <v>24</v>
      </c>
      <c r="E155" s="3" t="s">
        <v>32</v>
      </c>
      <c r="F155" s="3" t="s">
        <v>25</v>
      </c>
      <c r="G155" s="3" t="s">
        <v>25</v>
      </c>
      <c r="H155" s="3" t="s">
        <v>25</v>
      </c>
      <c r="I155" s="6">
        <v>44621</v>
      </c>
      <c r="J155" s="4">
        <v>0</v>
      </c>
      <c r="K155" s="4">
        <v>0</v>
      </c>
      <c r="L155" s="4">
        <v>1.6459999999999999</v>
      </c>
      <c r="M155" s="4">
        <v>1.6459999999999999</v>
      </c>
      <c r="N155" s="4">
        <v>1.6459999999999999</v>
      </c>
      <c r="O155" s="4">
        <v>1.6459999999999999</v>
      </c>
      <c r="P155" s="4">
        <v>34</v>
      </c>
      <c r="Q155" s="3" t="s">
        <v>26</v>
      </c>
      <c r="R155" s="3">
        <v>0</v>
      </c>
      <c r="S155" s="3">
        <v>0</v>
      </c>
      <c r="T155" s="3">
        <v>18</v>
      </c>
      <c r="U155" s="3">
        <v>52</v>
      </c>
      <c r="V155" s="4">
        <f>IF(ISERROR(VLOOKUP($S$155,'TAR FIN'!$A$1:$O$86,15,0)),0,VLOOKUP($S$155,'TAR FIN'!$A$1:$O$86,15,0))</f>
        <v>0</v>
      </c>
      <c r="W155" s="4">
        <f>IF(ISERROR(VLOOKUP($T$155,'TAR FIN'!$A$1:$O$86,15,0)),0,VLOOKUP($T$155,'TAR FIN'!$A$1:$O$86,15,0))</f>
        <v>423.11</v>
      </c>
      <c r="X155" s="4">
        <f>IF(ISERROR(VLOOKUP($U$155,'TAR FIN'!$A$1:$O$86,15,0)),0,VLOOKUP($U$155,'TAR FIN'!$A$1:$O$86,15,0))</f>
        <v>211.54</v>
      </c>
      <c r="Y155" s="4"/>
      <c r="Z155" s="4">
        <f ca="1">('TUSD BE'!$AM$24+'TUSD BF'!$AM$24+'TUSD CVA'!$AM$24-('TUSD BE'!$P$24+'TUSD BF'!$P$24+'TUSD CVA'!$P$24)-('TUSD BE'!$Q$24+'TUSD BF'!$Q$24+'TUSD CVA'!$Q$24)-('TUSD BE'!$R$24+'TUSD BF'!$R$24+'TUSD CVA'!$R$24))*(1-CUSTOS!$M$37)</f>
        <v>466.80480266168996</v>
      </c>
      <c r="AA155" s="4">
        <f>('TE BE'!$AB$15+'TE BF'!$AB$15+'TE CVA'!$AB$15)*(1-CUSTOS!$M$37)</f>
        <v>196.56876174373542</v>
      </c>
      <c r="AB155" s="4">
        <f t="shared" si="12"/>
        <v>0</v>
      </c>
      <c r="AC155" s="4">
        <f>(L155-M155)*(W155+X155)+($W$147+$X$147-$W$155-$X$155)*(L155)</f>
        <v>-4.6782133722444994E-14</v>
      </c>
      <c r="AD155" s="4">
        <f t="shared" si="13"/>
        <v>0</v>
      </c>
      <c r="AE155" s="4">
        <f ca="1">(L155-M155)*(Z155+AA155)+($Z$147+$AA$147-$Z$155-$AA$155)*(L155)</f>
        <v>9.3564267444889987E-14</v>
      </c>
      <c r="AF155" s="3" t="s">
        <v>591</v>
      </c>
    </row>
    <row r="156" spans="1:32" ht="11.25" customHeight="1" x14ac:dyDescent="0.25">
      <c r="A156" s="3" t="s">
        <v>21</v>
      </c>
      <c r="B156" s="3" t="s">
        <v>22</v>
      </c>
      <c r="C156" s="3" t="s">
        <v>23</v>
      </c>
      <c r="D156" s="3" t="s">
        <v>24</v>
      </c>
      <c r="E156" s="3" t="s">
        <v>32</v>
      </c>
      <c r="F156" s="3" t="s">
        <v>25</v>
      </c>
      <c r="G156" s="3" t="s">
        <v>25</v>
      </c>
      <c r="H156" s="3" t="s">
        <v>25</v>
      </c>
      <c r="I156" s="6">
        <v>44652</v>
      </c>
      <c r="J156" s="4">
        <v>0</v>
      </c>
      <c r="K156" s="4">
        <v>0</v>
      </c>
      <c r="L156" s="4">
        <v>2.661</v>
      </c>
      <c r="M156" s="4">
        <v>2.661</v>
      </c>
      <c r="N156" s="4">
        <v>2.661</v>
      </c>
      <c r="O156" s="4">
        <v>2.661</v>
      </c>
      <c r="P156" s="4">
        <v>37</v>
      </c>
      <c r="Q156" s="3" t="s">
        <v>26</v>
      </c>
      <c r="R156" s="3">
        <v>0</v>
      </c>
      <c r="S156" s="3">
        <v>0</v>
      </c>
      <c r="T156" s="3">
        <v>18</v>
      </c>
      <c r="U156" s="3">
        <v>52</v>
      </c>
      <c r="V156" s="4">
        <f>IF(ISERROR(VLOOKUP($S$156,'TAR FIN'!$A$1:$O$86,15,0)),0,VLOOKUP($S$156,'TAR FIN'!$A$1:$O$86,15,0))</f>
        <v>0</v>
      </c>
      <c r="W156" s="4">
        <f>IF(ISERROR(VLOOKUP($T$156,'TAR FIN'!$A$1:$O$86,15,0)),0,VLOOKUP($T$156,'TAR FIN'!$A$1:$O$86,15,0))</f>
        <v>423.11</v>
      </c>
      <c r="X156" s="4">
        <f>IF(ISERROR(VLOOKUP($U$156,'TAR FIN'!$A$1:$O$86,15,0)),0,VLOOKUP($U$156,'TAR FIN'!$A$1:$O$86,15,0))</f>
        <v>211.54</v>
      </c>
      <c r="Y156" s="4"/>
      <c r="Z156" s="4">
        <f ca="1">('TUSD BE'!$AM$24+'TUSD BF'!$AM$24+'TUSD CVA'!$AM$24-('TUSD BE'!$P$24+'TUSD BF'!$P$24+'TUSD CVA'!$P$24)-('TUSD BE'!$Q$24+'TUSD BF'!$Q$24+'TUSD CVA'!$Q$24)-('TUSD BE'!$R$24+'TUSD BF'!$R$24+'TUSD CVA'!$R$24))*(1-CUSTOS!$M$37)</f>
        <v>466.80480266168996</v>
      </c>
      <c r="AA156" s="4">
        <f>('TE BE'!$AB$15+'TE BF'!$AB$15+'TE CVA'!$AB$15)*(1-CUSTOS!$M$37)</f>
        <v>196.56876174373542</v>
      </c>
      <c r="AB156" s="4">
        <f t="shared" si="12"/>
        <v>0</v>
      </c>
      <c r="AC156" s="4">
        <f>(L156-M156)*(W156+X156)+($W$147+$X$147-$W$156-$X$156)*(L156)</f>
        <v>-7.5630168794305065E-14</v>
      </c>
      <c r="AD156" s="4">
        <f t="shared" si="13"/>
        <v>0</v>
      </c>
      <c r="AE156" s="4">
        <f ca="1">(L156-M156)*(Z156+AA156)+($Z$147+$AA$147-$Z$156-$AA$156)*(L156)</f>
        <v>1.5126033758861013E-13</v>
      </c>
      <c r="AF156" s="3" t="s">
        <v>591</v>
      </c>
    </row>
    <row r="157" spans="1:32" ht="11.25" customHeight="1" x14ac:dyDescent="0.25">
      <c r="A157" s="3" t="s">
        <v>21</v>
      </c>
      <c r="B157" s="3" t="s">
        <v>22</v>
      </c>
      <c r="C157" s="3" t="s">
        <v>23</v>
      </c>
      <c r="D157" s="3" t="s">
        <v>24</v>
      </c>
      <c r="E157" s="3" t="s">
        <v>32</v>
      </c>
      <c r="F157" s="3" t="s">
        <v>25</v>
      </c>
      <c r="G157" s="3" t="s">
        <v>25</v>
      </c>
      <c r="H157" s="3" t="s">
        <v>25</v>
      </c>
      <c r="I157" s="6">
        <v>44682</v>
      </c>
      <c r="J157" s="4">
        <v>0</v>
      </c>
      <c r="K157" s="4">
        <v>0</v>
      </c>
      <c r="L157" s="4">
        <v>0.85499999999999998</v>
      </c>
      <c r="M157" s="4">
        <v>0.85499999999999998</v>
      </c>
      <c r="N157" s="4">
        <v>0.85499999999999998</v>
      </c>
      <c r="O157" s="4">
        <v>0.85499999999999998</v>
      </c>
      <c r="P157" s="4">
        <v>8</v>
      </c>
      <c r="Q157" s="3" t="s">
        <v>26</v>
      </c>
      <c r="R157" s="3">
        <v>0</v>
      </c>
      <c r="S157" s="3">
        <v>0</v>
      </c>
      <c r="T157" s="3">
        <v>18</v>
      </c>
      <c r="U157" s="3">
        <v>52</v>
      </c>
      <c r="V157" s="4">
        <f>IF(ISERROR(VLOOKUP($S$157,'TAR FIN'!$A$1:$O$86,15,0)),0,VLOOKUP($S$157,'TAR FIN'!$A$1:$O$86,15,0))</f>
        <v>0</v>
      </c>
      <c r="W157" s="4">
        <f>IF(ISERROR(VLOOKUP($T$157,'TAR FIN'!$A$1:$O$86,15,0)),0,VLOOKUP($T$157,'TAR FIN'!$A$1:$O$86,15,0))</f>
        <v>423.11</v>
      </c>
      <c r="X157" s="4">
        <f>IF(ISERROR(VLOOKUP($U$157,'TAR FIN'!$A$1:$O$86,15,0)),0,VLOOKUP($U$157,'TAR FIN'!$A$1:$O$86,15,0))</f>
        <v>211.54</v>
      </c>
      <c r="Y157" s="4"/>
      <c r="Z157" s="4">
        <f ca="1">('TUSD BE'!$AM$24+'TUSD BF'!$AM$24+'TUSD CVA'!$AM$24-('TUSD BE'!$P$24+'TUSD BF'!$P$24+'TUSD CVA'!$P$24)-('TUSD BE'!$Q$24+'TUSD BF'!$Q$24+'TUSD CVA'!$Q$24)-('TUSD BE'!$R$24+'TUSD BF'!$R$24+'TUSD CVA'!$R$24))*(1-CUSTOS!$M$37)</f>
        <v>466.80480266168996</v>
      </c>
      <c r="AA157" s="4">
        <f>('TE BE'!$AB$15+'TE BF'!$AB$15+'TE CVA'!$AB$15)*(1-CUSTOS!$M$37)</f>
        <v>196.56876174373542</v>
      </c>
      <c r="AB157" s="4">
        <f t="shared" si="12"/>
        <v>0</v>
      </c>
      <c r="AC157" s="4">
        <f>(L157-M157)*(W157+X157)+($W$147+$X$147-$W$157-$X$157)*(L157)</f>
        <v>-2.4300561562995426E-14</v>
      </c>
      <c r="AD157" s="4">
        <f t="shared" si="13"/>
        <v>0</v>
      </c>
      <c r="AE157" s="4">
        <f ca="1">(L157-M157)*(Z157+AA157)+($Z$147+$AA$147-$Z$157-$AA$157)*(L157)</f>
        <v>4.8601123125990852E-14</v>
      </c>
      <c r="AF157" s="3" t="s">
        <v>591</v>
      </c>
    </row>
    <row r="158" spans="1:32" ht="11.25" customHeight="1" x14ac:dyDescent="0.25">
      <c r="A158" s="3" t="s">
        <v>21</v>
      </c>
      <c r="B158" s="3" t="s">
        <v>22</v>
      </c>
      <c r="C158" s="3" t="s">
        <v>23</v>
      </c>
      <c r="D158" s="3" t="s">
        <v>24</v>
      </c>
      <c r="E158" s="3" t="s">
        <v>32</v>
      </c>
      <c r="F158" s="3" t="s">
        <v>25</v>
      </c>
      <c r="G158" s="3" t="s">
        <v>25</v>
      </c>
      <c r="H158" s="3" t="s">
        <v>25</v>
      </c>
      <c r="I158" s="6">
        <v>44713</v>
      </c>
      <c r="J158" s="4">
        <v>0</v>
      </c>
      <c r="K158" s="4">
        <v>0</v>
      </c>
      <c r="L158" s="4">
        <v>1.321</v>
      </c>
      <c r="M158" s="4">
        <v>1.321</v>
      </c>
      <c r="N158" s="4">
        <v>1.321</v>
      </c>
      <c r="O158" s="4">
        <v>1.321</v>
      </c>
      <c r="P158" s="4">
        <v>9</v>
      </c>
      <c r="Q158" s="3" t="s">
        <v>26</v>
      </c>
      <c r="R158" s="3">
        <v>0</v>
      </c>
      <c r="S158" s="3">
        <v>0</v>
      </c>
      <c r="T158" s="3">
        <v>18</v>
      </c>
      <c r="U158" s="3">
        <v>52</v>
      </c>
      <c r="V158" s="4">
        <f>IF(ISERROR(VLOOKUP($S$158,'TAR FIN'!$A$1:$O$86,15,0)),0,VLOOKUP($S$158,'TAR FIN'!$A$1:$O$86,15,0))</f>
        <v>0</v>
      </c>
      <c r="W158" s="4">
        <f>IF(ISERROR(VLOOKUP($T$158,'TAR FIN'!$A$1:$O$86,15,0)),0,VLOOKUP($T$158,'TAR FIN'!$A$1:$O$86,15,0))</f>
        <v>423.11</v>
      </c>
      <c r="X158" s="4">
        <f>IF(ISERROR(VLOOKUP($U$158,'TAR FIN'!$A$1:$O$86,15,0)),0,VLOOKUP($U$158,'TAR FIN'!$A$1:$O$86,15,0))</f>
        <v>211.54</v>
      </c>
      <c r="Y158" s="4"/>
      <c r="Z158" s="4">
        <f ca="1">('TUSD BE'!$AM$24+'TUSD BF'!$AM$24+'TUSD CVA'!$AM$24-('TUSD BE'!$P$24+'TUSD BF'!$P$24+'TUSD CVA'!$P$24)-('TUSD BE'!$Q$24+'TUSD BF'!$Q$24+'TUSD CVA'!$Q$24)-('TUSD BE'!$R$24+'TUSD BF'!$R$24+'TUSD CVA'!$R$24))*(1-CUSTOS!$M$37)</f>
        <v>466.80480266168996</v>
      </c>
      <c r="AA158" s="4">
        <f>('TE BE'!$AB$15+'TE BF'!$AB$15+'TE CVA'!$AB$15)*(1-CUSTOS!$M$37)</f>
        <v>196.56876174373542</v>
      </c>
      <c r="AB158" s="4">
        <f t="shared" si="12"/>
        <v>0</v>
      </c>
      <c r="AC158" s="4">
        <f>(L158-M158)*(W158+X158)+($W$147+$X$147-$W$158-$X$158)*(L158)</f>
        <v>-3.7545078157563692E-14</v>
      </c>
      <c r="AD158" s="4">
        <f t="shared" si="13"/>
        <v>0</v>
      </c>
      <c r="AE158" s="4">
        <f ca="1">(L158-M158)*(Z158+AA158)+($Z$147+$AA$147-$Z$158-$AA$158)*(L158)</f>
        <v>7.5090156315127385E-14</v>
      </c>
      <c r="AF158" s="3" t="s">
        <v>591</v>
      </c>
    </row>
    <row r="159" spans="1:32" ht="11.25" customHeight="1" x14ac:dyDescent="0.25">
      <c r="A159" s="3" t="s">
        <v>21</v>
      </c>
      <c r="B159" s="3" t="s">
        <v>41</v>
      </c>
      <c r="C159" s="3" t="s">
        <v>23</v>
      </c>
      <c r="D159" s="3" t="s">
        <v>42</v>
      </c>
      <c r="E159" s="3" t="s">
        <v>49</v>
      </c>
      <c r="F159" s="3" t="s">
        <v>50</v>
      </c>
      <c r="G159" s="3" t="s">
        <v>25</v>
      </c>
      <c r="H159" s="3" t="s">
        <v>25</v>
      </c>
      <c r="I159" s="6">
        <v>44378</v>
      </c>
      <c r="J159" s="4">
        <v>0</v>
      </c>
      <c r="K159" s="4">
        <v>0</v>
      </c>
      <c r="L159" s="4">
        <v>2.1880000000000002</v>
      </c>
      <c r="M159" s="4">
        <v>2.1880000000000002</v>
      </c>
      <c r="N159" s="4">
        <v>2.1880000000000002</v>
      </c>
      <c r="O159" s="4">
        <v>2.1880000000000002</v>
      </c>
      <c r="P159" s="4">
        <v>0</v>
      </c>
      <c r="Q159" s="3" t="s">
        <v>26</v>
      </c>
      <c r="R159" s="3">
        <v>0</v>
      </c>
      <c r="S159" s="3">
        <v>0</v>
      </c>
      <c r="T159" s="3">
        <v>42</v>
      </c>
      <c r="U159" s="3">
        <v>63</v>
      </c>
      <c r="V159" s="4">
        <f>IF(ISERROR(VLOOKUP($S$159,'TAR FIN'!$A$1:$O$86,15,0)),0,VLOOKUP($S$159,'TAR FIN'!$A$1:$O$86,15,0))</f>
        <v>0</v>
      </c>
      <c r="W159" s="4">
        <f>IF(ISERROR(VLOOKUP($T$159,'TAR FIN'!$A$1:$O$86,15,0)),0,VLOOKUP($T$159,'TAR FIN'!$A$1:$O$86,15,0))</f>
        <v>430.35</v>
      </c>
      <c r="X159" s="4">
        <f>IF(ISERROR(VLOOKUP($U$159,'TAR FIN'!$A$1:$O$86,15,0)),0,VLOOKUP($U$159,'TAR FIN'!$A$1:$O$86,15,0))</f>
        <v>186.16</v>
      </c>
      <c r="Y159" s="4"/>
      <c r="Z159" s="4">
        <f ca="1">('TUSD BE'!$AM$33+'TUSD BF'!$AM$33+'TUSD CVA'!$AM$33)*(1-CUSTOS!$M$38)</f>
        <v>536.63434130853489</v>
      </c>
      <c r="AA159" s="4">
        <f>('TE BE'!$AB$24+'TE BF'!$AB$24+'TE CVA'!$AB$24)*(1-CUSTOS!$M$38)</f>
        <v>184.7746360391113</v>
      </c>
      <c r="AB159" s="4">
        <f t="shared" si="12"/>
        <v>0</v>
      </c>
      <c r="AC159" s="4">
        <f>(L159-M159)*(W159+X159)+($W$110+$X$110-$W$159-$X$159)*(L159)</f>
        <v>183.92327999999983</v>
      </c>
      <c r="AD159" s="4">
        <f t="shared" si="13"/>
        <v>0</v>
      </c>
      <c r="AE159" s="4">
        <f ca="1">(L159-M159)*(Z159+AA159)+($Z$110+$AA$110-$Z$159-$AA$159)*(L159)</f>
        <v>100.75167079382875</v>
      </c>
      <c r="AF159" s="3" t="s">
        <v>589</v>
      </c>
    </row>
    <row r="160" spans="1:32" ht="11.25" customHeight="1" x14ac:dyDescent="0.25">
      <c r="A160" s="3" t="s">
        <v>28</v>
      </c>
      <c r="B160" s="3" t="s">
        <v>41</v>
      </c>
      <c r="C160" s="3" t="s">
        <v>23</v>
      </c>
      <c r="D160" s="3" t="s">
        <v>42</v>
      </c>
      <c r="E160" s="3" t="s">
        <v>49</v>
      </c>
      <c r="F160" s="3" t="s">
        <v>50</v>
      </c>
      <c r="G160" s="3" t="s">
        <v>25</v>
      </c>
      <c r="H160" s="3" t="s">
        <v>25</v>
      </c>
      <c r="I160" s="6">
        <v>44378</v>
      </c>
      <c r="J160" s="4">
        <v>0</v>
      </c>
      <c r="K160" s="4">
        <v>0</v>
      </c>
      <c r="L160" s="4">
        <v>0.2</v>
      </c>
      <c r="M160" s="4">
        <v>0.2</v>
      </c>
      <c r="N160" s="4">
        <v>0.2</v>
      </c>
      <c r="O160" s="4">
        <v>0.2</v>
      </c>
      <c r="P160" s="4">
        <v>0</v>
      </c>
      <c r="Q160" s="3" t="s">
        <v>26</v>
      </c>
      <c r="R160" s="3">
        <v>0</v>
      </c>
      <c r="S160" s="3">
        <v>0</v>
      </c>
      <c r="T160" s="3">
        <v>42</v>
      </c>
      <c r="U160" s="3">
        <v>63</v>
      </c>
      <c r="V160" s="4">
        <f>IF(ISERROR(VLOOKUP($S$160,'TAR FIN'!$A$1:$O$86,15,0)),0,VLOOKUP($S$160,'TAR FIN'!$A$1:$O$86,15,0))</f>
        <v>0</v>
      </c>
      <c r="W160" s="4">
        <f>IF(ISERROR(VLOOKUP($T$160,'TAR FIN'!$A$1:$O$86,15,0)),0,VLOOKUP($T$160,'TAR FIN'!$A$1:$O$86,15,0))</f>
        <v>430.35</v>
      </c>
      <c r="X160" s="4">
        <f>IF(ISERROR(VLOOKUP($U$160,'TAR FIN'!$A$1:$O$86,15,0)),0,VLOOKUP($U$160,'TAR FIN'!$A$1:$O$86,15,0))</f>
        <v>186.16</v>
      </c>
      <c r="Y160" s="4"/>
      <c r="Z160" s="4">
        <f ca="1">('TUSD BE'!$AM$33+'TUSD BF'!$AM$33+'TUSD CVA'!$AM$33)*(1-CUSTOS!$M$38)</f>
        <v>536.63434130853489</v>
      </c>
      <c r="AA160" s="4">
        <f>('TE BE'!$AB$24+'TE BF'!$AB$24+'TE CVA'!$AB$24)*(1-CUSTOS!$M$38)</f>
        <v>184.7746360391113</v>
      </c>
      <c r="AB160" s="4">
        <f t="shared" si="12"/>
        <v>0</v>
      </c>
      <c r="AC160" s="4">
        <f>(L160-M160)*(W160+X160)+($W$110+$X$110-$W$160-$X$160)*(L160)</f>
        <v>16.811999999999983</v>
      </c>
      <c r="AD160" s="4">
        <f t="shared" si="13"/>
        <v>0</v>
      </c>
      <c r="AE160" s="4">
        <f ca="1">(L160-M160)*(Z160+AA160)+($Z$110+$AA$110-$Z$160-$AA$160)*(L160)</f>
        <v>9.2094763065656995</v>
      </c>
      <c r="AF160" s="3" t="s">
        <v>589</v>
      </c>
    </row>
    <row r="161" spans="1:32" ht="11.25" customHeight="1" x14ac:dyDescent="0.25">
      <c r="A161" s="3" t="s">
        <v>21</v>
      </c>
      <c r="B161" s="3" t="s">
        <v>41</v>
      </c>
      <c r="C161" s="3" t="s">
        <v>23</v>
      </c>
      <c r="D161" s="3" t="s">
        <v>42</v>
      </c>
      <c r="E161" s="3" t="s">
        <v>49</v>
      </c>
      <c r="F161" s="3" t="s">
        <v>50</v>
      </c>
      <c r="G161" s="3" t="s">
        <v>25</v>
      </c>
      <c r="H161" s="3" t="s">
        <v>25</v>
      </c>
      <c r="I161" s="6">
        <v>44409</v>
      </c>
      <c r="J161" s="4">
        <v>0</v>
      </c>
      <c r="K161" s="4">
        <v>0</v>
      </c>
      <c r="L161" s="4">
        <v>3.657</v>
      </c>
      <c r="M161" s="4">
        <v>3.657</v>
      </c>
      <c r="N161" s="4">
        <v>3.657</v>
      </c>
      <c r="O161" s="4">
        <v>3.657</v>
      </c>
      <c r="P161" s="4">
        <v>0</v>
      </c>
      <c r="Q161" s="3" t="s">
        <v>26</v>
      </c>
      <c r="R161" s="3">
        <v>0</v>
      </c>
      <c r="S161" s="3">
        <v>0</v>
      </c>
      <c r="T161" s="3">
        <v>42</v>
      </c>
      <c r="U161" s="3">
        <v>63</v>
      </c>
      <c r="V161" s="4">
        <f>IF(ISERROR(VLOOKUP($S$161,'TAR FIN'!$A$1:$O$86,15,0)),0,VLOOKUP($S$161,'TAR FIN'!$A$1:$O$86,15,0))</f>
        <v>0</v>
      </c>
      <c r="W161" s="4">
        <f>IF(ISERROR(VLOOKUP($T$161,'TAR FIN'!$A$1:$O$86,15,0)),0,VLOOKUP($T$161,'TAR FIN'!$A$1:$O$86,15,0))</f>
        <v>430.35</v>
      </c>
      <c r="X161" s="4">
        <f>IF(ISERROR(VLOOKUP($U$161,'TAR FIN'!$A$1:$O$86,15,0)),0,VLOOKUP($U$161,'TAR FIN'!$A$1:$O$86,15,0))</f>
        <v>186.16</v>
      </c>
      <c r="Y161" s="4"/>
      <c r="Z161" s="4">
        <f ca="1">('TUSD BE'!$AM$33+'TUSD BF'!$AM$33+'TUSD CVA'!$AM$33)*(1-CUSTOS!$M$38)</f>
        <v>536.63434130853489</v>
      </c>
      <c r="AA161" s="4">
        <f>('TE BE'!$AB$24+'TE BF'!$AB$24+'TE CVA'!$AB$24)*(1-CUSTOS!$M$38)</f>
        <v>184.7746360391113</v>
      </c>
      <c r="AB161" s="4">
        <f t="shared" si="12"/>
        <v>0</v>
      </c>
      <c r="AC161" s="4">
        <f>(L161-M161)*(W161+X161)+($W$110+$X$110-$W$161-$X$161)*(L161)</f>
        <v>307.40741999999972</v>
      </c>
      <c r="AD161" s="4">
        <f t="shared" si="13"/>
        <v>0</v>
      </c>
      <c r="AE161" s="4">
        <f ca="1">(L161-M161)*(Z161+AA161)+($Z$110+$AA$110-$Z$161-$AA$161)*(L161)</f>
        <v>168.39527426555381</v>
      </c>
      <c r="AF161" s="3" t="s">
        <v>589</v>
      </c>
    </row>
    <row r="162" spans="1:32" ht="11.25" customHeight="1" x14ac:dyDescent="0.25">
      <c r="A162" s="3" t="s">
        <v>21</v>
      </c>
      <c r="B162" s="3" t="s">
        <v>41</v>
      </c>
      <c r="C162" s="3" t="s">
        <v>23</v>
      </c>
      <c r="D162" s="3" t="s">
        <v>42</v>
      </c>
      <c r="E162" s="3" t="s">
        <v>49</v>
      </c>
      <c r="F162" s="3" t="s">
        <v>50</v>
      </c>
      <c r="G162" s="3" t="s">
        <v>25</v>
      </c>
      <c r="H162" s="3" t="s">
        <v>25</v>
      </c>
      <c r="I162" s="6">
        <v>44440</v>
      </c>
      <c r="J162" s="4">
        <v>0</v>
      </c>
      <c r="K162" s="4">
        <v>0</v>
      </c>
      <c r="L162" s="4">
        <v>3.3420000000000001</v>
      </c>
      <c r="M162" s="4">
        <v>3.3420000000000001</v>
      </c>
      <c r="N162" s="4">
        <v>3.3420000000000001</v>
      </c>
      <c r="O162" s="4">
        <v>3.3420000000000001</v>
      </c>
      <c r="P162" s="4">
        <v>0</v>
      </c>
      <c r="Q162" s="3" t="s">
        <v>26</v>
      </c>
      <c r="R162" s="3">
        <v>0</v>
      </c>
      <c r="S162" s="3">
        <v>0</v>
      </c>
      <c r="T162" s="3">
        <v>42</v>
      </c>
      <c r="U162" s="3">
        <v>63</v>
      </c>
      <c r="V162" s="4">
        <f>IF(ISERROR(VLOOKUP($S$162,'TAR FIN'!$A$1:$O$86,15,0)),0,VLOOKUP($S$162,'TAR FIN'!$A$1:$O$86,15,0))</f>
        <v>0</v>
      </c>
      <c r="W162" s="4">
        <f>IF(ISERROR(VLOOKUP($T$162,'TAR FIN'!$A$1:$O$86,15,0)),0,VLOOKUP($T$162,'TAR FIN'!$A$1:$O$86,15,0))</f>
        <v>430.35</v>
      </c>
      <c r="X162" s="4">
        <f>IF(ISERROR(VLOOKUP($U$162,'TAR FIN'!$A$1:$O$86,15,0)),0,VLOOKUP($U$162,'TAR FIN'!$A$1:$O$86,15,0))</f>
        <v>186.16</v>
      </c>
      <c r="Y162" s="4"/>
      <c r="Z162" s="4">
        <f ca="1">('TUSD BE'!$AM$33+'TUSD BF'!$AM$33+'TUSD CVA'!$AM$33)*(1-CUSTOS!$M$38)</f>
        <v>536.63434130853489</v>
      </c>
      <c r="AA162" s="4">
        <f>('TE BE'!$AB$24+'TE BF'!$AB$24+'TE CVA'!$AB$24)*(1-CUSTOS!$M$38)</f>
        <v>184.7746360391113</v>
      </c>
      <c r="AB162" s="4">
        <f t="shared" si="12"/>
        <v>0</v>
      </c>
      <c r="AC162" s="4">
        <f>(L162-M162)*(W162+X162)+($W$110+$X$110-$W$162-$X$162)*(L162)</f>
        <v>280.92851999999971</v>
      </c>
      <c r="AD162" s="4">
        <f t="shared" si="13"/>
        <v>0</v>
      </c>
      <c r="AE162" s="4">
        <f ca="1">(L162-M162)*(Z162+AA162)+($Z$110+$AA$110-$Z$162-$AA$162)*(L162)</f>
        <v>153.89034908271285</v>
      </c>
      <c r="AF162" s="3" t="s">
        <v>589</v>
      </c>
    </row>
    <row r="163" spans="1:32" ht="11.25" customHeight="1" x14ac:dyDescent="0.25">
      <c r="A163" s="3" t="s">
        <v>28</v>
      </c>
      <c r="B163" s="3" t="s">
        <v>41</v>
      </c>
      <c r="C163" s="3" t="s">
        <v>23</v>
      </c>
      <c r="D163" s="3" t="s">
        <v>42</v>
      </c>
      <c r="E163" s="3" t="s">
        <v>49</v>
      </c>
      <c r="F163" s="3" t="s">
        <v>50</v>
      </c>
      <c r="G163" s="3" t="s">
        <v>25</v>
      </c>
      <c r="H163" s="3" t="s">
        <v>25</v>
      </c>
      <c r="I163" s="6">
        <v>44440</v>
      </c>
      <c r="J163" s="4">
        <v>0</v>
      </c>
      <c r="K163" s="4">
        <v>0</v>
      </c>
      <c r="L163" s="4">
        <v>0.25</v>
      </c>
      <c r="M163" s="4">
        <v>0.25</v>
      </c>
      <c r="N163" s="4">
        <v>0.25</v>
      </c>
      <c r="O163" s="4">
        <v>0.25</v>
      </c>
      <c r="P163" s="4">
        <v>0</v>
      </c>
      <c r="Q163" s="3" t="s">
        <v>26</v>
      </c>
      <c r="R163" s="3">
        <v>0</v>
      </c>
      <c r="S163" s="3">
        <v>0</v>
      </c>
      <c r="T163" s="3">
        <v>42</v>
      </c>
      <c r="U163" s="3">
        <v>63</v>
      </c>
      <c r="V163" s="4">
        <f>IF(ISERROR(VLOOKUP($S$163,'TAR FIN'!$A$1:$O$86,15,0)),0,VLOOKUP($S$163,'TAR FIN'!$A$1:$O$86,15,0))</f>
        <v>0</v>
      </c>
      <c r="W163" s="4">
        <f>IF(ISERROR(VLOOKUP($T$163,'TAR FIN'!$A$1:$O$86,15,0)),0,VLOOKUP($T$163,'TAR FIN'!$A$1:$O$86,15,0))</f>
        <v>430.35</v>
      </c>
      <c r="X163" s="4">
        <f>IF(ISERROR(VLOOKUP($U$163,'TAR FIN'!$A$1:$O$86,15,0)),0,VLOOKUP($U$163,'TAR FIN'!$A$1:$O$86,15,0))</f>
        <v>186.16</v>
      </c>
      <c r="Y163" s="4"/>
      <c r="Z163" s="4">
        <f ca="1">('TUSD BE'!$AM$33+'TUSD BF'!$AM$33+'TUSD CVA'!$AM$33)*(1-CUSTOS!$M$38)</f>
        <v>536.63434130853489</v>
      </c>
      <c r="AA163" s="4">
        <f>('TE BE'!$AB$24+'TE BF'!$AB$24+'TE CVA'!$AB$24)*(1-CUSTOS!$M$38)</f>
        <v>184.7746360391113</v>
      </c>
      <c r="AB163" s="4">
        <f t="shared" si="12"/>
        <v>0</v>
      </c>
      <c r="AC163" s="4">
        <f>(L163-M163)*(W163+X163)+($W$110+$X$110-$W$163-$X$163)*(L163)</f>
        <v>21.014999999999979</v>
      </c>
      <c r="AD163" s="4">
        <f t="shared" si="13"/>
        <v>0</v>
      </c>
      <c r="AE163" s="4">
        <f ca="1">(L163-M163)*(Z163+AA163)+($Z$110+$AA$110-$Z$163-$AA$163)*(L163)</f>
        <v>11.511845383207124</v>
      </c>
      <c r="AF163" s="3" t="s">
        <v>589</v>
      </c>
    </row>
    <row r="164" spans="1:32" ht="11.25" customHeight="1" x14ac:dyDescent="0.25">
      <c r="A164" s="3" t="s">
        <v>21</v>
      </c>
      <c r="B164" s="3" t="s">
        <v>41</v>
      </c>
      <c r="C164" s="3" t="s">
        <v>23</v>
      </c>
      <c r="D164" s="3" t="s">
        <v>42</v>
      </c>
      <c r="E164" s="3" t="s">
        <v>49</v>
      </c>
      <c r="F164" s="3" t="s">
        <v>50</v>
      </c>
      <c r="G164" s="3" t="s">
        <v>25</v>
      </c>
      <c r="H164" s="3" t="s">
        <v>25</v>
      </c>
      <c r="I164" s="6">
        <v>44470</v>
      </c>
      <c r="J164" s="4">
        <v>0</v>
      </c>
      <c r="K164" s="4">
        <v>0</v>
      </c>
      <c r="L164" s="4">
        <v>1.994</v>
      </c>
      <c r="M164" s="4">
        <v>1.994</v>
      </c>
      <c r="N164" s="4">
        <v>1.994</v>
      </c>
      <c r="O164" s="4">
        <v>1.994</v>
      </c>
      <c r="P164" s="4">
        <v>0</v>
      </c>
      <c r="Q164" s="3" t="s">
        <v>26</v>
      </c>
      <c r="R164" s="3">
        <v>0</v>
      </c>
      <c r="S164" s="3">
        <v>0</v>
      </c>
      <c r="T164" s="3">
        <v>42</v>
      </c>
      <c r="U164" s="3">
        <v>63</v>
      </c>
      <c r="V164" s="4">
        <f>IF(ISERROR(VLOOKUP($S$164,'TAR FIN'!$A$1:$O$86,15,0)),0,VLOOKUP($S$164,'TAR FIN'!$A$1:$O$86,15,0))</f>
        <v>0</v>
      </c>
      <c r="W164" s="4">
        <f>IF(ISERROR(VLOOKUP($T$164,'TAR FIN'!$A$1:$O$86,15,0)),0,VLOOKUP($T$164,'TAR FIN'!$A$1:$O$86,15,0))</f>
        <v>430.35</v>
      </c>
      <c r="X164" s="4">
        <f>IF(ISERROR(VLOOKUP($U$164,'TAR FIN'!$A$1:$O$86,15,0)),0,VLOOKUP($U$164,'TAR FIN'!$A$1:$O$86,15,0))</f>
        <v>186.16</v>
      </c>
      <c r="Y164" s="4"/>
      <c r="Z164" s="4">
        <f ca="1">('TUSD BE'!$AM$33+'TUSD BF'!$AM$33+'TUSD CVA'!$AM$33)*(1-CUSTOS!$M$38)</f>
        <v>536.63434130853489</v>
      </c>
      <c r="AA164" s="4">
        <f>('TE BE'!$AB$24+'TE BF'!$AB$24+'TE CVA'!$AB$24)*(1-CUSTOS!$M$38)</f>
        <v>184.7746360391113</v>
      </c>
      <c r="AB164" s="4">
        <f t="shared" si="12"/>
        <v>0</v>
      </c>
      <c r="AC164" s="4">
        <f>(L164-M164)*(W164+X164)+($W$110+$X$110-$W$164-$X$164)*(L164)</f>
        <v>167.61563999999984</v>
      </c>
      <c r="AD164" s="4">
        <f t="shared" si="13"/>
        <v>0</v>
      </c>
      <c r="AE164" s="4">
        <f ca="1">(L164-M164)*(Z164+AA164)+($Z$110+$AA$110-$Z$164-$AA$164)*(L164)</f>
        <v>91.818478776460026</v>
      </c>
      <c r="AF164" s="3" t="s">
        <v>589</v>
      </c>
    </row>
    <row r="165" spans="1:32" ht="11.25" customHeight="1" x14ac:dyDescent="0.25">
      <c r="A165" s="3" t="s">
        <v>28</v>
      </c>
      <c r="B165" s="3" t="s">
        <v>41</v>
      </c>
      <c r="C165" s="3" t="s">
        <v>23</v>
      </c>
      <c r="D165" s="3" t="s">
        <v>42</v>
      </c>
      <c r="E165" s="3" t="s">
        <v>49</v>
      </c>
      <c r="F165" s="3" t="s">
        <v>50</v>
      </c>
      <c r="G165" s="3" t="s">
        <v>25</v>
      </c>
      <c r="H165" s="3" t="s">
        <v>25</v>
      </c>
      <c r="I165" s="6">
        <v>44470</v>
      </c>
      <c r="J165" s="4">
        <v>0</v>
      </c>
      <c r="K165" s="4">
        <v>0</v>
      </c>
      <c r="L165" s="4">
        <v>0.439</v>
      </c>
      <c r="M165" s="4">
        <v>0.439</v>
      </c>
      <c r="N165" s="4">
        <v>0.439</v>
      </c>
      <c r="O165" s="4">
        <v>0.439</v>
      </c>
      <c r="P165" s="4">
        <v>0</v>
      </c>
      <c r="Q165" s="3" t="s">
        <v>26</v>
      </c>
      <c r="R165" s="3">
        <v>0</v>
      </c>
      <c r="S165" s="3">
        <v>0</v>
      </c>
      <c r="T165" s="3">
        <v>42</v>
      </c>
      <c r="U165" s="3">
        <v>63</v>
      </c>
      <c r="V165" s="4">
        <f>IF(ISERROR(VLOOKUP($S$165,'TAR FIN'!$A$1:$O$86,15,0)),0,VLOOKUP($S$165,'TAR FIN'!$A$1:$O$86,15,0))</f>
        <v>0</v>
      </c>
      <c r="W165" s="4">
        <f>IF(ISERROR(VLOOKUP($T$165,'TAR FIN'!$A$1:$O$86,15,0)),0,VLOOKUP($T$165,'TAR FIN'!$A$1:$O$86,15,0))</f>
        <v>430.35</v>
      </c>
      <c r="X165" s="4">
        <f>IF(ISERROR(VLOOKUP($U$165,'TAR FIN'!$A$1:$O$86,15,0)),0,VLOOKUP($U$165,'TAR FIN'!$A$1:$O$86,15,0))</f>
        <v>186.16</v>
      </c>
      <c r="Y165" s="4"/>
      <c r="Z165" s="4">
        <f ca="1">('TUSD BE'!$AM$33+'TUSD BF'!$AM$33+'TUSD CVA'!$AM$33)*(1-CUSTOS!$M$38)</f>
        <v>536.63434130853489</v>
      </c>
      <c r="AA165" s="4">
        <f>('TE BE'!$AB$24+'TE BF'!$AB$24+'TE CVA'!$AB$24)*(1-CUSTOS!$M$38)</f>
        <v>184.7746360391113</v>
      </c>
      <c r="AB165" s="4">
        <f t="shared" si="12"/>
        <v>0</v>
      </c>
      <c r="AC165" s="4">
        <f>(L165-M165)*(W165+X165)+($W$110+$X$110-$W$165-$X$165)*(L165)</f>
        <v>36.902339999999967</v>
      </c>
      <c r="AD165" s="4">
        <f t="shared" si="13"/>
        <v>0</v>
      </c>
      <c r="AE165" s="4">
        <f ca="1">(L165-M165)*(Z165+AA165)+($Z$110+$AA$110-$Z$165-$AA$165)*(L165)</f>
        <v>20.21480049291171</v>
      </c>
      <c r="AF165" s="3" t="s">
        <v>589</v>
      </c>
    </row>
    <row r="166" spans="1:32" ht="11.25" customHeight="1" x14ac:dyDescent="0.25">
      <c r="A166" s="3" t="s">
        <v>21</v>
      </c>
      <c r="B166" s="3" t="s">
        <v>41</v>
      </c>
      <c r="C166" s="3" t="s">
        <v>23</v>
      </c>
      <c r="D166" s="3" t="s">
        <v>42</v>
      </c>
      <c r="E166" s="3" t="s">
        <v>49</v>
      </c>
      <c r="F166" s="3" t="s">
        <v>50</v>
      </c>
      <c r="G166" s="3" t="s">
        <v>25</v>
      </c>
      <c r="H166" s="3" t="s">
        <v>25</v>
      </c>
      <c r="I166" s="6">
        <v>44501</v>
      </c>
      <c r="J166" s="4">
        <v>0</v>
      </c>
      <c r="K166" s="4">
        <v>0</v>
      </c>
      <c r="L166" s="4">
        <v>21.58</v>
      </c>
      <c r="M166" s="4">
        <v>21.58</v>
      </c>
      <c r="N166" s="4">
        <v>21.58</v>
      </c>
      <c r="O166" s="4">
        <v>21.58</v>
      </c>
      <c r="P166" s="4">
        <v>0</v>
      </c>
      <c r="Q166" s="3" t="s">
        <v>26</v>
      </c>
      <c r="R166" s="3">
        <v>0</v>
      </c>
      <c r="S166" s="3">
        <v>0</v>
      </c>
      <c r="T166" s="3">
        <v>42</v>
      </c>
      <c r="U166" s="3">
        <v>63</v>
      </c>
      <c r="V166" s="4">
        <f>IF(ISERROR(VLOOKUP($S$166,'TAR FIN'!$A$1:$O$86,15,0)),0,VLOOKUP($S$166,'TAR FIN'!$A$1:$O$86,15,0))</f>
        <v>0</v>
      </c>
      <c r="W166" s="4">
        <f>IF(ISERROR(VLOOKUP($T$166,'TAR FIN'!$A$1:$O$86,15,0)),0,VLOOKUP($T$166,'TAR FIN'!$A$1:$O$86,15,0))</f>
        <v>430.35</v>
      </c>
      <c r="X166" s="4">
        <f>IF(ISERROR(VLOOKUP($U$166,'TAR FIN'!$A$1:$O$86,15,0)),0,VLOOKUP($U$166,'TAR FIN'!$A$1:$O$86,15,0))</f>
        <v>186.16</v>
      </c>
      <c r="Y166" s="4"/>
      <c r="Z166" s="4">
        <f ca="1">('TUSD BE'!$AM$33+'TUSD BF'!$AM$33+'TUSD CVA'!$AM$33)*(1-CUSTOS!$M$38)</f>
        <v>536.63434130853489</v>
      </c>
      <c r="AA166" s="4">
        <f>('TE BE'!$AB$24+'TE BF'!$AB$24+'TE CVA'!$AB$24)*(1-CUSTOS!$M$38)</f>
        <v>184.7746360391113</v>
      </c>
      <c r="AB166" s="4">
        <f t="shared" si="12"/>
        <v>0</v>
      </c>
      <c r="AC166" s="4">
        <f>(L166-M166)*(W166+X166)+($W$110+$X$110-$W$166-$X$166)*(L166)</f>
        <v>1814.0147999999981</v>
      </c>
      <c r="AD166" s="4">
        <f t="shared" si="13"/>
        <v>0</v>
      </c>
      <c r="AE166" s="4">
        <f ca="1">(L166-M166)*(Z166+AA166)+($Z$110+$AA$110-$Z$166-$AA$166)*(L166)</f>
        <v>993.7024934784389</v>
      </c>
      <c r="AF166" s="3" t="s">
        <v>589</v>
      </c>
    </row>
    <row r="167" spans="1:32" ht="11.25" customHeight="1" x14ac:dyDescent="0.25">
      <c r="A167" s="3" t="s">
        <v>28</v>
      </c>
      <c r="B167" s="3" t="s">
        <v>41</v>
      </c>
      <c r="C167" s="3" t="s">
        <v>23</v>
      </c>
      <c r="D167" s="3" t="s">
        <v>42</v>
      </c>
      <c r="E167" s="3" t="s">
        <v>49</v>
      </c>
      <c r="F167" s="3" t="s">
        <v>50</v>
      </c>
      <c r="G167" s="3" t="s">
        <v>25</v>
      </c>
      <c r="H167" s="3" t="s">
        <v>25</v>
      </c>
      <c r="I167" s="6">
        <v>44501</v>
      </c>
      <c r="J167" s="4">
        <v>0</v>
      </c>
      <c r="K167" s="4">
        <v>0</v>
      </c>
      <c r="L167" s="4">
        <v>0.77</v>
      </c>
      <c r="M167" s="4">
        <v>0.77</v>
      </c>
      <c r="N167" s="4">
        <v>0.77</v>
      </c>
      <c r="O167" s="4">
        <v>0.77</v>
      </c>
      <c r="P167" s="4">
        <v>0</v>
      </c>
      <c r="Q167" s="3" t="s">
        <v>26</v>
      </c>
      <c r="R167" s="3">
        <v>0</v>
      </c>
      <c r="S167" s="3">
        <v>0</v>
      </c>
      <c r="T167" s="3">
        <v>42</v>
      </c>
      <c r="U167" s="3">
        <v>63</v>
      </c>
      <c r="V167" s="4">
        <f>IF(ISERROR(VLOOKUP($S$167,'TAR FIN'!$A$1:$O$86,15,0)),0,VLOOKUP($S$167,'TAR FIN'!$A$1:$O$86,15,0))</f>
        <v>0</v>
      </c>
      <c r="W167" s="4">
        <f>IF(ISERROR(VLOOKUP($T$167,'TAR FIN'!$A$1:$O$86,15,0)),0,VLOOKUP($T$167,'TAR FIN'!$A$1:$O$86,15,0))</f>
        <v>430.35</v>
      </c>
      <c r="X167" s="4">
        <f>IF(ISERROR(VLOOKUP($U$167,'TAR FIN'!$A$1:$O$86,15,0)),0,VLOOKUP($U$167,'TAR FIN'!$A$1:$O$86,15,0))</f>
        <v>186.16</v>
      </c>
      <c r="Y167" s="4"/>
      <c r="Z167" s="4">
        <f ca="1">('TUSD BE'!$AM$33+'TUSD BF'!$AM$33+'TUSD CVA'!$AM$33)*(1-CUSTOS!$M$38)</f>
        <v>536.63434130853489</v>
      </c>
      <c r="AA167" s="4">
        <f>('TE BE'!$AB$24+'TE BF'!$AB$24+'TE CVA'!$AB$24)*(1-CUSTOS!$M$38)</f>
        <v>184.7746360391113</v>
      </c>
      <c r="AB167" s="4">
        <f t="shared" si="12"/>
        <v>0</v>
      </c>
      <c r="AC167" s="4">
        <f>(L167-M167)*(W167+X167)+($W$110+$X$110-$W$167-$X$167)*(L167)</f>
        <v>64.726199999999935</v>
      </c>
      <c r="AD167" s="4">
        <f t="shared" si="13"/>
        <v>0</v>
      </c>
      <c r="AE167" s="4">
        <f ca="1">(L167-M167)*(Z167+AA167)+($Z$110+$AA$110-$Z$167-$AA$167)*(L167)</f>
        <v>35.456483780277942</v>
      </c>
      <c r="AF167" s="3" t="s">
        <v>589</v>
      </c>
    </row>
    <row r="168" spans="1:32" ht="11.25" customHeight="1" x14ac:dyDescent="0.25">
      <c r="A168" s="3" t="s">
        <v>21</v>
      </c>
      <c r="B168" s="3" t="s">
        <v>41</v>
      </c>
      <c r="C168" s="3" t="s">
        <v>23</v>
      </c>
      <c r="D168" s="3" t="s">
        <v>42</v>
      </c>
      <c r="E168" s="3" t="s">
        <v>49</v>
      </c>
      <c r="F168" s="3" t="s">
        <v>50</v>
      </c>
      <c r="G168" s="3" t="s">
        <v>25</v>
      </c>
      <c r="H168" s="3" t="s">
        <v>25</v>
      </c>
      <c r="I168" s="6">
        <v>44531</v>
      </c>
      <c r="J168" s="4">
        <v>0</v>
      </c>
      <c r="K168" s="4">
        <v>0</v>
      </c>
      <c r="L168" s="4">
        <v>54.412999999999997</v>
      </c>
      <c r="M168" s="4">
        <v>54.412999999999997</v>
      </c>
      <c r="N168" s="4">
        <v>54.412999999999997</v>
      </c>
      <c r="O168" s="4">
        <v>54.412999999999997</v>
      </c>
      <c r="P168" s="4">
        <v>0</v>
      </c>
      <c r="Q168" s="3" t="s">
        <v>26</v>
      </c>
      <c r="R168" s="3">
        <v>0</v>
      </c>
      <c r="S168" s="3">
        <v>0</v>
      </c>
      <c r="T168" s="3">
        <v>42</v>
      </c>
      <c r="U168" s="3">
        <v>63</v>
      </c>
      <c r="V168" s="4">
        <f>IF(ISERROR(VLOOKUP($S$168,'TAR FIN'!$A$1:$O$86,15,0)),0,VLOOKUP($S$168,'TAR FIN'!$A$1:$O$86,15,0))</f>
        <v>0</v>
      </c>
      <c r="W168" s="4">
        <f>IF(ISERROR(VLOOKUP($T$168,'TAR FIN'!$A$1:$O$86,15,0)),0,VLOOKUP($T$168,'TAR FIN'!$A$1:$O$86,15,0))</f>
        <v>430.35</v>
      </c>
      <c r="X168" s="4">
        <f>IF(ISERROR(VLOOKUP($U$168,'TAR FIN'!$A$1:$O$86,15,0)),0,VLOOKUP($U$168,'TAR FIN'!$A$1:$O$86,15,0))</f>
        <v>186.16</v>
      </c>
      <c r="Y168" s="4"/>
      <c r="Z168" s="4">
        <f ca="1">('TUSD BE'!$AM$33+'TUSD BF'!$AM$33+'TUSD CVA'!$AM$33)*(1-CUSTOS!$M$38)</f>
        <v>536.63434130853489</v>
      </c>
      <c r="AA168" s="4">
        <f>('TE BE'!$AB$24+'TE BF'!$AB$24+'TE CVA'!$AB$24)*(1-CUSTOS!$M$38)</f>
        <v>184.7746360391113</v>
      </c>
      <c r="AB168" s="4">
        <f t="shared" si="12"/>
        <v>0</v>
      </c>
      <c r="AC168" s="4">
        <f>(L168-M168)*(W168+X168)+($W$110+$X$110-$W$168-$X$168)*(L168)</f>
        <v>4573.956779999995</v>
      </c>
      <c r="AD168" s="4">
        <f t="shared" si="13"/>
        <v>0</v>
      </c>
      <c r="AE168" s="4">
        <f ca="1">(L168-M168)*(Z168+AA168)+($Z$110+$AA$110-$Z$168-$AA$168)*(L168)</f>
        <v>2505.5761713457969</v>
      </c>
      <c r="AF168" s="3" t="s">
        <v>589</v>
      </c>
    </row>
    <row r="169" spans="1:32" ht="11.25" customHeight="1" x14ac:dyDescent="0.25">
      <c r="A169" s="3" t="s">
        <v>28</v>
      </c>
      <c r="B169" s="3" t="s">
        <v>41</v>
      </c>
      <c r="C169" s="3" t="s">
        <v>23</v>
      </c>
      <c r="D169" s="3" t="s">
        <v>42</v>
      </c>
      <c r="E169" s="3" t="s">
        <v>49</v>
      </c>
      <c r="F169" s="3" t="s">
        <v>50</v>
      </c>
      <c r="G169" s="3" t="s">
        <v>25</v>
      </c>
      <c r="H169" s="3" t="s">
        <v>25</v>
      </c>
      <c r="I169" s="6">
        <v>44531</v>
      </c>
      <c r="J169" s="4">
        <v>0</v>
      </c>
      <c r="K169" s="4">
        <v>0</v>
      </c>
      <c r="L169" s="4">
        <v>0.59099999999999997</v>
      </c>
      <c r="M169" s="4">
        <v>0.59099999999999997</v>
      </c>
      <c r="N169" s="4">
        <v>0.59099999999999997</v>
      </c>
      <c r="O169" s="4">
        <v>0.59099999999999997</v>
      </c>
      <c r="P169" s="4">
        <v>0</v>
      </c>
      <c r="Q169" s="3" t="s">
        <v>26</v>
      </c>
      <c r="R169" s="3">
        <v>0</v>
      </c>
      <c r="S169" s="3">
        <v>0</v>
      </c>
      <c r="T169" s="3">
        <v>42</v>
      </c>
      <c r="U169" s="3">
        <v>63</v>
      </c>
      <c r="V169" s="4">
        <f>IF(ISERROR(VLOOKUP($S$169,'TAR FIN'!$A$1:$O$86,15,0)),0,VLOOKUP($S$169,'TAR FIN'!$A$1:$O$86,15,0))</f>
        <v>0</v>
      </c>
      <c r="W169" s="4">
        <f>IF(ISERROR(VLOOKUP($T$169,'TAR FIN'!$A$1:$O$86,15,0)),0,VLOOKUP($T$169,'TAR FIN'!$A$1:$O$86,15,0))</f>
        <v>430.35</v>
      </c>
      <c r="X169" s="4">
        <f>IF(ISERROR(VLOOKUP($U$169,'TAR FIN'!$A$1:$O$86,15,0)),0,VLOOKUP($U$169,'TAR FIN'!$A$1:$O$86,15,0))</f>
        <v>186.16</v>
      </c>
      <c r="Y169" s="4"/>
      <c r="Z169" s="4">
        <f ca="1">('TUSD BE'!$AM$33+'TUSD BF'!$AM$33+'TUSD CVA'!$AM$33)*(1-CUSTOS!$M$38)</f>
        <v>536.63434130853489</v>
      </c>
      <c r="AA169" s="4">
        <f>('TE BE'!$AB$24+'TE BF'!$AB$24+'TE CVA'!$AB$24)*(1-CUSTOS!$M$38)</f>
        <v>184.7746360391113</v>
      </c>
      <c r="AB169" s="4">
        <f t="shared" si="12"/>
        <v>0</v>
      </c>
      <c r="AC169" s="4">
        <f>(L169-M169)*(W169+X169)+($W$110+$X$110-$W$169-$X$169)*(L169)</f>
        <v>49.679459999999949</v>
      </c>
      <c r="AD169" s="4">
        <f t="shared" si="13"/>
        <v>0</v>
      </c>
      <c r="AE169" s="4">
        <f ca="1">(L169-M169)*(Z169+AA169)+($Z$110+$AA$110-$Z$169-$AA$169)*(L169)</f>
        <v>27.214002485901638</v>
      </c>
      <c r="AF169" s="3" t="s">
        <v>589</v>
      </c>
    </row>
    <row r="170" spans="1:32" ht="11.25" customHeight="1" x14ac:dyDescent="0.25">
      <c r="A170" s="3" t="s">
        <v>21</v>
      </c>
      <c r="B170" s="3" t="s">
        <v>41</v>
      </c>
      <c r="C170" s="3" t="s">
        <v>23</v>
      </c>
      <c r="D170" s="3" t="s">
        <v>42</v>
      </c>
      <c r="E170" s="3" t="s">
        <v>49</v>
      </c>
      <c r="F170" s="3" t="s">
        <v>50</v>
      </c>
      <c r="G170" s="3" t="s">
        <v>25</v>
      </c>
      <c r="H170" s="3" t="s">
        <v>25</v>
      </c>
      <c r="I170" s="6">
        <v>44562</v>
      </c>
      <c r="J170" s="4">
        <v>0</v>
      </c>
      <c r="K170" s="4">
        <v>0</v>
      </c>
      <c r="L170" s="4">
        <v>37.627000000000002</v>
      </c>
      <c r="M170" s="4">
        <v>37.627000000000002</v>
      </c>
      <c r="N170" s="4">
        <v>37.627000000000002</v>
      </c>
      <c r="O170" s="4">
        <v>37.627000000000002</v>
      </c>
      <c r="P170" s="4">
        <v>0</v>
      </c>
      <c r="Q170" s="3" t="s">
        <v>26</v>
      </c>
      <c r="R170" s="3">
        <v>0</v>
      </c>
      <c r="S170" s="3">
        <v>0</v>
      </c>
      <c r="T170" s="3">
        <v>42</v>
      </c>
      <c r="U170" s="3">
        <v>63</v>
      </c>
      <c r="V170" s="4">
        <f>IF(ISERROR(VLOOKUP($S$170,'TAR FIN'!$A$1:$O$86,15,0)),0,VLOOKUP($S$170,'TAR FIN'!$A$1:$O$86,15,0))</f>
        <v>0</v>
      </c>
      <c r="W170" s="4">
        <f>IF(ISERROR(VLOOKUP($T$170,'TAR FIN'!$A$1:$O$86,15,0)),0,VLOOKUP($T$170,'TAR FIN'!$A$1:$O$86,15,0))</f>
        <v>430.35</v>
      </c>
      <c r="X170" s="4">
        <f>IF(ISERROR(VLOOKUP($U$170,'TAR FIN'!$A$1:$O$86,15,0)),0,VLOOKUP($U$170,'TAR FIN'!$A$1:$O$86,15,0))</f>
        <v>186.16</v>
      </c>
      <c r="Y170" s="4"/>
      <c r="Z170" s="4">
        <f ca="1">('TUSD BE'!$AM$33+'TUSD BF'!$AM$33+'TUSD CVA'!$AM$33)*(1-CUSTOS!$M$38)</f>
        <v>536.63434130853489</v>
      </c>
      <c r="AA170" s="4">
        <f>('TE BE'!$AB$24+'TE BF'!$AB$24+'TE CVA'!$AB$24)*(1-CUSTOS!$M$38)</f>
        <v>184.7746360391113</v>
      </c>
      <c r="AB170" s="4">
        <f t="shared" si="12"/>
        <v>0</v>
      </c>
      <c r="AC170" s="4">
        <f>(L170-M170)*(W170+X170)+($W$110+$X$110-$W$170-$X$170)*(L170)</f>
        <v>3162.9256199999973</v>
      </c>
      <c r="AD170" s="4">
        <f t="shared" si="13"/>
        <v>0</v>
      </c>
      <c r="AE170" s="4">
        <f ca="1">(L170-M170)*(Z170+AA170)+($Z$110+$AA$110-$Z$170-$AA$170)*(L170)</f>
        <v>1732.6248249357379</v>
      </c>
      <c r="AF170" s="3" t="s">
        <v>589</v>
      </c>
    </row>
    <row r="171" spans="1:32" ht="11.25" customHeight="1" x14ac:dyDescent="0.25">
      <c r="A171" s="3" t="s">
        <v>28</v>
      </c>
      <c r="B171" s="3" t="s">
        <v>41</v>
      </c>
      <c r="C171" s="3" t="s">
        <v>23</v>
      </c>
      <c r="D171" s="3" t="s">
        <v>42</v>
      </c>
      <c r="E171" s="3" t="s">
        <v>49</v>
      </c>
      <c r="F171" s="3" t="s">
        <v>50</v>
      </c>
      <c r="G171" s="3" t="s">
        <v>25</v>
      </c>
      <c r="H171" s="3" t="s">
        <v>25</v>
      </c>
      <c r="I171" s="6">
        <v>44562</v>
      </c>
      <c r="J171" s="4">
        <v>0</v>
      </c>
      <c r="K171" s="4">
        <v>0</v>
      </c>
      <c r="L171" s="4">
        <v>1.292</v>
      </c>
      <c r="M171" s="4">
        <v>1.292</v>
      </c>
      <c r="N171" s="4">
        <v>1.292</v>
      </c>
      <c r="O171" s="4">
        <v>1.292</v>
      </c>
      <c r="P171" s="4">
        <v>0</v>
      </c>
      <c r="Q171" s="3" t="s">
        <v>26</v>
      </c>
      <c r="R171" s="3">
        <v>0</v>
      </c>
      <c r="S171" s="3">
        <v>0</v>
      </c>
      <c r="T171" s="3">
        <v>42</v>
      </c>
      <c r="U171" s="3">
        <v>63</v>
      </c>
      <c r="V171" s="4">
        <f>IF(ISERROR(VLOOKUP($S$171,'TAR FIN'!$A$1:$O$86,15,0)),0,VLOOKUP($S$171,'TAR FIN'!$A$1:$O$86,15,0))</f>
        <v>0</v>
      </c>
      <c r="W171" s="4">
        <f>IF(ISERROR(VLOOKUP($T$171,'TAR FIN'!$A$1:$O$86,15,0)),0,VLOOKUP($T$171,'TAR FIN'!$A$1:$O$86,15,0))</f>
        <v>430.35</v>
      </c>
      <c r="X171" s="4">
        <f>IF(ISERROR(VLOOKUP($U$171,'TAR FIN'!$A$1:$O$86,15,0)),0,VLOOKUP($U$171,'TAR FIN'!$A$1:$O$86,15,0))</f>
        <v>186.16</v>
      </c>
      <c r="Y171" s="4"/>
      <c r="Z171" s="4">
        <f ca="1">('TUSD BE'!$AM$33+'TUSD BF'!$AM$33+'TUSD CVA'!$AM$33)*(1-CUSTOS!$M$38)</f>
        <v>536.63434130853489</v>
      </c>
      <c r="AA171" s="4">
        <f>('TE BE'!$AB$24+'TE BF'!$AB$24+'TE CVA'!$AB$24)*(1-CUSTOS!$M$38)</f>
        <v>184.7746360391113</v>
      </c>
      <c r="AB171" s="4">
        <f t="shared" si="12"/>
        <v>0</v>
      </c>
      <c r="AC171" s="4">
        <f>(L171-M171)*(W171+X171)+($W$110+$X$110-$W$171-$X$171)*(L171)</f>
        <v>108.6055199999999</v>
      </c>
      <c r="AD171" s="4">
        <f t="shared" si="13"/>
        <v>0</v>
      </c>
      <c r="AE171" s="4">
        <f ca="1">(L171-M171)*(Z171+AA171)+($Z$110+$AA$110-$Z$171-$AA$171)*(L171)</f>
        <v>59.49321694041442</v>
      </c>
      <c r="AF171" s="3" t="s">
        <v>589</v>
      </c>
    </row>
    <row r="172" spans="1:32" ht="11.25" customHeight="1" x14ac:dyDescent="0.25">
      <c r="A172" s="3" t="s">
        <v>21</v>
      </c>
      <c r="B172" s="3" t="s">
        <v>41</v>
      </c>
      <c r="C172" s="3" t="s">
        <v>23</v>
      </c>
      <c r="D172" s="3" t="s">
        <v>42</v>
      </c>
      <c r="E172" s="3" t="s">
        <v>49</v>
      </c>
      <c r="F172" s="3" t="s">
        <v>50</v>
      </c>
      <c r="G172" s="3" t="s">
        <v>25</v>
      </c>
      <c r="H172" s="3" t="s">
        <v>25</v>
      </c>
      <c r="I172" s="6">
        <v>44593</v>
      </c>
      <c r="J172" s="4">
        <v>0</v>
      </c>
      <c r="K172" s="4">
        <v>0</v>
      </c>
      <c r="L172" s="4">
        <v>31.638999999999999</v>
      </c>
      <c r="M172" s="4">
        <v>31.638999999999999</v>
      </c>
      <c r="N172" s="4">
        <v>31.638999999999999</v>
      </c>
      <c r="O172" s="4">
        <v>31.638999999999999</v>
      </c>
      <c r="P172" s="4">
        <v>0</v>
      </c>
      <c r="Q172" s="3" t="s">
        <v>26</v>
      </c>
      <c r="R172" s="3">
        <v>0</v>
      </c>
      <c r="S172" s="3">
        <v>0</v>
      </c>
      <c r="T172" s="3">
        <v>42</v>
      </c>
      <c r="U172" s="3">
        <v>63</v>
      </c>
      <c r="V172" s="4">
        <f>IF(ISERROR(VLOOKUP($S$172,'TAR FIN'!$A$1:$O$86,15,0)),0,VLOOKUP($S$172,'TAR FIN'!$A$1:$O$86,15,0))</f>
        <v>0</v>
      </c>
      <c r="W172" s="4">
        <f>IF(ISERROR(VLOOKUP($T$172,'TAR FIN'!$A$1:$O$86,15,0)),0,VLOOKUP($T$172,'TAR FIN'!$A$1:$O$86,15,0))</f>
        <v>430.35</v>
      </c>
      <c r="X172" s="4">
        <f>IF(ISERROR(VLOOKUP($U$172,'TAR FIN'!$A$1:$O$86,15,0)),0,VLOOKUP($U$172,'TAR FIN'!$A$1:$O$86,15,0))</f>
        <v>186.16</v>
      </c>
      <c r="Y172" s="4"/>
      <c r="Z172" s="4">
        <f ca="1">('TUSD BE'!$AM$33+'TUSD BF'!$AM$33+'TUSD CVA'!$AM$33)*(1-CUSTOS!$M$38)</f>
        <v>536.63434130853489</v>
      </c>
      <c r="AA172" s="4">
        <f>('TE BE'!$AB$24+'TE BF'!$AB$24+'TE CVA'!$AB$24)*(1-CUSTOS!$M$38)</f>
        <v>184.7746360391113</v>
      </c>
      <c r="AB172" s="4">
        <f t="shared" si="12"/>
        <v>0</v>
      </c>
      <c r="AC172" s="4">
        <f>(L172-M172)*(W172+X172)+($W$110+$X$110-$W$172-$X$172)*(L172)</f>
        <v>2659.5743399999974</v>
      </c>
      <c r="AD172" s="4">
        <f t="shared" si="13"/>
        <v>0</v>
      </c>
      <c r="AE172" s="4">
        <f ca="1">(L172-M172)*(Z172+AA172)+($Z$110+$AA$110-$Z$172-$AA$172)*(L172)</f>
        <v>1456.8931043171608</v>
      </c>
      <c r="AF172" s="3" t="s">
        <v>589</v>
      </c>
    </row>
    <row r="173" spans="1:32" ht="11.25" customHeight="1" x14ac:dyDescent="0.25">
      <c r="A173" s="3" t="s">
        <v>28</v>
      </c>
      <c r="B173" s="3" t="s">
        <v>41</v>
      </c>
      <c r="C173" s="3" t="s">
        <v>23</v>
      </c>
      <c r="D173" s="3" t="s">
        <v>42</v>
      </c>
      <c r="E173" s="3" t="s">
        <v>49</v>
      </c>
      <c r="F173" s="3" t="s">
        <v>50</v>
      </c>
      <c r="G173" s="3" t="s">
        <v>25</v>
      </c>
      <c r="H173" s="3" t="s">
        <v>25</v>
      </c>
      <c r="I173" s="6">
        <v>44593</v>
      </c>
      <c r="J173" s="4">
        <v>0</v>
      </c>
      <c r="K173" s="4">
        <v>0</v>
      </c>
      <c r="L173" s="4">
        <v>0.05</v>
      </c>
      <c r="M173" s="4">
        <v>0.05</v>
      </c>
      <c r="N173" s="4">
        <v>0.05</v>
      </c>
      <c r="O173" s="4">
        <v>0.05</v>
      </c>
      <c r="P173" s="4">
        <v>0</v>
      </c>
      <c r="Q173" s="3" t="s">
        <v>26</v>
      </c>
      <c r="R173" s="3">
        <v>0</v>
      </c>
      <c r="S173" s="3">
        <v>0</v>
      </c>
      <c r="T173" s="3">
        <v>42</v>
      </c>
      <c r="U173" s="3">
        <v>63</v>
      </c>
      <c r="V173" s="4">
        <f>IF(ISERROR(VLOOKUP($S$173,'TAR FIN'!$A$1:$O$86,15,0)),0,VLOOKUP($S$173,'TAR FIN'!$A$1:$O$86,15,0))</f>
        <v>0</v>
      </c>
      <c r="W173" s="4">
        <f>IF(ISERROR(VLOOKUP($T$173,'TAR FIN'!$A$1:$O$86,15,0)),0,VLOOKUP($T$173,'TAR FIN'!$A$1:$O$86,15,0))</f>
        <v>430.35</v>
      </c>
      <c r="X173" s="4">
        <f>IF(ISERROR(VLOOKUP($U$173,'TAR FIN'!$A$1:$O$86,15,0)),0,VLOOKUP($U$173,'TAR FIN'!$A$1:$O$86,15,0))</f>
        <v>186.16</v>
      </c>
      <c r="Y173" s="4"/>
      <c r="Z173" s="4">
        <f ca="1">('TUSD BE'!$AM$33+'TUSD BF'!$AM$33+'TUSD CVA'!$AM$33)*(1-CUSTOS!$M$38)</f>
        <v>536.63434130853489</v>
      </c>
      <c r="AA173" s="4">
        <f>('TE BE'!$AB$24+'TE BF'!$AB$24+'TE CVA'!$AB$24)*(1-CUSTOS!$M$38)</f>
        <v>184.7746360391113</v>
      </c>
      <c r="AB173" s="4">
        <f t="shared" si="12"/>
        <v>0</v>
      </c>
      <c r="AC173" s="4">
        <f>(L173-M173)*(W173+X173)+($W$110+$X$110-$W$173-$X$173)*(L173)</f>
        <v>4.2029999999999959</v>
      </c>
      <c r="AD173" s="4">
        <f t="shared" si="13"/>
        <v>0</v>
      </c>
      <c r="AE173" s="4">
        <f ca="1">(L173-M173)*(Z173+AA173)+($Z$110+$AA$110-$Z$173-$AA$173)*(L173)</f>
        <v>2.3023690766414249</v>
      </c>
      <c r="AF173" s="3" t="s">
        <v>589</v>
      </c>
    </row>
    <row r="174" spans="1:32" ht="11.25" customHeight="1" x14ac:dyDescent="0.25">
      <c r="A174" s="3" t="s">
        <v>21</v>
      </c>
      <c r="B174" s="3" t="s">
        <v>41</v>
      </c>
      <c r="C174" s="3" t="s">
        <v>23</v>
      </c>
      <c r="D174" s="3" t="s">
        <v>42</v>
      </c>
      <c r="E174" s="3" t="s">
        <v>49</v>
      </c>
      <c r="F174" s="3" t="s">
        <v>50</v>
      </c>
      <c r="G174" s="3" t="s">
        <v>25</v>
      </c>
      <c r="H174" s="3" t="s">
        <v>25</v>
      </c>
      <c r="I174" s="6">
        <v>44621</v>
      </c>
      <c r="J174" s="4">
        <v>0</v>
      </c>
      <c r="K174" s="4">
        <v>0</v>
      </c>
      <c r="L174" s="4">
        <v>47.743000000000002</v>
      </c>
      <c r="M174" s="4">
        <v>47.743000000000002</v>
      </c>
      <c r="N174" s="4">
        <v>47.743000000000002</v>
      </c>
      <c r="O174" s="4">
        <v>47.743000000000002</v>
      </c>
      <c r="P174" s="4">
        <v>0</v>
      </c>
      <c r="Q174" s="3" t="s">
        <v>26</v>
      </c>
      <c r="R174" s="3">
        <v>0</v>
      </c>
      <c r="S174" s="3">
        <v>0</v>
      </c>
      <c r="T174" s="3">
        <v>42</v>
      </c>
      <c r="U174" s="3">
        <v>63</v>
      </c>
      <c r="V174" s="4">
        <f>IF(ISERROR(VLOOKUP($S$174,'TAR FIN'!$A$1:$O$86,15,0)),0,VLOOKUP($S$174,'TAR FIN'!$A$1:$O$86,15,0))</f>
        <v>0</v>
      </c>
      <c r="W174" s="4">
        <f>IF(ISERROR(VLOOKUP($T$174,'TAR FIN'!$A$1:$O$86,15,0)),0,VLOOKUP($T$174,'TAR FIN'!$A$1:$O$86,15,0))</f>
        <v>430.35</v>
      </c>
      <c r="X174" s="4">
        <f>IF(ISERROR(VLOOKUP($U$174,'TAR FIN'!$A$1:$O$86,15,0)),0,VLOOKUP($U$174,'TAR FIN'!$A$1:$O$86,15,0))</f>
        <v>186.16</v>
      </c>
      <c r="Y174" s="4"/>
      <c r="Z174" s="4">
        <f ca="1">('TUSD BE'!$AM$33+'TUSD BF'!$AM$33+'TUSD CVA'!$AM$33)*(1-CUSTOS!$M$38)</f>
        <v>536.63434130853489</v>
      </c>
      <c r="AA174" s="4">
        <f>('TE BE'!$AB$24+'TE BF'!$AB$24+'TE CVA'!$AB$24)*(1-CUSTOS!$M$38)</f>
        <v>184.7746360391113</v>
      </c>
      <c r="AB174" s="4">
        <f t="shared" si="12"/>
        <v>0</v>
      </c>
      <c r="AC174" s="4">
        <f>(L174-M174)*(W174+X174)+($W$110+$X$110-$W$174-$X$174)*(L174)</f>
        <v>4013.2765799999961</v>
      </c>
      <c r="AD174" s="4">
        <f t="shared" si="13"/>
        <v>0</v>
      </c>
      <c r="AE174" s="4">
        <f ca="1">(L174-M174)*(Z174+AA174)+($Z$110+$AA$110-$Z$174-$AA$174)*(L174)</f>
        <v>2198.4401365218309</v>
      </c>
      <c r="AF174" s="3" t="s">
        <v>589</v>
      </c>
    </row>
    <row r="175" spans="1:32" ht="11.25" customHeight="1" x14ac:dyDescent="0.25">
      <c r="A175" s="3" t="s">
        <v>27</v>
      </c>
      <c r="B175" s="3" t="s">
        <v>41</v>
      </c>
      <c r="C175" s="3" t="s">
        <v>23</v>
      </c>
      <c r="D175" s="3" t="s">
        <v>42</v>
      </c>
      <c r="E175" s="3" t="s">
        <v>49</v>
      </c>
      <c r="F175" s="3" t="s">
        <v>50</v>
      </c>
      <c r="G175" s="3" t="s">
        <v>25</v>
      </c>
      <c r="H175" s="3" t="s">
        <v>25</v>
      </c>
      <c r="I175" s="6">
        <v>44621</v>
      </c>
      <c r="J175" s="4">
        <v>0</v>
      </c>
      <c r="K175" s="4">
        <v>0</v>
      </c>
      <c r="L175" s="4">
        <v>-5.843</v>
      </c>
      <c r="M175" s="4">
        <v>-5.843</v>
      </c>
      <c r="N175" s="4">
        <v>-5.843</v>
      </c>
      <c r="O175" s="4">
        <v>-5.843</v>
      </c>
      <c r="P175" s="4">
        <v>0</v>
      </c>
      <c r="Q175" s="3" t="s">
        <v>26</v>
      </c>
      <c r="R175" s="3">
        <v>0</v>
      </c>
      <c r="S175" s="3">
        <v>0</v>
      </c>
      <c r="T175" s="3">
        <v>42</v>
      </c>
      <c r="U175" s="3">
        <v>63</v>
      </c>
      <c r="V175" s="4">
        <f>IF(ISERROR(VLOOKUP($S$175,'TAR FIN'!$A$1:$O$86,15,0)),0,VLOOKUP($S$175,'TAR FIN'!$A$1:$O$86,15,0))</f>
        <v>0</v>
      </c>
      <c r="W175" s="4">
        <f>IF(ISERROR(VLOOKUP($T$175,'TAR FIN'!$A$1:$O$86,15,0)),0,VLOOKUP($T$175,'TAR FIN'!$A$1:$O$86,15,0))</f>
        <v>430.35</v>
      </c>
      <c r="X175" s="4">
        <f>IF(ISERROR(VLOOKUP($U$175,'TAR FIN'!$A$1:$O$86,15,0)),0,VLOOKUP($U$175,'TAR FIN'!$A$1:$O$86,15,0))</f>
        <v>186.16</v>
      </c>
      <c r="Y175" s="4"/>
      <c r="Z175" s="4">
        <f ca="1">('TUSD BE'!$AM$33+'TUSD BF'!$AM$33+'TUSD CVA'!$AM$33)*(1-CUSTOS!$M$38)</f>
        <v>536.63434130853489</v>
      </c>
      <c r="AA175" s="4">
        <f>('TE BE'!$AB$24+'TE BF'!$AB$24+'TE CVA'!$AB$24)*(1-CUSTOS!$M$38)</f>
        <v>184.7746360391113</v>
      </c>
      <c r="AB175" s="4">
        <f t="shared" si="12"/>
        <v>0</v>
      </c>
      <c r="AC175" s="4">
        <f>(L175-M175)*(W175+X175)+($W$110+$X$110-$W$175-$X$175)*(L175)</f>
        <v>-491.16257999999954</v>
      </c>
      <c r="AD175" s="4">
        <f t="shared" si="13"/>
        <v>0</v>
      </c>
      <c r="AE175" s="4">
        <f ca="1">(L175-M175)*(Z175+AA175)+($Z$110+$AA$110-$Z$175-$AA$175)*(L175)</f>
        <v>-269.05485029631689</v>
      </c>
      <c r="AF175" s="3" t="s">
        <v>589</v>
      </c>
    </row>
    <row r="176" spans="1:32" ht="11.25" customHeight="1" x14ac:dyDescent="0.25">
      <c r="A176" s="3" t="s">
        <v>28</v>
      </c>
      <c r="B176" s="3" t="s">
        <v>41</v>
      </c>
      <c r="C176" s="3" t="s">
        <v>23</v>
      </c>
      <c r="D176" s="3" t="s">
        <v>42</v>
      </c>
      <c r="E176" s="3" t="s">
        <v>49</v>
      </c>
      <c r="F176" s="3" t="s">
        <v>50</v>
      </c>
      <c r="G176" s="3" t="s">
        <v>25</v>
      </c>
      <c r="H176" s="3" t="s">
        <v>25</v>
      </c>
      <c r="I176" s="6">
        <v>44621</v>
      </c>
      <c r="J176" s="4">
        <v>0</v>
      </c>
      <c r="K176" s="4">
        <v>0</v>
      </c>
      <c r="L176" s="4">
        <v>0.05</v>
      </c>
      <c r="M176" s="4">
        <v>0.05</v>
      </c>
      <c r="N176" s="4">
        <v>0.05</v>
      </c>
      <c r="O176" s="4">
        <v>0.05</v>
      </c>
      <c r="P176" s="4">
        <v>0</v>
      </c>
      <c r="Q176" s="3" t="s">
        <v>26</v>
      </c>
      <c r="R176" s="3">
        <v>0</v>
      </c>
      <c r="S176" s="3">
        <v>0</v>
      </c>
      <c r="T176" s="3">
        <v>42</v>
      </c>
      <c r="U176" s="3">
        <v>63</v>
      </c>
      <c r="V176" s="4">
        <f>IF(ISERROR(VLOOKUP($S$176,'TAR FIN'!$A$1:$O$86,15,0)),0,VLOOKUP($S$176,'TAR FIN'!$A$1:$O$86,15,0))</f>
        <v>0</v>
      </c>
      <c r="W176" s="4">
        <f>IF(ISERROR(VLOOKUP($T$176,'TAR FIN'!$A$1:$O$86,15,0)),0,VLOOKUP($T$176,'TAR FIN'!$A$1:$O$86,15,0))</f>
        <v>430.35</v>
      </c>
      <c r="X176" s="4">
        <f>IF(ISERROR(VLOOKUP($U$176,'TAR FIN'!$A$1:$O$86,15,0)),0,VLOOKUP($U$176,'TAR FIN'!$A$1:$O$86,15,0))</f>
        <v>186.16</v>
      </c>
      <c r="Y176" s="4"/>
      <c r="Z176" s="4">
        <f ca="1">('TUSD BE'!$AM$33+'TUSD BF'!$AM$33+'TUSD CVA'!$AM$33)*(1-CUSTOS!$M$38)</f>
        <v>536.63434130853489</v>
      </c>
      <c r="AA176" s="4">
        <f>('TE BE'!$AB$24+'TE BF'!$AB$24+'TE CVA'!$AB$24)*(1-CUSTOS!$M$38)</f>
        <v>184.7746360391113</v>
      </c>
      <c r="AB176" s="4">
        <f t="shared" si="12"/>
        <v>0</v>
      </c>
      <c r="AC176" s="4">
        <f>(L176-M176)*(W176+X176)+($W$110+$X$110-$W$176-$X$176)*(L176)</f>
        <v>4.2029999999999959</v>
      </c>
      <c r="AD176" s="4">
        <f t="shared" si="13"/>
        <v>0</v>
      </c>
      <c r="AE176" s="4">
        <f ca="1">(L176-M176)*(Z176+AA176)+($Z$110+$AA$110-$Z$176-$AA$176)*(L176)</f>
        <v>2.3023690766414249</v>
      </c>
      <c r="AF176" s="3" t="s">
        <v>589</v>
      </c>
    </row>
    <row r="177" spans="1:32" ht="11.25" customHeight="1" x14ac:dyDescent="0.25">
      <c r="A177" s="3" t="s">
        <v>21</v>
      </c>
      <c r="B177" s="3" t="s">
        <v>41</v>
      </c>
      <c r="C177" s="3" t="s">
        <v>23</v>
      </c>
      <c r="D177" s="3" t="s">
        <v>42</v>
      </c>
      <c r="E177" s="3" t="s">
        <v>49</v>
      </c>
      <c r="F177" s="3" t="s">
        <v>50</v>
      </c>
      <c r="G177" s="3" t="s">
        <v>25</v>
      </c>
      <c r="H177" s="3" t="s">
        <v>25</v>
      </c>
      <c r="I177" s="6">
        <v>44652</v>
      </c>
      <c r="J177" s="4">
        <v>0</v>
      </c>
      <c r="K177" s="4">
        <v>0</v>
      </c>
      <c r="L177" s="4">
        <v>2.0830000000000002</v>
      </c>
      <c r="M177" s="4">
        <v>2.0830000000000002</v>
      </c>
      <c r="N177" s="4">
        <v>2.0830000000000002</v>
      </c>
      <c r="O177" s="4">
        <v>2.0830000000000002</v>
      </c>
      <c r="P177" s="4">
        <v>0</v>
      </c>
      <c r="Q177" s="3" t="s">
        <v>26</v>
      </c>
      <c r="R177" s="3">
        <v>0</v>
      </c>
      <c r="S177" s="3">
        <v>0</v>
      </c>
      <c r="T177" s="3">
        <v>42</v>
      </c>
      <c r="U177" s="3">
        <v>63</v>
      </c>
      <c r="V177" s="4">
        <f>IF(ISERROR(VLOOKUP($S$177,'TAR FIN'!$A$1:$O$86,15,0)),0,VLOOKUP($S$177,'TAR FIN'!$A$1:$O$86,15,0))</f>
        <v>0</v>
      </c>
      <c r="W177" s="4">
        <f>IF(ISERROR(VLOOKUP($T$177,'TAR FIN'!$A$1:$O$86,15,0)),0,VLOOKUP($T$177,'TAR FIN'!$A$1:$O$86,15,0))</f>
        <v>430.35</v>
      </c>
      <c r="X177" s="4">
        <f>IF(ISERROR(VLOOKUP($U$177,'TAR FIN'!$A$1:$O$86,15,0)),0,VLOOKUP($U$177,'TAR FIN'!$A$1:$O$86,15,0))</f>
        <v>186.16</v>
      </c>
      <c r="Y177" s="4"/>
      <c r="Z177" s="4">
        <f ca="1">('TUSD BE'!$AM$33+'TUSD BF'!$AM$33+'TUSD CVA'!$AM$33)*(1-CUSTOS!$M$38)</f>
        <v>536.63434130853489</v>
      </c>
      <c r="AA177" s="4">
        <f>('TE BE'!$AB$24+'TE BF'!$AB$24+'TE CVA'!$AB$24)*(1-CUSTOS!$M$38)</f>
        <v>184.7746360391113</v>
      </c>
      <c r="AB177" s="4">
        <f t="shared" si="12"/>
        <v>0</v>
      </c>
      <c r="AC177" s="4">
        <f>(L177-M177)*(W177+X177)+($W$110+$X$110-$W$177-$X$177)*(L177)</f>
        <v>175.09697999999983</v>
      </c>
      <c r="AD177" s="4">
        <f t="shared" si="13"/>
        <v>0</v>
      </c>
      <c r="AE177" s="4">
        <f ca="1">(L177-M177)*(Z177+AA177)+($Z$110+$AA$110-$Z$177-$AA$177)*(L177)</f>
        <v>95.916695732881763</v>
      </c>
      <c r="AF177" s="3" t="s">
        <v>589</v>
      </c>
    </row>
    <row r="178" spans="1:32" ht="11.25" customHeight="1" x14ac:dyDescent="0.25">
      <c r="A178" s="3" t="s">
        <v>27</v>
      </c>
      <c r="B178" s="3" t="s">
        <v>41</v>
      </c>
      <c r="C178" s="3" t="s">
        <v>23</v>
      </c>
      <c r="D178" s="3" t="s">
        <v>42</v>
      </c>
      <c r="E178" s="3" t="s">
        <v>49</v>
      </c>
      <c r="F178" s="3" t="s">
        <v>50</v>
      </c>
      <c r="G178" s="3" t="s">
        <v>25</v>
      </c>
      <c r="H178" s="3" t="s">
        <v>25</v>
      </c>
      <c r="I178" s="6">
        <v>44652</v>
      </c>
      <c r="J178" s="4">
        <v>0</v>
      </c>
      <c r="K178" s="4">
        <v>0</v>
      </c>
      <c r="L178" s="4">
        <v>-30.838999999999999</v>
      </c>
      <c r="M178" s="4">
        <v>-30.838999999999999</v>
      </c>
      <c r="N178" s="4">
        <v>-30.838999999999999</v>
      </c>
      <c r="O178" s="4">
        <v>-30.838999999999999</v>
      </c>
      <c r="P178" s="4">
        <v>0</v>
      </c>
      <c r="Q178" s="3" t="s">
        <v>26</v>
      </c>
      <c r="R178" s="3">
        <v>0</v>
      </c>
      <c r="S178" s="3">
        <v>0</v>
      </c>
      <c r="T178" s="3">
        <v>42</v>
      </c>
      <c r="U178" s="3">
        <v>63</v>
      </c>
      <c r="V178" s="4">
        <f>IF(ISERROR(VLOOKUP($S$178,'TAR FIN'!$A$1:$O$86,15,0)),0,VLOOKUP($S$178,'TAR FIN'!$A$1:$O$86,15,0))</f>
        <v>0</v>
      </c>
      <c r="W178" s="4">
        <f>IF(ISERROR(VLOOKUP($T$178,'TAR FIN'!$A$1:$O$86,15,0)),0,VLOOKUP($T$178,'TAR FIN'!$A$1:$O$86,15,0))</f>
        <v>430.35</v>
      </c>
      <c r="X178" s="4">
        <f>IF(ISERROR(VLOOKUP($U$178,'TAR FIN'!$A$1:$O$86,15,0)),0,VLOOKUP($U$178,'TAR FIN'!$A$1:$O$86,15,0))</f>
        <v>186.16</v>
      </c>
      <c r="Y178" s="4"/>
      <c r="Z178" s="4">
        <f ca="1">('TUSD BE'!$AM$33+'TUSD BF'!$AM$33+'TUSD CVA'!$AM$33)*(1-CUSTOS!$M$38)</f>
        <v>536.63434130853489</v>
      </c>
      <c r="AA178" s="4">
        <f>('TE BE'!$AB$24+'TE BF'!$AB$24+'TE CVA'!$AB$24)*(1-CUSTOS!$M$38)</f>
        <v>184.7746360391113</v>
      </c>
      <c r="AB178" s="4">
        <f t="shared" si="12"/>
        <v>0</v>
      </c>
      <c r="AC178" s="4">
        <f>(L178-M178)*(W178+X178)+($W$110+$X$110-$W$178-$X$178)*(L178)</f>
        <v>-2592.3263399999973</v>
      </c>
      <c r="AD178" s="4">
        <f t="shared" si="13"/>
        <v>0</v>
      </c>
      <c r="AE178" s="4">
        <f ca="1">(L178-M178)*(Z178+AA178)+($Z$110+$AA$110-$Z$178-$AA$178)*(L178)</f>
        <v>-1420.055199090898</v>
      </c>
      <c r="AF178" s="3" t="s">
        <v>589</v>
      </c>
    </row>
    <row r="179" spans="1:32" ht="11.25" customHeight="1" x14ac:dyDescent="0.25">
      <c r="A179" s="3" t="s">
        <v>28</v>
      </c>
      <c r="B179" s="3" t="s">
        <v>41</v>
      </c>
      <c r="C179" s="3" t="s">
        <v>23</v>
      </c>
      <c r="D179" s="3" t="s">
        <v>42</v>
      </c>
      <c r="E179" s="3" t="s">
        <v>49</v>
      </c>
      <c r="F179" s="3" t="s">
        <v>50</v>
      </c>
      <c r="G179" s="3" t="s">
        <v>25</v>
      </c>
      <c r="H179" s="3" t="s">
        <v>25</v>
      </c>
      <c r="I179" s="6">
        <v>44652</v>
      </c>
      <c r="J179" s="4">
        <v>0</v>
      </c>
      <c r="K179" s="4">
        <v>0</v>
      </c>
      <c r="L179" s="4">
        <v>0.05</v>
      </c>
      <c r="M179" s="4">
        <v>0.05</v>
      </c>
      <c r="N179" s="4">
        <v>0.05</v>
      </c>
      <c r="O179" s="4">
        <v>0.05</v>
      </c>
      <c r="P179" s="4">
        <v>0</v>
      </c>
      <c r="Q179" s="3" t="s">
        <v>26</v>
      </c>
      <c r="R179" s="3">
        <v>0</v>
      </c>
      <c r="S179" s="3">
        <v>0</v>
      </c>
      <c r="T179" s="3">
        <v>42</v>
      </c>
      <c r="U179" s="3">
        <v>63</v>
      </c>
      <c r="V179" s="4">
        <f>IF(ISERROR(VLOOKUP($S$179,'TAR FIN'!$A$1:$O$86,15,0)),0,VLOOKUP($S$179,'TAR FIN'!$A$1:$O$86,15,0))</f>
        <v>0</v>
      </c>
      <c r="W179" s="4">
        <f>IF(ISERROR(VLOOKUP($T$179,'TAR FIN'!$A$1:$O$86,15,0)),0,VLOOKUP($T$179,'TAR FIN'!$A$1:$O$86,15,0))</f>
        <v>430.35</v>
      </c>
      <c r="X179" s="4">
        <f>IF(ISERROR(VLOOKUP($U$179,'TAR FIN'!$A$1:$O$86,15,0)),0,VLOOKUP($U$179,'TAR FIN'!$A$1:$O$86,15,0))</f>
        <v>186.16</v>
      </c>
      <c r="Y179" s="4"/>
      <c r="Z179" s="4">
        <f ca="1">('TUSD BE'!$AM$33+'TUSD BF'!$AM$33+'TUSD CVA'!$AM$33)*(1-CUSTOS!$M$38)</f>
        <v>536.63434130853489</v>
      </c>
      <c r="AA179" s="4">
        <f>('TE BE'!$AB$24+'TE BF'!$AB$24+'TE CVA'!$AB$24)*(1-CUSTOS!$M$38)</f>
        <v>184.7746360391113</v>
      </c>
      <c r="AB179" s="4">
        <f t="shared" si="12"/>
        <v>0</v>
      </c>
      <c r="AC179" s="4">
        <f>(L179-M179)*(W179+X179)+($W$110+$X$110-$W$179-$X$179)*(L179)</f>
        <v>4.2029999999999959</v>
      </c>
      <c r="AD179" s="4">
        <f t="shared" si="13"/>
        <v>0</v>
      </c>
      <c r="AE179" s="4">
        <f ca="1">(L179-M179)*(Z179+AA179)+($Z$110+$AA$110-$Z$179-$AA$179)*(L179)</f>
        <v>2.3023690766414249</v>
      </c>
      <c r="AF179" s="3" t="s">
        <v>589</v>
      </c>
    </row>
    <row r="180" spans="1:32" ht="11.25" customHeight="1" x14ac:dyDescent="0.25">
      <c r="A180" s="3" t="s">
        <v>21</v>
      </c>
      <c r="B180" s="3" t="s">
        <v>41</v>
      </c>
      <c r="C180" s="3" t="s">
        <v>23</v>
      </c>
      <c r="D180" s="3" t="s">
        <v>42</v>
      </c>
      <c r="E180" s="3" t="s">
        <v>49</v>
      </c>
      <c r="F180" s="3" t="s">
        <v>50</v>
      </c>
      <c r="G180" s="3" t="s">
        <v>25</v>
      </c>
      <c r="H180" s="3" t="s">
        <v>25</v>
      </c>
      <c r="I180" s="6">
        <v>44682</v>
      </c>
      <c r="J180" s="4">
        <v>0</v>
      </c>
      <c r="K180" s="4">
        <v>0</v>
      </c>
      <c r="L180" s="4">
        <v>1.9770000000000001</v>
      </c>
      <c r="M180" s="4">
        <v>1.9770000000000001</v>
      </c>
      <c r="N180" s="4">
        <v>1.9770000000000001</v>
      </c>
      <c r="O180" s="4">
        <v>1.9770000000000001</v>
      </c>
      <c r="P180" s="4">
        <v>0</v>
      </c>
      <c r="Q180" s="3" t="s">
        <v>26</v>
      </c>
      <c r="R180" s="3">
        <v>0</v>
      </c>
      <c r="S180" s="3">
        <v>0</v>
      </c>
      <c r="T180" s="3">
        <v>42</v>
      </c>
      <c r="U180" s="3">
        <v>63</v>
      </c>
      <c r="V180" s="4">
        <f>IF(ISERROR(VLOOKUP($S$180,'TAR FIN'!$A$1:$O$86,15,0)),0,VLOOKUP($S$180,'TAR FIN'!$A$1:$O$86,15,0))</f>
        <v>0</v>
      </c>
      <c r="W180" s="4">
        <f>IF(ISERROR(VLOOKUP($T$180,'TAR FIN'!$A$1:$O$86,15,0)),0,VLOOKUP($T$180,'TAR FIN'!$A$1:$O$86,15,0))</f>
        <v>430.35</v>
      </c>
      <c r="X180" s="4">
        <f>IF(ISERROR(VLOOKUP($U$180,'TAR FIN'!$A$1:$O$86,15,0)),0,VLOOKUP($U$180,'TAR FIN'!$A$1:$O$86,15,0))</f>
        <v>186.16</v>
      </c>
      <c r="Y180" s="4"/>
      <c r="Z180" s="4">
        <f ca="1">('TUSD BE'!$AM$33+'TUSD BF'!$AM$33+'TUSD CVA'!$AM$33)*(1-CUSTOS!$M$38)</f>
        <v>536.63434130853489</v>
      </c>
      <c r="AA180" s="4">
        <f>('TE BE'!$AB$24+'TE BF'!$AB$24+'TE CVA'!$AB$24)*(1-CUSTOS!$M$38)</f>
        <v>184.7746360391113</v>
      </c>
      <c r="AB180" s="4">
        <f t="shared" si="12"/>
        <v>0</v>
      </c>
      <c r="AC180" s="4">
        <f>(L180-M180)*(W180+X180)+($W$110+$X$110-$W$180-$X$180)*(L180)</f>
        <v>166.18661999999983</v>
      </c>
      <c r="AD180" s="4">
        <f t="shared" si="13"/>
        <v>0</v>
      </c>
      <c r="AE180" s="4">
        <f ca="1">(L180-M180)*(Z180+AA180)+($Z$110+$AA$110-$Z$180-$AA$180)*(L180)</f>
        <v>91.035673290401945</v>
      </c>
      <c r="AF180" s="3" t="s">
        <v>589</v>
      </c>
    </row>
    <row r="181" spans="1:32" ht="11.25" customHeight="1" x14ac:dyDescent="0.25">
      <c r="A181" s="3" t="s">
        <v>28</v>
      </c>
      <c r="B181" s="3" t="s">
        <v>41</v>
      </c>
      <c r="C181" s="3" t="s">
        <v>23</v>
      </c>
      <c r="D181" s="3" t="s">
        <v>42</v>
      </c>
      <c r="E181" s="3" t="s">
        <v>49</v>
      </c>
      <c r="F181" s="3" t="s">
        <v>50</v>
      </c>
      <c r="G181" s="3" t="s">
        <v>25</v>
      </c>
      <c r="H181" s="3" t="s">
        <v>25</v>
      </c>
      <c r="I181" s="6">
        <v>44682</v>
      </c>
      <c r="J181" s="4">
        <v>0</v>
      </c>
      <c r="K181" s="4">
        <v>0</v>
      </c>
      <c r="L181" s="4">
        <v>3.1E-2</v>
      </c>
      <c r="M181" s="4">
        <v>3.1E-2</v>
      </c>
      <c r="N181" s="4">
        <v>3.1E-2</v>
      </c>
      <c r="O181" s="4">
        <v>3.1E-2</v>
      </c>
      <c r="P181" s="4">
        <v>0</v>
      </c>
      <c r="Q181" s="3" t="s">
        <v>26</v>
      </c>
      <c r="R181" s="3">
        <v>0</v>
      </c>
      <c r="S181" s="3">
        <v>0</v>
      </c>
      <c r="T181" s="3">
        <v>42</v>
      </c>
      <c r="U181" s="3">
        <v>63</v>
      </c>
      <c r="V181" s="4">
        <f>IF(ISERROR(VLOOKUP($S$181,'TAR FIN'!$A$1:$O$86,15,0)),0,VLOOKUP($S$181,'TAR FIN'!$A$1:$O$86,15,0))</f>
        <v>0</v>
      </c>
      <c r="W181" s="4">
        <f>IF(ISERROR(VLOOKUP($T$181,'TAR FIN'!$A$1:$O$86,15,0)),0,VLOOKUP($T$181,'TAR FIN'!$A$1:$O$86,15,0))</f>
        <v>430.35</v>
      </c>
      <c r="X181" s="4">
        <f>IF(ISERROR(VLOOKUP($U$181,'TAR FIN'!$A$1:$O$86,15,0)),0,VLOOKUP($U$181,'TAR FIN'!$A$1:$O$86,15,0))</f>
        <v>186.16</v>
      </c>
      <c r="Y181" s="4"/>
      <c r="Z181" s="4">
        <f ca="1">('TUSD BE'!$AM$33+'TUSD BF'!$AM$33+'TUSD CVA'!$AM$33)*(1-CUSTOS!$M$38)</f>
        <v>536.63434130853489</v>
      </c>
      <c r="AA181" s="4">
        <f>('TE BE'!$AB$24+'TE BF'!$AB$24+'TE CVA'!$AB$24)*(1-CUSTOS!$M$38)</f>
        <v>184.7746360391113</v>
      </c>
      <c r="AB181" s="4">
        <f t="shared" si="12"/>
        <v>0</v>
      </c>
      <c r="AC181" s="4">
        <f>(L181-M181)*(W181+X181)+($W$110+$X$110-$W$181-$X$181)*(L181)</f>
        <v>2.6058599999999976</v>
      </c>
      <c r="AD181" s="4">
        <f t="shared" si="13"/>
        <v>0</v>
      </c>
      <c r="AE181" s="4">
        <f ca="1">(L181-M181)*(Z181+AA181)+($Z$110+$AA$110-$Z$181-$AA$181)*(L181)</f>
        <v>1.4274688275176834</v>
      </c>
      <c r="AF181" s="3" t="s">
        <v>589</v>
      </c>
    </row>
    <row r="182" spans="1:32" ht="11.25" customHeight="1" x14ac:dyDescent="0.25">
      <c r="A182" s="3" t="s">
        <v>21</v>
      </c>
      <c r="B182" s="3" t="s">
        <v>41</v>
      </c>
      <c r="C182" s="3" t="s">
        <v>23</v>
      </c>
      <c r="D182" s="3" t="s">
        <v>42</v>
      </c>
      <c r="E182" s="3" t="s">
        <v>49</v>
      </c>
      <c r="F182" s="3" t="s">
        <v>50</v>
      </c>
      <c r="G182" s="3" t="s">
        <v>25</v>
      </c>
      <c r="H182" s="3" t="s">
        <v>25</v>
      </c>
      <c r="I182" s="6">
        <v>44713</v>
      </c>
      <c r="J182" s="4">
        <v>0</v>
      </c>
      <c r="K182" s="4">
        <v>0</v>
      </c>
      <c r="L182" s="4">
        <v>1.9339999999999999</v>
      </c>
      <c r="M182" s="4">
        <v>1.9339999999999999</v>
      </c>
      <c r="N182" s="4">
        <v>1.9339999999999999</v>
      </c>
      <c r="O182" s="4">
        <v>1.9339999999999999</v>
      </c>
      <c r="P182" s="4">
        <v>0</v>
      </c>
      <c r="Q182" s="3" t="s">
        <v>26</v>
      </c>
      <c r="R182" s="3">
        <v>0</v>
      </c>
      <c r="S182" s="3">
        <v>0</v>
      </c>
      <c r="T182" s="3">
        <v>42</v>
      </c>
      <c r="U182" s="3">
        <v>63</v>
      </c>
      <c r="V182" s="4">
        <f>IF(ISERROR(VLOOKUP($S$182,'TAR FIN'!$A$1:$O$86,15,0)),0,VLOOKUP($S$182,'TAR FIN'!$A$1:$O$86,15,0))</f>
        <v>0</v>
      </c>
      <c r="W182" s="4">
        <f>IF(ISERROR(VLOOKUP($T$182,'TAR FIN'!$A$1:$O$86,15,0)),0,VLOOKUP($T$182,'TAR FIN'!$A$1:$O$86,15,0))</f>
        <v>430.35</v>
      </c>
      <c r="X182" s="4">
        <f>IF(ISERROR(VLOOKUP($U$182,'TAR FIN'!$A$1:$O$86,15,0)),0,VLOOKUP($U$182,'TAR FIN'!$A$1:$O$86,15,0))</f>
        <v>186.16</v>
      </c>
      <c r="Y182" s="4"/>
      <c r="Z182" s="4">
        <f ca="1">('TUSD BE'!$AM$33+'TUSD BF'!$AM$33+'TUSD CVA'!$AM$33)*(1-CUSTOS!$M$38)</f>
        <v>536.63434130853489</v>
      </c>
      <c r="AA182" s="4">
        <f>('TE BE'!$AB$24+'TE BF'!$AB$24+'TE CVA'!$AB$24)*(1-CUSTOS!$M$38)</f>
        <v>184.7746360391113</v>
      </c>
      <c r="AB182" s="4">
        <f t="shared" si="12"/>
        <v>0</v>
      </c>
      <c r="AC182" s="4">
        <f>(L182-M182)*(W182+X182)+($W$110+$X$110-$W$182-$X$182)*(L182)</f>
        <v>162.57203999999984</v>
      </c>
      <c r="AD182" s="4">
        <f t="shared" si="13"/>
        <v>0</v>
      </c>
      <c r="AE182" s="4">
        <f ca="1">(L182-M182)*(Z182+AA182)+($Z$110+$AA$110-$Z$182-$AA$182)*(L182)</f>
        <v>89.055635884490314</v>
      </c>
      <c r="AF182" s="3" t="s">
        <v>589</v>
      </c>
    </row>
    <row r="183" spans="1:32" ht="11.25" customHeight="1" x14ac:dyDescent="0.25">
      <c r="A183" s="3" t="s">
        <v>28</v>
      </c>
      <c r="B183" s="3" t="s">
        <v>41</v>
      </c>
      <c r="C183" s="3" t="s">
        <v>23</v>
      </c>
      <c r="D183" s="3" t="s">
        <v>42</v>
      </c>
      <c r="E183" s="3" t="s">
        <v>49</v>
      </c>
      <c r="F183" s="3" t="s">
        <v>50</v>
      </c>
      <c r="G183" s="3" t="s">
        <v>25</v>
      </c>
      <c r="H183" s="3" t="s">
        <v>25</v>
      </c>
      <c r="I183" s="6">
        <v>44713</v>
      </c>
      <c r="J183" s="4">
        <v>0</v>
      </c>
      <c r="K183" s="4">
        <v>0</v>
      </c>
      <c r="L183" s="4">
        <v>0.1</v>
      </c>
      <c r="M183" s="4">
        <v>0.1</v>
      </c>
      <c r="N183" s="4">
        <v>0.1</v>
      </c>
      <c r="O183" s="4">
        <v>0.1</v>
      </c>
      <c r="P183" s="4">
        <v>0</v>
      </c>
      <c r="Q183" s="3" t="s">
        <v>26</v>
      </c>
      <c r="R183" s="3">
        <v>0</v>
      </c>
      <c r="S183" s="3">
        <v>0</v>
      </c>
      <c r="T183" s="3">
        <v>42</v>
      </c>
      <c r="U183" s="3">
        <v>63</v>
      </c>
      <c r="V183" s="4">
        <f>IF(ISERROR(VLOOKUP($S$183,'TAR FIN'!$A$1:$O$86,15,0)),0,VLOOKUP($S$183,'TAR FIN'!$A$1:$O$86,15,0))</f>
        <v>0</v>
      </c>
      <c r="W183" s="4">
        <f>IF(ISERROR(VLOOKUP($T$183,'TAR FIN'!$A$1:$O$86,15,0)),0,VLOOKUP($T$183,'TAR FIN'!$A$1:$O$86,15,0))</f>
        <v>430.35</v>
      </c>
      <c r="X183" s="4">
        <f>IF(ISERROR(VLOOKUP($U$183,'TAR FIN'!$A$1:$O$86,15,0)),0,VLOOKUP($U$183,'TAR FIN'!$A$1:$O$86,15,0))</f>
        <v>186.16</v>
      </c>
      <c r="Y183" s="4"/>
      <c r="Z183" s="4">
        <f ca="1">('TUSD BE'!$AM$33+'TUSD BF'!$AM$33+'TUSD CVA'!$AM$33)*(1-CUSTOS!$M$38)</f>
        <v>536.63434130853489</v>
      </c>
      <c r="AA183" s="4">
        <f>('TE BE'!$AB$24+'TE BF'!$AB$24+'TE CVA'!$AB$24)*(1-CUSTOS!$M$38)</f>
        <v>184.7746360391113</v>
      </c>
      <c r="AB183" s="4">
        <f t="shared" si="12"/>
        <v>0</v>
      </c>
      <c r="AC183" s="4">
        <f>(L183-M183)*(W183+X183)+($W$110+$X$110-$W$183-$X$183)*(L183)</f>
        <v>8.4059999999999917</v>
      </c>
      <c r="AD183" s="4">
        <f t="shared" si="13"/>
        <v>0</v>
      </c>
      <c r="AE183" s="4">
        <f ca="1">(L183-M183)*(Z183+AA183)+($Z$110+$AA$110-$Z$183-$AA$183)*(L183)</f>
        <v>4.6047381532828497</v>
      </c>
      <c r="AF183" s="3" t="s">
        <v>589</v>
      </c>
    </row>
    <row r="184" spans="1:32" ht="11.25" customHeight="1" x14ac:dyDescent="0.25">
      <c r="A184" s="3" t="s">
        <v>21</v>
      </c>
      <c r="B184" s="3" t="s">
        <v>41</v>
      </c>
      <c r="C184" s="3" t="s">
        <v>23</v>
      </c>
      <c r="D184" s="3" t="s">
        <v>42</v>
      </c>
      <c r="E184" s="3" t="s">
        <v>49</v>
      </c>
      <c r="F184" s="3" t="s">
        <v>51</v>
      </c>
      <c r="G184" s="3" t="s">
        <v>25</v>
      </c>
      <c r="H184" s="3" t="s">
        <v>25</v>
      </c>
      <c r="I184" s="6">
        <v>44378</v>
      </c>
      <c r="J184" s="4">
        <v>0</v>
      </c>
      <c r="K184" s="4">
        <v>0</v>
      </c>
      <c r="L184" s="4">
        <v>1.831</v>
      </c>
      <c r="M184" s="4">
        <v>0.73240000000000005</v>
      </c>
      <c r="N184" s="4">
        <v>1.831</v>
      </c>
      <c r="O184" s="4">
        <v>0.73240000000000005</v>
      </c>
      <c r="P184" s="4">
        <v>0</v>
      </c>
      <c r="Q184" s="3" t="s">
        <v>26</v>
      </c>
      <c r="R184" s="3">
        <v>0</v>
      </c>
      <c r="S184" s="3">
        <v>0</v>
      </c>
      <c r="T184" s="3">
        <v>29</v>
      </c>
      <c r="U184" s="3">
        <v>63</v>
      </c>
      <c r="V184" s="4">
        <f>IF(ISERROR(VLOOKUP($S$184,'TAR FIN'!$A$1:$O$86,15,0)),0,VLOOKUP($S$184,'TAR FIN'!$A$1:$O$86,15,0))</f>
        <v>0</v>
      </c>
      <c r="W184" s="4">
        <f>IF(ISERROR(VLOOKUP($T$184,'TAR FIN'!$A$1:$O$86,15,0)),0,VLOOKUP($T$184,'TAR FIN'!$A$1:$O$86,15,0))</f>
        <v>410.79</v>
      </c>
      <c r="X184" s="4">
        <f>IF(ISERROR(VLOOKUP($U$184,'TAR FIN'!$A$1:$O$86,15,0)),0,VLOOKUP($U$184,'TAR FIN'!$A$1:$O$86,15,0))</f>
        <v>186.16</v>
      </c>
      <c r="Y184" s="4"/>
      <c r="Z184" s="4">
        <f ca="1">('TUSD BE'!$AM$33+'TUSD BF'!$AM$33+'TUSD CVA'!$AM$33)*(1-CUSTOS!$M$38)</f>
        <v>536.63434130853489</v>
      </c>
      <c r="AA184" s="4">
        <f>('TE BE'!$AB$24+'TE BF'!$AB$24+'TE CVA'!$AB$24)*(1-CUSTOS!$M$38)</f>
        <v>184.7746360391113</v>
      </c>
      <c r="AB184" s="4">
        <f t="shared" si="12"/>
        <v>0</v>
      </c>
      <c r="AC184" s="4">
        <f>(L184-M184)*(W184+X184)+($W$110+$X$110-$W$184-$X$184)*(L184)</f>
        <v>845.53748999999982</v>
      </c>
      <c r="AD184" s="4">
        <f t="shared" si="13"/>
        <v>0</v>
      </c>
      <c r="AE184" s="4">
        <f ca="1">(L184-M184)*(Z184+AA184)+($Z$110+$AA$110-$Z$184-$AA$184)*(L184)</f>
        <v>876.85265810073304</v>
      </c>
      <c r="AF184" s="3" t="s">
        <v>590</v>
      </c>
    </row>
    <row r="185" spans="1:32" ht="11.25" customHeight="1" x14ac:dyDescent="0.25">
      <c r="A185" s="3" t="s">
        <v>21</v>
      </c>
      <c r="B185" s="3" t="s">
        <v>41</v>
      </c>
      <c r="C185" s="3" t="s">
        <v>23</v>
      </c>
      <c r="D185" s="3" t="s">
        <v>42</v>
      </c>
      <c r="E185" s="3" t="s">
        <v>49</v>
      </c>
      <c r="F185" s="3" t="s">
        <v>51</v>
      </c>
      <c r="G185" s="3" t="s">
        <v>25</v>
      </c>
      <c r="H185" s="3" t="s">
        <v>25</v>
      </c>
      <c r="I185" s="6">
        <v>44409</v>
      </c>
      <c r="J185" s="4">
        <v>0</v>
      </c>
      <c r="K185" s="4">
        <v>0</v>
      </c>
      <c r="L185" s="4">
        <v>4.3730000000000002</v>
      </c>
      <c r="M185" s="4">
        <v>1.7492000000000001</v>
      </c>
      <c r="N185" s="4">
        <v>4.3730000000000002</v>
      </c>
      <c r="O185" s="4">
        <v>1.7492000000000001</v>
      </c>
      <c r="P185" s="4">
        <v>0</v>
      </c>
      <c r="Q185" s="3" t="s">
        <v>26</v>
      </c>
      <c r="R185" s="3">
        <v>0</v>
      </c>
      <c r="S185" s="3">
        <v>0</v>
      </c>
      <c r="T185" s="3">
        <v>29</v>
      </c>
      <c r="U185" s="3">
        <v>63</v>
      </c>
      <c r="V185" s="4">
        <f>IF(ISERROR(VLOOKUP($S$185,'TAR FIN'!$A$1:$O$86,15,0)),0,VLOOKUP($S$185,'TAR FIN'!$A$1:$O$86,15,0))</f>
        <v>0</v>
      </c>
      <c r="W185" s="4">
        <f>IF(ISERROR(VLOOKUP($T$185,'TAR FIN'!$A$1:$O$86,15,0)),0,VLOOKUP($T$185,'TAR FIN'!$A$1:$O$86,15,0))</f>
        <v>410.79</v>
      </c>
      <c r="X185" s="4">
        <f>IF(ISERROR(VLOOKUP($U$185,'TAR FIN'!$A$1:$O$86,15,0)),0,VLOOKUP($U$185,'TAR FIN'!$A$1:$O$86,15,0))</f>
        <v>186.16</v>
      </c>
      <c r="Y185" s="4"/>
      <c r="Z185" s="4">
        <f ca="1">('TUSD BE'!$AM$33+'TUSD BF'!$AM$33+'TUSD CVA'!$AM$33)*(1-CUSTOS!$M$38)</f>
        <v>536.63434130853489</v>
      </c>
      <c r="AA185" s="4">
        <f>('TE BE'!$AB$24+'TE BF'!$AB$24+'TE CVA'!$AB$24)*(1-CUSTOS!$M$38)</f>
        <v>184.7746360391113</v>
      </c>
      <c r="AB185" s="4">
        <f t="shared" si="12"/>
        <v>0</v>
      </c>
      <c r="AC185" s="4">
        <f>(L185-M185)*(W185+X185)+($W$110+$X$110-$W$185-$X$185)*(L185)</f>
        <v>2019.4076699999998</v>
      </c>
      <c r="AD185" s="4">
        <f t="shared" si="13"/>
        <v>0</v>
      </c>
      <c r="AE185" s="4">
        <f ca="1">(L185-M185)*(Z185+AA185)+($Z$110+$AA$110-$Z$185-$AA$185)*(L185)</f>
        <v>2094.1980742078131</v>
      </c>
      <c r="AF185" s="3" t="s">
        <v>590</v>
      </c>
    </row>
    <row r="186" spans="1:32" ht="11.25" customHeight="1" x14ac:dyDescent="0.25">
      <c r="A186" s="3" t="s">
        <v>21</v>
      </c>
      <c r="B186" s="3" t="s">
        <v>41</v>
      </c>
      <c r="C186" s="3" t="s">
        <v>23</v>
      </c>
      <c r="D186" s="3" t="s">
        <v>42</v>
      </c>
      <c r="E186" s="3" t="s">
        <v>49</v>
      </c>
      <c r="F186" s="3" t="s">
        <v>51</v>
      </c>
      <c r="G186" s="3" t="s">
        <v>25</v>
      </c>
      <c r="H186" s="3" t="s">
        <v>25</v>
      </c>
      <c r="I186" s="6">
        <v>44440</v>
      </c>
      <c r="J186" s="4">
        <v>0</v>
      </c>
      <c r="K186" s="4">
        <v>0</v>
      </c>
      <c r="L186" s="4">
        <v>5.4829999999999997</v>
      </c>
      <c r="M186" s="4">
        <v>2.1932</v>
      </c>
      <c r="N186" s="4">
        <v>5.4829999999999997</v>
      </c>
      <c r="O186" s="4">
        <v>2.1932</v>
      </c>
      <c r="P186" s="4">
        <v>0</v>
      </c>
      <c r="Q186" s="3" t="s">
        <v>26</v>
      </c>
      <c r="R186" s="3">
        <v>0</v>
      </c>
      <c r="S186" s="3">
        <v>0</v>
      </c>
      <c r="T186" s="3">
        <v>29</v>
      </c>
      <c r="U186" s="3">
        <v>63</v>
      </c>
      <c r="V186" s="4">
        <f>IF(ISERROR(VLOOKUP($S$186,'TAR FIN'!$A$1:$O$86,15,0)),0,VLOOKUP($S$186,'TAR FIN'!$A$1:$O$86,15,0))</f>
        <v>0</v>
      </c>
      <c r="W186" s="4">
        <f>IF(ISERROR(VLOOKUP($T$186,'TAR FIN'!$A$1:$O$86,15,0)),0,VLOOKUP($T$186,'TAR FIN'!$A$1:$O$86,15,0))</f>
        <v>410.79</v>
      </c>
      <c r="X186" s="4">
        <f>IF(ISERROR(VLOOKUP($U$186,'TAR FIN'!$A$1:$O$86,15,0)),0,VLOOKUP($U$186,'TAR FIN'!$A$1:$O$86,15,0))</f>
        <v>186.16</v>
      </c>
      <c r="Y186" s="4"/>
      <c r="Z186" s="4">
        <f ca="1">('TUSD BE'!$AM$33+'TUSD BF'!$AM$33+'TUSD CVA'!$AM$33)*(1-CUSTOS!$M$38)</f>
        <v>536.63434130853489</v>
      </c>
      <c r="AA186" s="4">
        <f>('TE BE'!$AB$24+'TE BF'!$AB$24+'TE CVA'!$AB$24)*(1-CUSTOS!$M$38)</f>
        <v>184.7746360391113</v>
      </c>
      <c r="AB186" s="4">
        <f t="shared" si="12"/>
        <v>0</v>
      </c>
      <c r="AC186" s="4">
        <f>(L186-M186)*(W186+X186)+($W$110+$X$110-$W$186-$X$186)*(L186)</f>
        <v>2531.9945699999994</v>
      </c>
      <c r="AD186" s="4">
        <f t="shared" si="13"/>
        <v>0</v>
      </c>
      <c r="AE186" s="4">
        <f ca="1">(L186-M186)*(Z186+AA186)+($Z$110+$AA$110-$Z$186-$AA$186)*(L186)</f>
        <v>2625.7690466227846</v>
      </c>
      <c r="AF186" s="3" t="s">
        <v>590</v>
      </c>
    </row>
    <row r="187" spans="1:32" ht="11.25" customHeight="1" x14ac:dyDescent="0.25">
      <c r="A187" s="3" t="s">
        <v>21</v>
      </c>
      <c r="B187" s="3" t="s">
        <v>41</v>
      </c>
      <c r="C187" s="3" t="s">
        <v>23</v>
      </c>
      <c r="D187" s="3" t="s">
        <v>42</v>
      </c>
      <c r="E187" s="3" t="s">
        <v>49</v>
      </c>
      <c r="F187" s="3" t="s">
        <v>51</v>
      </c>
      <c r="G187" s="3" t="s">
        <v>25</v>
      </c>
      <c r="H187" s="3" t="s">
        <v>25</v>
      </c>
      <c r="I187" s="6">
        <v>44470</v>
      </c>
      <c r="J187" s="4">
        <v>0</v>
      </c>
      <c r="K187" s="4">
        <v>0</v>
      </c>
      <c r="L187" s="4">
        <v>1.776</v>
      </c>
      <c r="M187" s="4">
        <v>0.71040000000000003</v>
      </c>
      <c r="N187" s="4">
        <v>1.776</v>
      </c>
      <c r="O187" s="4">
        <v>0.71040000000000003</v>
      </c>
      <c r="P187" s="4">
        <v>0</v>
      </c>
      <c r="Q187" s="3" t="s">
        <v>26</v>
      </c>
      <c r="R187" s="3">
        <v>0</v>
      </c>
      <c r="S187" s="3">
        <v>0</v>
      </c>
      <c r="T187" s="3">
        <v>29</v>
      </c>
      <c r="U187" s="3">
        <v>63</v>
      </c>
      <c r="V187" s="4">
        <f>IF(ISERROR(VLOOKUP($S$187,'TAR FIN'!$A$1:$O$86,15,0)),0,VLOOKUP($S$187,'TAR FIN'!$A$1:$O$86,15,0))</f>
        <v>0</v>
      </c>
      <c r="W187" s="4">
        <f>IF(ISERROR(VLOOKUP($T$187,'TAR FIN'!$A$1:$O$86,15,0)),0,VLOOKUP($T$187,'TAR FIN'!$A$1:$O$86,15,0))</f>
        <v>410.79</v>
      </c>
      <c r="X187" s="4">
        <f>IF(ISERROR(VLOOKUP($U$187,'TAR FIN'!$A$1:$O$86,15,0)),0,VLOOKUP($U$187,'TAR FIN'!$A$1:$O$86,15,0))</f>
        <v>186.16</v>
      </c>
      <c r="Y187" s="4"/>
      <c r="Z187" s="4">
        <f ca="1">('TUSD BE'!$AM$33+'TUSD BF'!$AM$33+'TUSD CVA'!$AM$33)*(1-CUSTOS!$M$38)</f>
        <v>536.63434130853489</v>
      </c>
      <c r="AA187" s="4">
        <f>('TE BE'!$AB$24+'TE BF'!$AB$24+'TE CVA'!$AB$24)*(1-CUSTOS!$M$38)</f>
        <v>184.7746360391113</v>
      </c>
      <c r="AB187" s="4">
        <f t="shared" si="12"/>
        <v>0</v>
      </c>
      <c r="AC187" s="4">
        <f>(L187-M187)*(W187+X187)+($W$110+$X$110-$W$187-$X$187)*(L187)</f>
        <v>820.1390399999998</v>
      </c>
      <c r="AD187" s="4">
        <f t="shared" si="13"/>
        <v>0</v>
      </c>
      <c r="AE187" s="4">
        <f ca="1">(L187-M187)*(Z187+AA187)+($Z$110+$AA$110-$Z$187-$AA$187)*(L187)</f>
        <v>850.51355586395505</v>
      </c>
      <c r="AF187" s="3" t="s">
        <v>590</v>
      </c>
    </row>
    <row r="188" spans="1:32" ht="11.25" customHeight="1" x14ac:dyDescent="0.25">
      <c r="A188" s="3" t="s">
        <v>28</v>
      </c>
      <c r="B188" s="3" t="s">
        <v>41</v>
      </c>
      <c r="C188" s="3" t="s">
        <v>23</v>
      </c>
      <c r="D188" s="3" t="s">
        <v>42</v>
      </c>
      <c r="E188" s="3" t="s">
        <v>49</v>
      </c>
      <c r="F188" s="3" t="s">
        <v>51</v>
      </c>
      <c r="G188" s="3" t="s">
        <v>25</v>
      </c>
      <c r="H188" s="3" t="s">
        <v>25</v>
      </c>
      <c r="I188" s="6">
        <v>44470</v>
      </c>
      <c r="J188" s="4">
        <v>0</v>
      </c>
      <c r="K188" s="4">
        <v>0</v>
      </c>
      <c r="L188" s="4">
        <v>4.0000000000000001E-3</v>
      </c>
      <c r="M188" s="4">
        <v>4.0000000000000001E-3</v>
      </c>
      <c r="N188" s="4">
        <v>4.0000000000000001E-3</v>
      </c>
      <c r="O188" s="4">
        <v>4.0000000000000001E-3</v>
      </c>
      <c r="P188" s="4">
        <v>0</v>
      </c>
      <c r="Q188" s="3" t="s">
        <v>26</v>
      </c>
      <c r="R188" s="3">
        <v>0</v>
      </c>
      <c r="S188" s="3">
        <v>0</v>
      </c>
      <c r="T188" s="3">
        <v>29</v>
      </c>
      <c r="U188" s="3">
        <v>63</v>
      </c>
      <c r="V188" s="4">
        <f>IF(ISERROR(VLOOKUP($S$188,'TAR FIN'!$A$1:$O$86,15,0)),0,VLOOKUP($S$188,'TAR FIN'!$A$1:$O$86,15,0))</f>
        <v>0</v>
      </c>
      <c r="W188" s="4">
        <f>IF(ISERROR(VLOOKUP($T$188,'TAR FIN'!$A$1:$O$86,15,0)),0,VLOOKUP($T$188,'TAR FIN'!$A$1:$O$86,15,0))</f>
        <v>410.79</v>
      </c>
      <c r="X188" s="4">
        <f>IF(ISERROR(VLOOKUP($U$188,'TAR FIN'!$A$1:$O$86,15,0)),0,VLOOKUP($U$188,'TAR FIN'!$A$1:$O$86,15,0))</f>
        <v>186.16</v>
      </c>
      <c r="Y188" s="4"/>
      <c r="Z188" s="4">
        <f ca="1">('TUSD BE'!$AM$33+'TUSD BF'!$AM$33+'TUSD CVA'!$AM$33)*(1-CUSTOS!$M$38)</f>
        <v>536.63434130853489</v>
      </c>
      <c r="AA188" s="4">
        <f>('TE BE'!$AB$24+'TE BF'!$AB$24+'TE CVA'!$AB$24)*(1-CUSTOS!$M$38)</f>
        <v>184.7746360391113</v>
      </c>
      <c r="AB188" s="4">
        <f t="shared" si="12"/>
        <v>0</v>
      </c>
      <c r="AC188" s="4">
        <f>(L188-M188)*(W188+X188)+($W$110+$X$110-$W$188-$X$188)*(L188)</f>
        <v>0.41447999999999968</v>
      </c>
      <c r="AD188" s="4">
        <f t="shared" si="13"/>
        <v>0</v>
      </c>
      <c r="AE188" s="4">
        <f ca="1">(L188-M188)*(Z188+AA188)+($Z$110+$AA$110-$Z$188-$AA$188)*(L188)</f>
        <v>0.18418952613131398</v>
      </c>
      <c r="AF188" s="3" t="s">
        <v>589</v>
      </c>
    </row>
    <row r="189" spans="1:32" ht="11.25" customHeight="1" x14ac:dyDescent="0.25">
      <c r="A189" s="3" t="s">
        <v>21</v>
      </c>
      <c r="B189" s="3" t="s">
        <v>41</v>
      </c>
      <c r="C189" s="3" t="s">
        <v>23</v>
      </c>
      <c r="D189" s="3" t="s">
        <v>42</v>
      </c>
      <c r="E189" s="3" t="s">
        <v>49</v>
      </c>
      <c r="F189" s="3" t="s">
        <v>51</v>
      </c>
      <c r="G189" s="3" t="s">
        <v>25</v>
      </c>
      <c r="H189" s="3" t="s">
        <v>25</v>
      </c>
      <c r="I189" s="6">
        <v>44501</v>
      </c>
      <c r="J189" s="4">
        <v>0</v>
      </c>
      <c r="K189" s="4">
        <v>0</v>
      </c>
      <c r="L189" s="4">
        <v>48.173999999999999</v>
      </c>
      <c r="M189" s="4">
        <v>19.269600000000001</v>
      </c>
      <c r="N189" s="4">
        <v>48.173999999999999</v>
      </c>
      <c r="O189" s="4">
        <v>19.269600000000001</v>
      </c>
      <c r="P189" s="4">
        <v>0</v>
      </c>
      <c r="Q189" s="3" t="s">
        <v>26</v>
      </c>
      <c r="R189" s="3">
        <v>0</v>
      </c>
      <c r="S189" s="3">
        <v>0</v>
      </c>
      <c r="T189" s="3">
        <v>29</v>
      </c>
      <c r="U189" s="3">
        <v>63</v>
      </c>
      <c r="V189" s="4">
        <f>IF(ISERROR(VLOOKUP($S$189,'TAR FIN'!$A$1:$O$86,15,0)),0,VLOOKUP($S$189,'TAR FIN'!$A$1:$O$86,15,0))</f>
        <v>0</v>
      </c>
      <c r="W189" s="4">
        <f>IF(ISERROR(VLOOKUP($T$189,'TAR FIN'!$A$1:$O$86,15,0)),0,VLOOKUP($T$189,'TAR FIN'!$A$1:$O$86,15,0))</f>
        <v>410.79</v>
      </c>
      <c r="X189" s="4">
        <f>IF(ISERROR(VLOOKUP($U$189,'TAR FIN'!$A$1:$O$86,15,0)),0,VLOOKUP($U$189,'TAR FIN'!$A$1:$O$86,15,0))</f>
        <v>186.16</v>
      </c>
      <c r="Y189" s="4"/>
      <c r="Z189" s="4">
        <f ca="1">('TUSD BE'!$AM$33+'TUSD BF'!$AM$33+'TUSD CVA'!$AM$33)*(1-CUSTOS!$M$38)</f>
        <v>536.63434130853489</v>
      </c>
      <c r="AA189" s="4">
        <f>('TE BE'!$AB$24+'TE BF'!$AB$24+'TE CVA'!$AB$24)*(1-CUSTOS!$M$38)</f>
        <v>184.7746360391113</v>
      </c>
      <c r="AB189" s="4">
        <f t="shared" si="12"/>
        <v>0</v>
      </c>
      <c r="AC189" s="4">
        <f>(L189-M189)*(W189+X189)+($W$110+$X$110-$W$189-$X$189)*(L189)</f>
        <v>22246.271459999996</v>
      </c>
      <c r="AD189" s="4">
        <f t="shared" si="13"/>
        <v>0</v>
      </c>
      <c r="AE189" s="4">
        <f ca="1">(L189-M189)*(Z189+AA189)+($Z$110+$AA$110-$Z$189-$AA$189)*(L189)</f>
        <v>23070.180202809785</v>
      </c>
      <c r="AF189" s="3" t="s">
        <v>590</v>
      </c>
    </row>
    <row r="190" spans="1:32" ht="11.25" customHeight="1" x14ac:dyDescent="0.25">
      <c r="A190" s="3" t="s">
        <v>28</v>
      </c>
      <c r="B190" s="3" t="s">
        <v>41</v>
      </c>
      <c r="C190" s="3" t="s">
        <v>23</v>
      </c>
      <c r="D190" s="3" t="s">
        <v>42</v>
      </c>
      <c r="E190" s="3" t="s">
        <v>49</v>
      </c>
      <c r="F190" s="3" t="s">
        <v>51</v>
      </c>
      <c r="G190" s="3" t="s">
        <v>25</v>
      </c>
      <c r="H190" s="3" t="s">
        <v>25</v>
      </c>
      <c r="I190" s="6">
        <v>44501</v>
      </c>
      <c r="J190" s="4">
        <v>0</v>
      </c>
      <c r="K190" s="4">
        <v>0</v>
      </c>
      <c r="L190" s="4">
        <v>6.6000000000000003E-2</v>
      </c>
      <c r="M190" s="4">
        <v>6.6000000000000003E-2</v>
      </c>
      <c r="N190" s="4">
        <v>6.6000000000000003E-2</v>
      </c>
      <c r="O190" s="4">
        <v>6.6000000000000003E-2</v>
      </c>
      <c r="P190" s="4">
        <v>0</v>
      </c>
      <c r="Q190" s="3" t="s">
        <v>26</v>
      </c>
      <c r="R190" s="3">
        <v>0</v>
      </c>
      <c r="S190" s="3">
        <v>0</v>
      </c>
      <c r="T190" s="3">
        <v>29</v>
      </c>
      <c r="U190" s="3">
        <v>63</v>
      </c>
      <c r="V190" s="4">
        <f>IF(ISERROR(VLOOKUP($S$190,'TAR FIN'!$A$1:$O$86,15,0)),0,VLOOKUP($S$190,'TAR FIN'!$A$1:$O$86,15,0))</f>
        <v>0</v>
      </c>
      <c r="W190" s="4">
        <f>IF(ISERROR(VLOOKUP($T$190,'TAR FIN'!$A$1:$O$86,15,0)),0,VLOOKUP($T$190,'TAR FIN'!$A$1:$O$86,15,0))</f>
        <v>410.79</v>
      </c>
      <c r="X190" s="4">
        <f>IF(ISERROR(VLOOKUP($U$190,'TAR FIN'!$A$1:$O$86,15,0)),0,VLOOKUP($U$190,'TAR FIN'!$A$1:$O$86,15,0))</f>
        <v>186.16</v>
      </c>
      <c r="Y190" s="4"/>
      <c r="Z190" s="4">
        <f ca="1">('TUSD BE'!$AM$33+'TUSD BF'!$AM$33+'TUSD CVA'!$AM$33)*(1-CUSTOS!$M$38)</f>
        <v>536.63434130853489</v>
      </c>
      <c r="AA190" s="4">
        <f>('TE BE'!$AB$24+'TE BF'!$AB$24+'TE CVA'!$AB$24)*(1-CUSTOS!$M$38)</f>
        <v>184.7746360391113</v>
      </c>
      <c r="AB190" s="4">
        <f t="shared" si="12"/>
        <v>0</v>
      </c>
      <c r="AC190" s="4">
        <f>(L190-M190)*(W190+X190)+($W$110+$X$110-$W$190-$X$190)*(L190)</f>
        <v>6.8389199999999946</v>
      </c>
      <c r="AD190" s="4">
        <f t="shared" si="13"/>
        <v>0</v>
      </c>
      <c r="AE190" s="4">
        <f ca="1">(L190-M190)*(Z190+AA190)+($Z$110+$AA$110-$Z$190-$AA$190)*(L190)</f>
        <v>3.0391271811666809</v>
      </c>
      <c r="AF190" s="3" t="s">
        <v>589</v>
      </c>
    </row>
    <row r="191" spans="1:32" ht="11.25" customHeight="1" x14ac:dyDescent="0.25">
      <c r="A191" s="3" t="s">
        <v>21</v>
      </c>
      <c r="B191" s="3" t="s">
        <v>41</v>
      </c>
      <c r="C191" s="3" t="s">
        <v>23</v>
      </c>
      <c r="D191" s="3" t="s">
        <v>42</v>
      </c>
      <c r="E191" s="3" t="s">
        <v>49</v>
      </c>
      <c r="F191" s="3" t="s">
        <v>51</v>
      </c>
      <c r="G191" s="3" t="s">
        <v>25</v>
      </c>
      <c r="H191" s="3" t="s">
        <v>25</v>
      </c>
      <c r="I191" s="6">
        <v>44531</v>
      </c>
      <c r="J191" s="4">
        <v>0</v>
      </c>
      <c r="K191" s="4">
        <v>0</v>
      </c>
      <c r="L191" s="4">
        <v>81.238</v>
      </c>
      <c r="M191" s="4">
        <v>32.495199999999997</v>
      </c>
      <c r="N191" s="4">
        <v>81.238</v>
      </c>
      <c r="O191" s="4">
        <v>32.495199999999997</v>
      </c>
      <c r="P191" s="4">
        <v>0</v>
      </c>
      <c r="Q191" s="3" t="s">
        <v>26</v>
      </c>
      <c r="R191" s="3">
        <v>0</v>
      </c>
      <c r="S191" s="3">
        <v>0</v>
      </c>
      <c r="T191" s="3">
        <v>29</v>
      </c>
      <c r="U191" s="3">
        <v>63</v>
      </c>
      <c r="V191" s="4">
        <f>IF(ISERROR(VLOOKUP($S$191,'TAR FIN'!$A$1:$O$86,15,0)),0,VLOOKUP($S$191,'TAR FIN'!$A$1:$O$86,15,0))</f>
        <v>0</v>
      </c>
      <c r="W191" s="4">
        <f>IF(ISERROR(VLOOKUP($T$191,'TAR FIN'!$A$1:$O$86,15,0)),0,VLOOKUP($T$191,'TAR FIN'!$A$1:$O$86,15,0))</f>
        <v>410.79</v>
      </c>
      <c r="X191" s="4">
        <f>IF(ISERROR(VLOOKUP($U$191,'TAR FIN'!$A$1:$O$86,15,0)),0,VLOOKUP($U$191,'TAR FIN'!$A$1:$O$86,15,0))</f>
        <v>186.16</v>
      </c>
      <c r="Y191" s="4"/>
      <c r="Z191" s="4">
        <f ca="1">('TUSD BE'!$AM$33+'TUSD BF'!$AM$33+'TUSD CVA'!$AM$33)*(1-CUSTOS!$M$38)</f>
        <v>536.63434130853489</v>
      </c>
      <c r="AA191" s="4">
        <f>('TE BE'!$AB$24+'TE BF'!$AB$24+'TE CVA'!$AB$24)*(1-CUSTOS!$M$38)</f>
        <v>184.7746360391113</v>
      </c>
      <c r="AB191" s="4">
        <f t="shared" si="12"/>
        <v>0</v>
      </c>
      <c r="AC191" s="4">
        <f>(L191-M191)*(W191+X191)+($W$110+$X$110-$W$191-$X$191)*(L191)</f>
        <v>37514.896019999993</v>
      </c>
      <c r="AD191" s="4">
        <f t="shared" si="13"/>
        <v>0</v>
      </c>
      <c r="AE191" s="4">
        <f ca="1">(L191-M191)*(Z191+AA191)+($Z$110+$AA$110-$Z$191-$AA$191)*(L191)</f>
        <v>38904.290682024774</v>
      </c>
      <c r="AF191" s="3" t="s">
        <v>590</v>
      </c>
    </row>
    <row r="192" spans="1:32" ht="11.25" customHeight="1" x14ac:dyDescent="0.25">
      <c r="A192" s="3" t="s">
        <v>28</v>
      </c>
      <c r="B192" s="3" t="s">
        <v>41</v>
      </c>
      <c r="C192" s="3" t="s">
        <v>23</v>
      </c>
      <c r="D192" s="3" t="s">
        <v>42</v>
      </c>
      <c r="E192" s="3" t="s">
        <v>49</v>
      </c>
      <c r="F192" s="3" t="s">
        <v>51</v>
      </c>
      <c r="G192" s="3" t="s">
        <v>25</v>
      </c>
      <c r="H192" s="3" t="s">
        <v>25</v>
      </c>
      <c r="I192" s="6">
        <v>44531</v>
      </c>
      <c r="J192" s="4">
        <v>0</v>
      </c>
      <c r="K192" s="4">
        <v>0</v>
      </c>
      <c r="L192" s="4">
        <v>0.126</v>
      </c>
      <c r="M192" s="4">
        <v>0.126</v>
      </c>
      <c r="N192" s="4">
        <v>0.126</v>
      </c>
      <c r="O192" s="4">
        <v>0.126</v>
      </c>
      <c r="P192" s="4">
        <v>0</v>
      </c>
      <c r="Q192" s="3" t="s">
        <v>26</v>
      </c>
      <c r="R192" s="3">
        <v>0</v>
      </c>
      <c r="S192" s="3">
        <v>0</v>
      </c>
      <c r="T192" s="3">
        <v>29</v>
      </c>
      <c r="U192" s="3">
        <v>63</v>
      </c>
      <c r="V192" s="4">
        <f>IF(ISERROR(VLOOKUP($S$192,'TAR FIN'!$A$1:$O$86,15,0)),0,VLOOKUP($S$192,'TAR FIN'!$A$1:$O$86,15,0))</f>
        <v>0</v>
      </c>
      <c r="W192" s="4">
        <f>IF(ISERROR(VLOOKUP($T$192,'TAR FIN'!$A$1:$O$86,15,0)),0,VLOOKUP($T$192,'TAR FIN'!$A$1:$O$86,15,0))</f>
        <v>410.79</v>
      </c>
      <c r="X192" s="4">
        <f>IF(ISERROR(VLOOKUP($U$192,'TAR FIN'!$A$1:$O$86,15,0)),0,VLOOKUP($U$192,'TAR FIN'!$A$1:$O$86,15,0))</f>
        <v>186.16</v>
      </c>
      <c r="Y192" s="4"/>
      <c r="Z192" s="4">
        <f ca="1">('TUSD BE'!$AM$33+'TUSD BF'!$AM$33+'TUSD CVA'!$AM$33)*(1-CUSTOS!$M$38)</f>
        <v>536.63434130853489</v>
      </c>
      <c r="AA192" s="4">
        <f>('TE BE'!$AB$24+'TE BF'!$AB$24+'TE CVA'!$AB$24)*(1-CUSTOS!$M$38)</f>
        <v>184.7746360391113</v>
      </c>
      <c r="AB192" s="4">
        <f t="shared" si="12"/>
        <v>0</v>
      </c>
      <c r="AC192" s="4">
        <f>(L192-M192)*(W192+X192)+($W$110+$X$110-$W$192-$X$192)*(L192)</f>
        <v>13.056119999999989</v>
      </c>
      <c r="AD192" s="4">
        <f t="shared" si="13"/>
        <v>0</v>
      </c>
      <c r="AE192" s="4">
        <f ca="1">(L192-M192)*(Z192+AA192)+($Z$110+$AA$110-$Z$192-$AA$192)*(L192)</f>
        <v>5.8019700731363901</v>
      </c>
      <c r="AF192" s="3" t="s">
        <v>589</v>
      </c>
    </row>
    <row r="193" spans="1:32" ht="11.25" customHeight="1" x14ac:dyDescent="0.25">
      <c r="A193" s="3" t="s">
        <v>21</v>
      </c>
      <c r="B193" s="3" t="s">
        <v>41</v>
      </c>
      <c r="C193" s="3" t="s">
        <v>23</v>
      </c>
      <c r="D193" s="3" t="s">
        <v>42</v>
      </c>
      <c r="E193" s="3" t="s">
        <v>49</v>
      </c>
      <c r="F193" s="3" t="s">
        <v>51</v>
      </c>
      <c r="G193" s="3" t="s">
        <v>25</v>
      </c>
      <c r="H193" s="3" t="s">
        <v>25</v>
      </c>
      <c r="I193" s="6">
        <v>44562</v>
      </c>
      <c r="J193" s="4">
        <v>0</v>
      </c>
      <c r="K193" s="4">
        <v>0</v>
      </c>
      <c r="L193" s="4">
        <v>52.499000000000002</v>
      </c>
      <c r="M193" s="4">
        <v>20.999600000000001</v>
      </c>
      <c r="N193" s="4">
        <v>52.499000000000002</v>
      </c>
      <c r="O193" s="4">
        <v>20.999600000000001</v>
      </c>
      <c r="P193" s="4">
        <v>0</v>
      </c>
      <c r="Q193" s="3" t="s">
        <v>26</v>
      </c>
      <c r="R193" s="3">
        <v>0</v>
      </c>
      <c r="S193" s="3">
        <v>0</v>
      </c>
      <c r="T193" s="3">
        <v>29</v>
      </c>
      <c r="U193" s="3">
        <v>63</v>
      </c>
      <c r="V193" s="4">
        <f>IF(ISERROR(VLOOKUP($S$193,'TAR FIN'!$A$1:$O$86,15,0)),0,VLOOKUP($S$193,'TAR FIN'!$A$1:$O$86,15,0))</f>
        <v>0</v>
      </c>
      <c r="W193" s="4">
        <f>IF(ISERROR(VLOOKUP($T$193,'TAR FIN'!$A$1:$O$86,15,0)),0,VLOOKUP($T$193,'TAR FIN'!$A$1:$O$86,15,0))</f>
        <v>410.79</v>
      </c>
      <c r="X193" s="4">
        <f>IF(ISERROR(VLOOKUP($U$193,'TAR FIN'!$A$1:$O$86,15,0)),0,VLOOKUP($U$193,'TAR FIN'!$A$1:$O$86,15,0))</f>
        <v>186.16</v>
      </c>
      <c r="Y193" s="4"/>
      <c r="Z193" s="4">
        <f ca="1">('TUSD BE'!$AM$33+'TUSD BF'!$AM$33+'TUSD CVA'!$AM$33)*(1-CUSTOS!$M$38)</f>
        <v>536.63434130853489</v>
      </c>
      <c r="AA193" s="4">
        <f>('TE BE'!$AB$24+'TE BF'!$AB$24+'TE CVA'!$AB$24)*(1-CUSTOS!$M$38)</f>
        <v>184.7746360391113</v>
      </c>
      <c r="AB193" s="4">
        <f t="shared" si="12"/>
        <v>0</v>
      </c>
      <c r="AC193" s="4">
        <f>(L193-M193)*(W193+X193)+($W$110+$X$110-$W$193-$X$193)*(L193)</f>
        <v>24243.513209999997</v>
      </c>
      <c r="AD193" s="4">
        <f t="shared" si="13"/>
        <v>0</v>
      </c>
      <c r="AE193" s="4">
        <f ca="1">(L193-M193)*(Z193+AA193)+($Z$110+$AA$110-$Z$193-$AA$193)*(L193)</f>
        <v>25141.391424156413</v>
      </c>
      <c r="AF193" s="3" t="s">
        <v>590</v>
      </c>
    </row>
    <row r="194" spans="1:32" ht="11.25" customHeight="1" x14ac:dyDescent="0.25">
      <c r="A194" s="3" t="s">
        <v>28</v>
      </c>
      <c r="B194" s="3" t="s">
        <v>41</v>
      </c>
      <c r="C194" s="3" t="s">
        <v>23</v>
      </c>
      <c r="D194" s="3" t="s">
        <v>42</v>
      </c>
      <c r="E194" s="3" t="s">
        <v>49</v>
      </c>
      <c r="F194" s="3" t="s">
        <v>51</v>
      </c>
      <c r="G194" s="3" t="s">
        <v>25</v>
      </c>
      <c r="H194" s="3" t="s">
        <v>25</v>
      </c>
      <c r="I194" s="6">
        <v>44562</v>
      </c>
      <c r="J194" s="4">
        <v>0</v>
      </c>
      <c r="K194" s="4">
        <v>0</v>
      </c>
      <c r="L194" s="4">
        <v>0.86899999999999999</v>
      </c>
      <c r="M194" s="4">
        <v>0.86899999999999999</v>
      </c>
      <c r="N194" s="4">
        <v>0.86899999999999999</v>
      </c>
      <c r="O194" s="4">
        <v>0.86899999999999999</v>
      </c>
      <c r="P194" s="4">
        <v>0</v>
      </c>
      <c r="Q194" s="3" t="s">
        <v>26</v>
      </c>
      <c r="R194" s="3">
        <v>0</v>
      </c>
      <c r="S194" s="3">
        <v>0</v>
      </c>
      <c r="T194" s="3">
        <v>29</v>
      </c>
      <c r="U194" s="3">
        <v>63</v>
      </c>
      <c r="V194" s="4">
        <f>IF(ISERROR(VLOOKUP($S$194,'TAR FIN'!$A$1:$O$86,15,0)),0,VLOOKUP($S$194,'TAR FIN'!$A$1:$O$86,15,0))</f>
        <v>0</v>
      </c>
      <c r="W194" s="4">
        <f>IF(ISERROR(VLOOKUP($T$194,'TAR FIN'!$A$1:$O$86,15,0)),0,VLOOKUP($T$194,'TAR FIN'!$A$1:$O$86,15,0))</f>
        <v>410.79</v>
      </c>
      <c r="X194" s="4">
        <f>IF(ISERROR(VLOOKUP($U$194,'TAR FIN'!$A$1:$O$86,15,0)),0,VLOOKUP($U$194,'TAR FIN'!$A$1:$O$86,15,0))</f>
        <v>186.16</v>
      </c>
      <c r="Y194" s="4"/>
      <c r="Z194" s="4">
        <f ca="1">('TUSD BE'!$AM$33+'TUSD BF'!$AM$33+'TUSD CVA'!$AM$33)*(1-CUSTOS!$M$38)</f>
        <v>536.63434130853489</v>
      </c>
      <c r="AA194" s="4">
        <f>('TE BE'!$AB$24+'TE BF'!$AB$24+'TE CVA'!$AB$24)*(1-CUSTOS!$M$38)</f>
        <v>184.7746360391113</v>
      </c>
      <c r="AB194" s="4">
        <f t="shared" ref="AB194:AB257" si="14">(J194-K194)*V194</f>
        <v>0</v>
      </c>
      <c r="AC194" s="4">
        <f>(L194-M194)*(W194+X194)+($W$110+$X$110-$W$194-$X$194)*(L194)</f>
        <v>90.045779999999922</v>
      </c>
      <c r="AD194" s="4">
        <f t="shared" ref="AD194:AD257" si="15">(J194-K194)*Y194</f>
        <v>0</v>
      </c>
      <c r="AE194" s="4">
        <f ca="1">(L194-M194)*(Z194+AA194)+($Z$110+$AA$110-$Z$194-$AA$194)*(L194)</f>
        <v>40.015174552027965</v>
      </c>
      <c r="AF194" s="3" t="s">
        <v>589</v>
      </c>
    </row>
    <row r="195" spans="1:32" ht="11.25" customHeight="1" x14ac:dyDescent="0.25">
      <c r="A195" s="3" t="s">
        <v>21</v>
      </c>
      <c r="B195" s="3" t="s">
        <v>41</v>
      </c>
      <c r="C195" s="3" t="s">
        <v>23</v>
      </c>
      <c r="D195" s="3" t="s">
        <v>42</v>
      </c>
      <c r="E195" s="3" t="s">
        <v>49</v>
      </c>
      <c r="F195" s="3" t="s">
        <v>51</v>
      </c>
      <c r="G195" s="3" t="s">
        <v>25</v>
      </c>
      <c r="H195" s="3" t="s">
        <v>25</v>
      </c>
      <c r="I195" s="6">
        <v>44593</v>
      </c>
      <c r="J195" s="4">
        <v>0</v>
      </c>
      <c r="K195" s="4">
        <v>0</v>
      </c>
      <c r="L195" s="4">
        <v>28.091000000000001</v>
      </c>
      <c r="M195" s="4">
        <v>11.2364</v>
      </c>
      <c r="N195" s="4">
        <v>28.091000000000001</v>
      </c>
      <c r="O195" s="4">
        <v>11.2364</v>
      </c>
      <c r="P195" s="4">
        <v>0</v>
      </c>
      <c r="Q195" s="3" t="s">
        <v>26</v>
      </c>
      <c r="R195" s="3">
        <v>0</v>
      </c>
      <c r="S195" s="3">
        <v>0</v>
      </c>
      <c r="T195" s="3">
        <v>29</v>
      </c>
      <c r="U195" s="3">
        <v>63</v>
      </c>
      <c r="V195" s="4">
        <f>IF(ISERROR(VLOOKUP($S$195,'TAR FIN'!$A$1:$O$86,15,0)),0,VLOOKUP($S$195,'TAR FIN'!$A$1:$O$86,15,0))</f>
        <v>0</v>
      </c>
      <c r="W195" s="4">
        <f>IF(ISERROR(VLOOKUP($T$195,'TAR FIN'!$A$1:$O$86,15,0)),0,VLOOKUP($T$195,'TAR FIN'!$A$1:$O$86,15,0))</f>
        <v>410.79</v>
      </c>
      <c r="X195" s="4">
        <f>IF(ISERROR(VLOOKUP($U$195,'TAR FIN'!$A$1:$O$86,15,0)),0,VLOOKUP($U$195,'TAR FIN'!$A$1:$O$86,15,0))</f>
        <v>186.16</v>
      </c>
      <c r="Y195" s="4"/>
      <c r="Z195" s="4">
        <f ca="1">('TUSD BE'!$AM$33+'TUSD BF'!$AM$33+'TUSD CVA'!$AM$33)*(1-CUSTOS!$M$38)</f>
        <v>536.63434130853489</v>
      </c>
      <c r="AA195" s="4">
        <f>('TE BE'!$AB$24+'TE BF'!$AB$24+'TE CVA'!$AB$24)*(1-CUSTOS!$M$38)</f>
        <v>184.7746360391113</v>
      </c>
      <c r="AB195" s="4">
        <f t="shared" si="14"/>
        <v>0</v>
      </c>
      <c r="AC195" s="4">
        <f>(L195-M195)*(W195+X195)+($W$110+$X$110-$W$195-$X$195)*(L195)</f>
        <v>12972.142889999999</v>
      </c>
      <c r="AD195" s="4">
        <f t="shared" si="15"/>
        <v>0</v>
      </c>
      <c r="AE195" s="4">
        <f ca="1">(L195-M195)*(Z195+AA195)+($Z$110+$AA$110-$Z$195-$AA$195)*(L195)</f>
        <v>13452.576744242324</v>
      </c>
      <c r="AF195" s="3" t="s">
        <v>590</v>
      </c>
    </row>
    <row r="196" spans="1:32" ht="11.25" customHeight="1" x14ac:dyDescent="0.25">
      <c r="A196" s="3" t="s">
        <v>21</v>
      </c>
      <c r="B196" s="3" t="s">
        <v>41</v>
      </c>
      <c r="C196" s="3" t="s">
        <v>23</v>
      </c>
      <c r="D196" s="3" t="s">
        <v>42</v>
      </c>
      <c r="E196" s="3" t="s">
        <v>49</v>
      </c>
      <c r="F196" s="3" t="s">
        <v>51</v>
      </c>
      <c r="G196" s="3" t="s">
        <v>25</v>
      </c>
      <c r="H196" s="3" t="s">
        <v>25</v>
      </c>
      <c r="I196" s="6">
        <v>44621</v>
      </c>
      <c r="J196" s="4">
        <v>0</v>
      </c>
      <c r="K196" s="4">
        <v>0</v>
      </c>
      <c r="L196" s="4">
        <v>22.385999999999999</v>
      </c>
      <c r="M196" s="4">
        <v>8.9543999999999997</v>
      </c>
      <c r="N196" s="4">
        <v>22.385999999999999</v>
      </c>
      <c r="O196" s="4">
        <v>8.9543999999999997</v>
      </c>
      <c r="P196" s="4">
        <v>0</v>
      </c>
      <c r="Q196" s="3" t="s">
        <v>26</v>
      </c>
      <c r="R196" s="3">
        <v>0</v>
      </c>
      <c r="S196" s="3">
        <v>0</v>
      </c>
      <c r="T196" s="3">
        <v>29</v>
      </c>
      <c r="U196" s="3">
        <v>63</v>
      </c>
      <c r="V196" s="4">
        <f>IF(ISERROR(VLOOKUP($S$196,'TAR FIN'!$A$1:$O$86,15,0)),0,VLOOKUP($S$196,'TAR FIN'!$A$1:$O$86,15,0))</f>
        <v>0</v>
      </c>
      <c r="W196" s="4">
        <f>IF(ISERROR(VLOOKUP($T$196,'TAR FIN'!$A$1:$O$86,15,0)),0,VLOOKUP($T$196,'TAR FIN'!$A$1:$O$86,15,0))</f>
        <v>410.79</v>
      </c>
      <c r="X196" s="4">
        <f>IF(ISERROR(VLOOKUP($U$196,'TAR FIN'!$A$1:$O$86,15,0)),0,VLOOKUP($U$196,'TAR FIN'!$A$1:$O$86,15,0))</f>
        <v>186.16</v>
      </c>
      <c r="Y196" s="4"/>
      <c r="Z196" s="4">
        <f ca="1">('TUSD BE'!$AM$33+'TUSD BF'!$AM$33+'TUSD CVA'!$AM$33)*(1-CUSTOS!$M$38)</f>
        <v>536.63434130853489</v>
      </c>
      <c r="AA196" s="4">
        <f>('TE BE'!$AB$24+'TE BF'!$AB$24+'TE CVA'!$AB$24)*(1-CUSTOS!$M$38)</f>
        <v>184.7746360391113</v>
      </c>
      <c r="AB196" s="4">
        <f t="shared" si="14"/>
        <v>0</v>
      </c>
      <c r="AC196" s="4">
        <f>(L196-M196)*(W196+X196)+($W$110+$X$110-$W$196-$X$196)*(L196)</f>
        <v>10337.630939999999</v>
      </c>
      <c r="AD196" s="4">
        <f t="shared" si="15"/>
        <v>0</v>
      </c>
      <c r="AE196" s="4">
        <f ca="1">(L196-M196)*(Z196+AA196)+($Z$110+$AA$110-$Z$196-$AA$196)*(L196)</f>
        <v>10720.493503136542</v>
      </c>
      <c r="AF196" s="3" t="s">
        <v>590</v>
      </c>
    </row>
    <row r="197" spans="1:32" ht="11.25" customHeight="1" x14ac:dyDescent="0.25">
      <c r="A197" s="3" t="s">
        <v>21</v>
      </c>
      <c r="B197" s="3" t="s">
        <v>41</v>
      </c>
      <c r="C197" s="3" t="s">
        <v>23</v>
      </c>
      <c r="D197" s="3" t="s">
        <v>42</v>
      </c>
      <c r="E197" s="3" t="s">
        <v>49</v>
      </c>
      <c r="F197" s="3" t="s">
        <v>51</v>
      </c>
      <c r="G197" s="3" t="s">
        <v>25</v>
      </c>
      <c r="H197" s="3" t="s">
        <v>25</v>
      </c>
      <c r="I197" s="6">
        <v>44652</v>
      </c>
      <c r="J197" s="4">
        <v>0</v>
      </c>
      <c r="K197" s="4">
        <v>0</v>
      </c>
      <c r="L197" s="4">
        <v>0.58399999999999996</v>
      </c>
      <c r="M197" s="4">
        <v>0.2336</v>
      </c>
      <c r="N197" s="4">
        <v>0.58399999999999996</v>
      </c>
      <c r="O197" s="4">
        <v>0.2336</v>
      </c>
      <c r="P197" s="4">
        <v>0</v>
      </c>
      <c r="Q197" s="3" t="s">
        <v>26</v>
      </c>
      <c r="R197" s="3">
        <v>0</v>
      </c>
      <c r="S197" s="3">
        <v>0</v>
      </c>
      <c r="T197" s="3">
        <v>29</v>
      </c>
      <c r="U197" s="3">
        <v>63</v>
      </c>
      <c r="V197" s="4">
        <f>IF(ISERROR(VLOOKUP($S$197,'TAR FIN'!$A$1:$O$86,15,0)),0,VLOOKUP($S$197,'TAR FIN'!$A$1:$O$86,15,0))</f>
        <v>0</v>
      </c>
      <c r="W197" s="4">
        <f>IF(ISERROR(VLOOKUP($T$197,'TAR FIN'!$A$1:$O$86,15,0)),0,VLOOKUP($T$197,'TAR FIN'!$A$1:$O$86,15,0))</f>
        <v>410.79</v>
      </c>
      <c r="X197" s="4">
        <f>IF(ISERROR(VLOOKUP($U$197,'TAR FIN'!$A$1:$O$86,15,0)),0,VLOOKUP($U$197,'TAR FIN'!$A$1:$O$86,15,0))</f>
        <v>186.16</v>
      </c>
      <c r="Y197" s="4"/>
      <c r="Z197" s="4">
        <f ca="1">('TUSD BE'!$AM$33+'TUSD BF'!$AM$33+'TUSD CVA'!$AM$33)*(1-CUSTOS!$M$38)</f>
        <v>536.63434130853489</v>
      </c>
      <c r="AA197" s="4">
        <f>('TE BE'!$AB$24+'TE BF'!$AB$24+'TE CVA'!$AB$24)*(1-CUSTOS!$M$38)</f>
        <v>184.7746360391113</v>
      </c>
      <c r="AB197" s="4">
        <f t="shared" si="14"/>
        <v>0</v>
      </c>
      <c r="AC197" s="4">
        <f>(L197-M197)*(W197+X197)+($W$110+$X$110-$W$197-$X$197)*(L197)</f>
        <v>269.68535999999995</v>
      </c>
      <c r="AD197" s="4">
        <f t="shared" si="15"/>
        <v>0</v>
      </c>
      <c r="AE197" s="4">
        <f ca="1">(L197-M197)*(Z197+AA197)+($Z$110+$AA$110-$Z$197-$AA$197)*(L197)</f>
        <v>279.67337647778703</v>
      </c>
      <c r="AF197" s="3" t="s">
        <v>590</v>
      </c>
    </row>
    <row r="198" spans="1:32" ht="11.25" customHeight="1" x14ac:dyDescent="0.25">
      <c r="A198" s="3" t="s">
        <v>27</v>
      </c>
      <c r="B198" s="3" t="s">
        <v>41</v>
      </c>
      <c r="C198" s="3" t="s">
        <v>23</v>
      </c>
      <c r="D198" s="3" t="s">
        <v>42</v>
      </c>
      <c r="E198" s="3" t="s">
        <v>49</v>
      </c>
      <c r="F198" s="3" t="s">
        <v>51</v>
      </c>
      <c r="G198" s="3" t="s">
        <v>25</v>
      </c>
      <c r="H198" s="3" t="s">
        <v>25</v>
      </c>
      <c r="I198" s="6">
        <v>44652</v>
      </c>
      <c r="J198" s="4">
        <v>0</v>
      </c>
      <c r="K198" s="4">
        <v>0</v>
      </c>
      <c r="L198" s="4">
        <v>-2.7109999999999999</v>
      </c>
      <c r="M198" s="4">
        <v>-1.0844</v>
      </c>
      <c r="N198" s="4">
        <v>-2.7109999999999999</v>
      </c>
      <c r="O198" s="4">
        <v>-1.0844</v>
      </c>
      <c r="P198" s="4">
        <v>0</v>
      </c>
      <c r="Q198" s="3" t="s">
        <v>26</v>
      </c>
      <c r="R198" s="3">
        <v>0</v>
      </c>
      <c r="S198" s="3">
        <v>0</v>
      </c>
      <c r="T198" s="3">
        <v>29</v>
      </c>
      <c r="U198" s="3">
        <v>63</v>
      </c>
      <c r="V198" s="4">
        <f>IF(ISERROR(VLOOKUP($S$198,'TAR FIN'!$A$1:$O$86,15,0)),0,VLOOKUP($S$198,'TAR FIN'!$A$1:$O$86,15,0))</f>
        <v>0</v>
      </c>
      <c r="W198" s="4">
        <f>IF(ISERROR(VLOOKUP($T$198,'TAR FIN'!$A$1:$O$86,15,0)),0,VLOOKUP($T$198,'TAR FIN'!$A$1:$O$86,15,0))</f>
        <v>410.79</v>
      </c>
      <c r="X198" s="4">
        <f>IF(ISERROR(VLOOKUP($U$198,'TAR FIN'!$A$1:$O$86,15,0)),0,VLOOKUP($U$198,'TAR FIN'!$A$1:$O$86,15,0))</f>
        <v>186.16</v>
      </c>
      <c r="Y198" s="4"/>
      <c r="Z198" s="4">
        <f ca="1">('TUSD BE'!$AM$33+'TUSD BF'!$AM$33+'TUSD CVA'!$AM$33)*(1-CUSTOS!$M$38)</f>
        <v>536.63434130853489</v>
      </c>
      <c r="AA198" s="4">
        <f>('TE BE'!$AB$24+'TE BF'!$AB$24+'TE CVA'!$AB$24)*(1-CUSTOS!$M$38)</f>
        <v>184.7746360391113</v>
      </c>
      <c r="AB198" s="4">
        <f t="shared" si="14"/>
        <v>0</v>
      </c>
      <c r="AC198" s="4">
        <f>(L198-M198)*(W198+X198)+($W$110+$X$110-$W$198-$X$198)*(L198)</f>
        <v>-1251.9126899999997</v>
      </c>
      <c r="AD198" s="4">
        <f t="shared" si="15"/>
        <v>0</v>
      </c>
      <c r="AE198" s="4">
        <f ca="1">(L198-M198)*(Z198+AA198)+($Z$110+$AA$110-$Z$198-$AA$198)*(L198)</f>
        <v>-1298.2782938891792</v>
      </c>
      <c r="AF198" s="3" t="s">
        <v>590</v>
      </c>
    </row>
    <row r="199" spans="1:32" ht="11.25" customHeight="1" x14ac:dyDescent="0.25">
      <c r="A199" s="3" t="s">
        <v>21</v>
      </c>
      <c r="B199" s="3" t="s">
        <v>41</v>
      </c>
      <c r="C199" s="3" t="s">
        <v>23</v>
      </c>
      <c r="D199" s="3" t="s">
        <v>42</v>
      </c>
      <c r="E199" s="3" t="s">
        <v>49</v>
      </c>
      <c r="F199" s="3" t="s">
        <v>51</v>
      </c>
      <c r="G199" s="3" t="s">
        <v>25</v>
      </c>
      <c r="H199" s="3" t="s">
        <v>25</v>
      </c>
      <c r="I199" s="6">
        <v>44682</v>
      </c>
      <c r="J199" s="4">
        <v>0</v>
      </c>
      <c r="K199" s="4">
        <v>0</v>
      </c>
      <c r="L199" s="4">
        <v>0.55700000000000005</v>
      </c>
      <c r="M199" s="4">
        <v>0.2228</v>
      </c>
      <c r="N199" s="4">
        <v>0.55700000000000005</v>
      </c>
      <c r="O199" s="4">
        <v>0.2228</v>
      </c>
      <c r="P199" s="4">
        <v>0</v>
      </c>
      <c r="Q199" s="3" t="s">
        <v>26</v>
      </c>
      <c r="R199" s="3">
        <v>0</v>
      </c>
      <c r="S199" s="3">
        <v>0</v>
      </c>
      <c r="T199" s="3">
        <v>29</v>
      </c>
      <c r="U199" s="3">
        <v>63</v>
      </c>
      <c r="V199" s="4">
        <f>IF(ISERROR(VLOOKUP($S$199,'TAR FIN'!$A$1:$O$86,15,0)),0,VLOOKUP($S$199,'TAR FIN'!$A$1:$O$86,15,0))</f>
        <v>0</v>
      </c>
      <c r="W199" s="4">
        <f>IF(ISERROR(VLOOKUP($T$199,'TAR FIN'!$A$1:$O$86,15,0)),0,VLOOKUP($T$199,'TAR FIN'!$A$1:$O$86,15,0))</f>
        <v>410.79</v>
      </c>
      <c r="X199" s="4">
        <f>IF(ISERROR(VLOOKUP($U$199,'TAR FIN'!$A$1:$O$86,15,0)),0,VLOOKUP($U$199,'TAR FIN'!$A$1:$O$86,15,0))</f>
        <v>186.16</v>
      </c>
      <c r="Y199" s="4"/>
      <c r="Z199" s="4">
        <f ca="1">('TUSD BE'!$AM$33+'TUSD BF'!$AM$33+'TUSD CVA'!$AM$33)*(1-CUSTOS!$M$38)</f>
        <v>536.63434130853489</v>
      </c>
      <c r="AA199" s="4">
        <f>('TE BE'!$AB$24+'TE BF'!$AB$24+'TE CVA'!$AB$24)*(1-CUSTOS!$M$38)</f>
        <v>184.7746360391113</v>
      </c>
      <c r="AB199" s="4">
        <f t="shared" si="14"/>
        <v>0</v>
      </c>
      <c r="AC199" s="4">
        <f>(L199-M199)*(W199+X199)+($W$110+$X$110-$W$199-$X$199)*(L199)</f>
        <v>257.21703000000002</v>
      </c>
      <c r="AD199" s="4">
        <f t="shared" si="15"/>
        <v>0</v>
      </c>
      <c r="AE199" s="4">
        <f ca="1">(L199-M199)*(Z199+AA199)+($Z$110+$AA$110-$Z$199-$AA$199)*(L199)</f>
        <v>266.74327174336889</v>
      </c>
      <c r="AF199" s="3" t="s">
        <v>590</v>
      </c>
    </row>
    <row r="200" spans="1:32" ht="11.25" customHeight="1" x14ac:dyDescent="0.25">
      <c r="A200" s="3" t="s">
        <v>28</v>
      </c>
      <c r="B200" s="3" t="s">
        <v>41</v>
      </c>
      <c r="C200" s="3" t="s">
        <v>23</v>
      </c>
      <c r="D200" s="3" t="s">
        <v>42</v>
      </c>
      <c r="E200" s="3" t="s">
        <v>49</v>
      </c>
      <c r="F200" s="3" t="s">
        <v>51</v>
      </c>
      <c r="G200" s="3" t="s">
        <v>25</v>
      </c>
      <c r="H200" s="3" t="s">
        <v>25</v>
      </c>
      <c r="I200" s="6">
        <v>44682</v>
      </c>
      <c r="J200" s="4">
        <v>0</v>
      </c>
      <c r="K200" s="4">
        <v>0</v>
      </c>
      <c r="L200" s="4">
        <v>1.9E-2</v>
      </c>
      <c r="M200" s="4">
        <v>1.9E-2</v>
      </c>
      <c r="N200" s="4">
        <v>1.9E-2</v>
      </c>
      <c r="O200" s="4">
        <v>1.9E-2</v>
      </c>
      <c r="P200" s="4">
        <v>0</v>
      </c>
      <c r="Q200" s="3" t="s">
        <v>26</v>
      </c>
      <c r="R200" s="3">
        <v>0</v>
      </c>
      <c r="S200" s="3">
        <v>0</v>
      </c>
      <c r="T200" s="3">
        <v>29</v>
      </c>
      <c r="U200" s="3">
        <v>63</v>
      </c>
      <c r="V200" s="4">
        <f>IF(ISERROR(VLOOKUP($S$200,'TAR FIN'!$A$1:$O$86,15,0)),0,VLOOKUP($S$200,'TAR FIN'!$A$1:$O$86,15,0))</f>
        <v>0</v>
      </c>
      <c r="W200" s="4">
        <f>IF(ISERROR(VLOOKUP($T$200,'TAR FIN'!$A$1:$O$86,15,0)),0,VLOOKUP($T$200,'TAR FIN'!$A$1:$O$86,15,0))</f>
        <v>410.79</v>
      </c>
      <c r="X200" s="4">
        <f>IF(ISERROR(VLOOKUP($U$200,'TAR FIN'!$A$1:$O$86,15,0)),0,VLOOKUP($U$200,'TAR FIN'!$A$1:$O$86,15,0))</f>
        <v>186.16</v>
      </c>
      <c r="Y200" s="4"/>
      <c r="Z200" s="4">
        <f ca="1">('TUSD BE'!$AM$33+'TUSD BF'!$AM$33+'TUSD CVA'!$AM$33)*(1-CUSTOS!$M$38)</f>
        <v>536.63434130853489</v>
      </c>
      <c r="AA200" s="4">
        <f>('TE BE'!$AB$24+'TE BF'!$AB$24+'TE CVA'!$AB$24)*(1-CUSTOS!$M$38)</f>
        <v>184.7746360391113</v>
      </c>
      <c r="AB200" s="4">
        <f t="shared" si="14"/>
        <v>0</v>
      </c>
      <c r="AC200" s="4">
        <f>(L200-M200)*(W200+X200)+($W$110+$X$110-$W$200-$X$200)*(L200)</f>
        <v>1.9687799999999984</v>
      </c>
      <c r="AD200" s="4">
        <f t="shared" si="15"/>
        <v>0</v>
      </c>
      <c r="AE200" s="4">
        <f ca="1">(L200-M200)*(Z200+AA200)+($Z$110+$AA$110-$Z$200-$AA$200)*(L200)</f>
        <v>0.87490024912374142</v>
      </c>
      <c r="AF200" s="3" t="s">
        <v>589</v>
      </c>
    </row>
    <row r="201" spans="1:32" ht="11.25" customHeight="1" x14ac:dyDescent="0.25">
      <c r="A201" s="3" t="s">
        <v>21</v>
      </c>
      <c r="B201" s="3" t="s">
        <v>41</v>
      </c>
      <c r="C201" s="3" t="s">
        <v>23</v>
      </c>
      <c r="D201" s="3" t="s">
        <v>42</v>
      </c>
      <c r="E201" s="3" t="s">
        <v>49</v>
      </c>
      <c r="F201" s="3" t="s">
        <v>51</v>
      </c>
      <c r="G201" s="3" t="s">
        <v>25</v>
      </c>
      <c r="H201" s="3" t="s">
        <v>25</v>
      </c>
      <c r="I201" s="6">
        <v>44713</v>
      </c>
      <c r="J201" s="4">
        <v>0</v>
      </c>
      <c r="K201" s="4">
        <v>0</v>
      </c>
      <c r="L201" s="4">
        <v>0.32600000000000001</v>
      </c>
      <c r="M201" s="4">
        <v>0.13039999999999999</v>
      </c>
      <c r="N201" s="4">
        <v>0.32600000000000001</v>
      </c>
      <c r="O201" s="4">
        <v>0.13039999999999999</v>
      </c>
      <c r="P201" s="4">
        <v>0</v>
      </c>
      <c r="Q201" s="3" t="s">
        <v>26</v>
      </c>
      <c r="R201" s="3">
        <v>0</v>
      </c>
      <c r="S201" s="3">
        <v>0</v>
      </c>
      <c r="T201" s="3">
        <v>29</v>
      </c>
      <c r="U201" s="3">
        <v>63</v>
      </c>
      <c r="V201" s="4">
        <f>IF(ISERROR(VLOOKUP($S$201,'TAR FIN'!$A$1:$O$86,15,0)),0,VLOOKUP($S$201,'TAR FIN'!$A$1:$O$86,15,0))</f>
        <v>0</v>
      </c>
      <c r="W201" s="4">
        <f>IF(ISERROR(VLOOKUP($T$201,'TAR FIN'!$A$1:$O$86,15,0)),0,VLOOKUP($T$201,'TAR FIN'!$A$1:$O$86,15,0))</f>
        <v>410.79</v>
      </c>
      <c r="X201" s="4">
        <f>IF(ISERROR(VLOOKUP($U$201,'TAR FIN'!$A$1:$O$86,15,0)),0,VLOOKUP($U$201,'TAR FIN'!$A$1:$O$86,15,0))</f>
        <v>186.16</v>
      </c>
      <c r="Y201" s="4"/>
      <c r="Z201" s="4">
        <f ca="1">('TUSD BE'!$AM$33+'TUSD BF'!$AM$33+'TUSD CVA'!$AM$33)*(1-CUSTOS!$M$38)</f>
        <v>536.63434130853489</v>
      </c>
      <c r="AA201" s="4">
        <f>('TE BE'!$AB$24+'TE BF'!$AB$24+'TE CVA'!$AB$24)*(1-CUSTOS!$M$38)</f>
        <v>184.7746360391113</v>
      </c>
      <c r="AB201" s="4">
        <f t="shared" si="14"/>
        <v>0</v>
      </c>
      <c r="AC201" s="4">
        <f>(L201-M201)*(W201+X201)+($W$110+$X$110-$W$201-$X$201)*(L201)</f>
        <v>150.54354000000001</v>
      </c>
      <c r="AD201" s="4">
        <f t="shared" si="15"/>
        <v>0</v>
      </c>
      <c r="AE201" s="4">
        <f ca="1">(L201-M201)*(Z201+AA201)+($Z$110+$AA$110-$Z$201-$AA$201)*(L201)</f>
        <v>156.1190423489017</v>
      </c>
      <c r="AF201" s="3" t="s">
        <v>590</v>
      </c>
    </row>
    <row r="202" spans="1:32" ht="11.25" customHeight="1" x14ac:dyDescent="0.25">
      <c r="A202" s="3" t="s">
        <v>21</v>
      </c>
      <c r="B202" s="3" t="s">
        <v>41</v>
      </c>
      <c r="C202" s="3" t="s">
        <v>23</v>
      </c>
      <c r="D202" s="3" t="s">
        <v>42</v>
      </c>
      <c r="E202" s="3" t="s">
        <v>52</v>
      </c>
      <c r="F202" s="3" t="s">
        <v>50</v>
      </c>
      <c r="G202" s="3" t="s">
        <v>25</v>
      </c>
      <c r="H202" s="3" t="s">
        <v>25</v>
      </c>
      <c r="I202" s="6">
        <v>44378</v>
      </c>
      <c r="J202" s="4">
        <v>0</v>
      </c>
      <c r="K202" s="4">
        <v>0</v>
      </c>
      <c r="L202" s="4">
        <v>2.1739999999999999</v>
      </c>
      <c r="M202" s="4">
        <v>2.1739999999999999</v>
      </c>
      <c r="N202" s="4">
        <v>2.1739999999999999</v>
      </c>
      <c r="O202" s="4">
        <v>2.1739999999999999</v>
      </c>
      <c r="P202" s="4">
        <v>0</v>
      </c>
      <c r="Q202" s="3" t="s">
        <v>26</v>
      </c>
      <c r="R202" s="3">
        <v>0</v>
      </c>
      <c r="S202" s="3">
        <v>0</v>
      </c>
      <c r="T202" s="3">
        <v>42</v>
      </c>
      <c r="U202" s="3">
        <v>63</v>
      </c>
      <c r="V202" s="4">
        <f>IF(ISERROR(VLOOKUP($S$202,'TAR FIN'!$A$1:$O$86,15,0)),0,VLOOKUP($S$202,'TAR FIN'!$A$1:$O$86,15,0))</f>
        <v>0</v>
      </c>
      <c r="W202" s="4">
        <f>IF(ISERROR(VLOOKUP($T$202,'TAR FIN'!$A$1:$O$86,15,0)),0,VLOOKUP($T$202,'TAR FIN'!$A$1:$O$86,15,0))</f>
        <v>430.35</v>
      </c>
      <c r="X202" s="4">
        <f>IF(ISERROR(VLOOKUP($U$202,'TAR FIN'!$A$1:$O$86,15,0)),0,VLOOKUP($U$202,'TAR FIN'!$A$1:$O$86,15,0))</f>
        <v>186.16</v>
      </c>
      <c r="Y202" s="4"/>
      <c r="Z202" s="4">
        <f ca="1">('TUSD BE'!$AM$33+'TUSD BF'!$AM$33+'TUSD CVA'!$AM$33)*(1-CUSTOS!$M$38)</f>
        <v>536.63434130853489</v>
      </c>
      <c r="AA202" s="4">
        <f>('TE BE'!$AB$24+'TE BF'!$AB$24+'TE CVA'!$AB$24)*(1-CUSTOS!$M$38)</f>
        <v>184.7746360391113</v>
      </c>
      <c r="AB202" s="4">
        <f t="shared" si="14"/>
        <v>0</v>
      </c>
      <c r="AC202" s="4">
        <f>(L202-M202)*(W202+X202)+($W$110+$X$110-$W$202-$X$202)*(L202)</f>
        <v>182.74643999999981</v>
      </c>
      <c r="AD202" s="4">
        <f t="shared" si="15"/>
        <v>0</v>
      </c>
      <c r="AE202" s="4">
        <f ca="1">(L202-M202)*(Z202+AA202)+($Z$110+$AA$110-$Z$202-$AA$202)*(L202)</f>
        <v>100.10700745236915</v>
      </c>
      <c r="AF202" s="3" t="s">
        <v>589</v>
      </c>
    </row>
    <row r="203" spans="1:32" ht="11.25" customHeight="1" x14ac:dyDescent="0.25">
      <c r="A203" s="3" t="s">
        <v>21</v>
      </c>
      <c r="B203" s="3" t="s">
        <v>41</v>
      </c>
      <c r="C203" s="3" t="s">
        <v>23</v>
      </c>
      <c r="D203" s="3" t="s">
        <v>42</v>
      </c>
      <c r="E203" s="3" t="s">
        <v>52</v>
      </c>
      <c r="F203" s="3" t="s">
        <v>50</v>
      </c>
      <c r="G203" s="3" t="s">
        <v>25</v>
      </c>
      <c r="H203" s="3" t="s">
        <v>25</v>
      </c>
      <c r="I203" s="6">
        <v>44409</v>
      </c>
      <c r="J203" s="4">
        <v>0</v>
      </c>
      <c r="K203" s="4">
        <v>0</v>
      </c>
      <c r="L203" s="4">
        <v>1.0649999999999999</v>
      </c>
      <c r="M203" s="4">
        <v>1.0649999999999999</v>
      </c>
      <c r="N203" s="4">
        <v>1.0649999999999999</v>
      </c>
      <c r="O203" s="4">
        <v>1.0649999999999999</v>
      </c>
      <c r="P203" s="4">
        <v>0</v>
      </c>
      <c r="Q203" s="3" t="s">
        <v>26</v>
      </c>
      <c r="R203" s="3">
        <v>0</v>
      </c>
      <c r="S203" s="3">
        <v>0</v>
      </c>
      <c r="T203" s="3">
        <v>42</v>
      </c>
      <c r="U203" s="3">
        <v>63</v>
      </c>
      <c r="V203" s="4">
        <f>IF(ISERROR(VLOOKUP($S$203,'TAR FIN'!$A$1:$O$86,15,0)),0,VLOOKUP($S$203,'TAR FIN'!$A$1:$O$86,15,0))</f>
        <v>0</v>
      </c>
      <c r="W203" s="4">
        <f>IF(ISERROR(VLOOKUP($T$203,'TAR FIN'!$A$1:$O$86,15,0)),0,VLOOKUP($T$203,'TAR FIN'!$A$1:$O$86,15,0))</f>
        <v>430.35</v>
      </c>
      <c r="X203" s="4">
        <f>IF(ISERROR(VLOOKUP($U$203,'TAR FIN'!$A$1:$O$86,15,0)),0,VLOOKUP($U$203,'TAR FIN'!$A$1:$O$86,15,0))</f>
        <v>186.16</v>
      </c>
      <c r="Y203" s="4"/>
      <c r="Z203" s="4">
        <f ca="1">('TUSD BE'!$AM$33+'TUSD BF'!$AM$33+'TUSD CVA'!$AM$33)*(1-CUSTOS!$M$38)</f>
        <v>536.63434130853489</v>
      </c>
      <c r="AA203" s="4">
        <f>('TE BE'!$AB$24+'TE BF'!$AB$24+'TE CVA'!$AB$24)*(1-CUSTOS!$M$38)</f>
        <v>184.7746360391113</v>
      </c>
      <c r="AB203" s="4">
        <f t="shared" si="14"/>
        <v>0</v>
      </c>
      <c r="AC203" s="4">
        <f>(L203-M203)*(W203+X203)+($W$110+$X$110-$W$203-$X$203)*(L203)</f>
        <v>89.523899999999912</v>
      </c>
      <c r="AD203" s="4">
        <f t="shared" si="15"/>
        <v>0</v>
      </c>
      <c r="AE203" s="4">
        <f ca="1">(L203-M203)*(Z203+AA203)+($Z$110+$AA$110-$Z$203-$AA$203)*(L203)</f>
        <v>49.040461332462343</v>
      </c>
      <c r="AF203" s="3" t="s">
        <v>589</v>
      </c>
    </row>
    <row r="204" spans="1:32" ht="11.25" customHeight="1" x14ac:dyDescent="0.25">
      <c r="A204" s="3" t="s">
        <v>21</v>
      </c>
      <c r="B204" s="3" t="s">
        <v>41</v>
      </c>
      <c r="C204" s="3" t="s">
        <v>23</v>
      </c>
      <c r="D204" s="3" t="s">
        <v>42</v>
      </c>
      <c r="E204" s="3" t="s">
        <v>52</v>
      </c>
      <c r="F204" s="3" t="s">
        <v>50</v>
      </c>
      <c r="G204" s="3" t="s">
        <v>25</v>
      </c>
      <c r="H204" s="3" t="s">
        <v>25</v>
      </c>
      <c r="I204" s="6">
        <v>44440</v>
      </c>
      <c r="J204" s="4">
        <v>0</v>
      </c>
      <c r="K204" s="4">
        <v>0</v>
      </c>
      <c r="L204" s="4">
        <v>0.32900000000000001</v>
      </c>
      <c r="M204" s="4">
        <v>0.32900000000000001</v>
      </c>
      <c r="N204" s="4">
        <v>0.32900000000000001</v>
      </c>
      <c r="O204" s="4">
        <v>0.32900000000000001</v>
      </c>
      <c r="P204" s="4">
        <v>0</v>
      </c>
      <c r="Q204" s="3" t="s">
        <v>26</v>
      </c>
      <c r="R204" s="3">
        <v>0</v>
      </c>
      <c r="S204" s="3">
        <v>0</v>
      </c>
      <c r="T204" s="3">
        <v>42</v>
      </c>
      <c r="U204" s="3">
        <v>63</v>
      </c>
      <c r="V204" s="4">
        <f>IF(ISERROR(VLOOKUP($S$204,'TAR FIN'!$A$1:$O$86,15,0)),0,VLOOKUP($S$204,'TAR FIN'!$A$1:$O$86,15,0))</f>
        <v>0</v>
      </c>
      <c r="W204" s="4">
        <f>IF(ISERROR(VLOOKUP($T$204,'TAR FIN'!$A$1:$O$86,15,0)),0,VLOOKUP($T$204,'TAR FIN'!$A$1:$O$86,15,0))</f>
        <v>430.35</v>
      </c>
      <c r="X204" s="4">
        <f>IF(ISERROR(VLOOKUP($U$204,'TAR FIN'!$A$1:$O$86,15,0)),0,VLOOKUP($U$204,'TAR FIN'!$A$1:$O$86,15,0))</f>
        <v>186.16</v>
      </c>
      <c r="Y204" s="4"/>
      <c r="Z204" s="4">
        <f ca="1">('TUSD BE'!$AM$33+'TUSD BF'!$AM$33+'TUSD CVA'!$AM$33)*(1-CUSTOS!$M$38)</f>
        <v>536.63434130853489</v>
      </c>
      <c r="AA204" s="4">
        <f>('TE BE'!$AB$24+'TE BF'!$AB$24+'TE CVA'!$AB$24)*(1-CUSTOS!$M$38)</f>
        <v>184.7746360391113</v>
      </c>
      <c r="AB204" s="4">
        <f t="shared" si="14"/>
        <v>0</v>
      </c>
      <c r="AC204" s="4">
        <f>(L204-M204)*(W204+X204)+($W$110+$X$110-$W$204-$X$204)*(L204)</f>
        <v>27.655739999999973</v>
      </c>
      <c r="AD204" s="4">
        <f t="shared" si="15"/>
        <v>0</v>
      </c>
      <c r="AE204" s="4">
        <f ca="1">(L204-M204)*(Z204+AA204)+($Z$110+$AA$110-$Z$204-$AA$204)*(L204)</f>
        <v>15.149588524300576</v>
      </c>
      <c r="AF204" s="3" t="s">
        <v>589</v>
      </c>
    </row>
    <row r="205" spans="1:32" ht="11.25" customHeight="1" x14ac:dyDescent="0.25">
      <c r="A205" s="3" t="s">
        <v>21</v>
      </c>
      <c r="B205" s="3" t="s">
        <v>41</v>
      </c>
      <c r="C205" s="3" t="s">
        <v>23</v>
      </c>
      <c r="D205" s="3" t="s">
        <v>42</v>
      </c>
      <c r="E205" s="3" t="s">
        <v>52</v>
      </c>
      <c r="F205" s="3" t="s">
        <v>50</v>
      </c>
      <c r="G205" s="3" t="s">
        <v>25</v>
      </c>
      <c r="H205" s="3" t="s">
        <v>25</v>
      </c>
      <c r="I205" s="6">
        <v>44470</v>
      </c>
      <c r="J205" s="4">
        <v>0</v>
      </c>
      <c r="K205" s="4">
        <v>0</v>
      </c>
      <c r="L205" s="4">
        <v>0.58799999999999997</v>
      </c>
      <c r="M205" s="4">
        <v>0.58799999999999997</v>
      </c>
      <c r="N205" s="4">
        <v>0.58799999999999997</v>
      </c>
      <c r="O205" s="4">
        <v>0.58799999999999997</v>
      </c>
      <c r="P205" s="4">
        <v>0</v>
      </c>
      <c r="Q205" s="3" t="s">
        <v>26</v>
      </c>
      <c r="R205" s="3">
        <v>0</v>
      </c>
      <c r="S205" s="3">
        <v>0</v>
      </c>
      <c r="T205" s="3">
        <v>42</v>
      </c>
      <c r="U205" s="3">
        <v>63</v>
      </c>
      <c r="V205" s="4">
        <f>IF(ISERROR(VLOOKUP($S$205,'TAR FIN'!$A$1:$O$86,15,0)),0,VLOOKUP($S$205,'TAR FIN'!$A$1:$O$86,15,0))</f>
        <v>0</v>
      </c>
      <c r="W205" s="4">
        <f>IF(ISERROR(VLOOKUP($T$205,'TAR FIN'!$A$1:$O$86,15,0)),0,VLOOKUP($T$205,'TAR FIN'!$A$1:$O$86,15,0))</f>
        <v>430.35</v>
      </c>
      <c r="X205" s="4">
        <f>IF(ISERROR(VLOOKUP($U$205,'TAR FIN'!$A$1:$O$86,15,0)),0,VLOOKUP($U$205,'TAR FIN'!$A$1:$O$86,15,0))</f>
        <v>186.16</v>
      </c>
      <c r="Y205" s="4"/>
      <c r="Z205" s="4">
        <f ca="1">('TUSD BE'!$AM$33+'TUSD BF'!$AM$33+'TUSD CVA'!$AM$33)*(1-CUSTOS!$M$38)</f>
        <v>536.63434130853489</v>
      </c>
      <c r="AA205" s="4">
        <f>('TE BE'!$AB$24+'TE BF'!$AB$24+'TE CVA'!$AB$24)*(1-CUSTOS!$M$38)</f>
        <v>184.7746360391113</v>
      </c>
      <c r="AB205" s="4">
        <f t="shared" si="14"/>
        <v>0</v>
      </c>
      <c r="AC205" s="4">
        <f>(L205-M205)*(W205+X205)+($W$110+$X$110-$W$205-$X$205)*(L205)</f>
        <v>49.427279999999946</v>
      </c>
      <c r="AD205" s="4">
        <f t="shared" si="15"/>
        <v>0</v>
      </c>
      <c r="AE205" s="4">
        <f ca="1">(L205-M205)*(Z205+AA205)+($Z$110+$AA$110-$Z$205-$AA$205)*(L205)</f>
        <v>27.075860341303155</v>
      </c>
      <c r="AF205" s="3" t="s">
        <v>589</v>
      </c>
    </row>
    <row r="206" spans="1:32" ht="11.25" customHeight="1" x14ac:dyDescent="0.25">
      <c r="A206" s="3" t="s">
        <v>21</v>
      </c>
      <c r="B206" s="3" t="s">
        <v>41</v>
      </c>
      <c r="C206" s="3" t="s">
        <v>23</v>
      </c>
      <c r="D206" s="3" t="s">
        <v>42</v>
      </c>
      <c r="E206" s="3" t="s">
        <v>52</v>
      </c>
      <c r="F206" s="3" t="s">
        <v>50</v>
      </c>
      <c r="G206" s="3" t="s">
        <v>25</v>
      </c>
      <c r="H206" s="3" t="s">
        <v>25</v>
      </c>
      <c r="I206" s="6">
        <v>44501</v>
      </c>
      <c r="J206" s="4">
        <v>0</v>
      </c>
      <c r="K206" s="4">
        <v>0</v>
      </c>
      <c r="L206" s="4">
        <v>0.88300000000000001</v>
      </c>
      <c r="M206" s="4">
        <v>0.88300000000000001</v>
      </c>
      <c r="N206" s="4">
        <v>0.88300000000000001</v>
      </c>
      <c r="O206" s="4">
        <v>0.88300000000000001</v>
      </c>
      <c r="P206" s="4">
        <v>0</v>
      </c>
      <c r="Q206" s="3" t="s">
        <v>26</v>
      </c>
      <c r="R206" s="3">
        <v>0</v>
      </c>
      <c r="S206" s="3">
        <v>0</v>
      </c>
      <c r="T206" s="3">
        <v>42</v>
      </c>
      <c r="U206" s="3">
        <v>63</v>
      </c>
      <c r="V206" s="4">
        <f>IF(ISERROR(VLOOKUP($S$206,'TAR FIN'!$A$1:$O$86,15,0)),0,VLOOKUP($S$206,'TAR FIN'!$A$1:$O$86,15,0))</f>
        <v>0</v>
      </c>
      <c r="W206" s="4">
        <f>IF(ISERROR(VLOOKUP($T$206,'TAR FIN'!$A$1:$O$86,15,0)),0,VLOOKUP($T$206,'TAR FIN'!$A$1:$O$86,15,0))</f>
        <v>430.35</v>
      </c>
      <c r="X206" s="4">
        <f>IF(ISERROR(VLOOKUP($U$206,'TAR FIN'!$A$1:$O$86,15,0)),0,VLOOKUP($U$206,'TAR FIN'!$A$1:$O$86,15,0))</f>
        <v>186.16</v>
      </c>
      <c r="Y206" s="4"/>
      <c r="Z206" s="4">
        <f ca="1">('TUSD BE'!$AM$33+'TUSD BF'!$AM$33+'TUSD CVA'!$AM$33)*(1-CUSTOS!$M$38)</f>
        <v>536.63434130853489</v>
      </c>
      <c r="AA206" s="4">
        <f>('TE BE'!$AB$24+'TE BF'!$AB$24+'TE CVA'!$AB$24)*(1-CUSTOS!$M$38)</f>
        <v>184.7746360391113</v>
      </c>
      <c r="AB206" s="4">
        <f t="shared" si="14"/>
        <v>0</v>
      </c>
      <c r="AC206" s="4">
        <f>(L206-M206)*(W206+X206)+($W$110+$X$110-$W$206-$X$206)*(L206)</f>
        <v>74.224979999999931</v>
      </c>
      <c r="AD206" s="4">
        <f t="shared" si="15"/>
        <v>0</v>
      </c>
      <c r="AE206" s="4">
        <f ca="1">(L206-M206)*(Z206+AA206)+($Z$110+$AA$110-$Z$206-$AA$206)*(L206)</f>
        <v>40.659837893487563</v>
      </c>
      <c r="AF206" s="3" t="s">
        <v>589</v>
      </c>
    </row>
    <row r="207" spans="1:32" ht="11.25" customHeight="1" x14ac:dyDescent="0.25">
      <c r="A207" s="3" t="s">
        <v>21</v>
      </c>
      <c r="B207" s="3" t="s">
        <v>41</v>
      </c>
      <c r="C207" s="3" t="s">
        <v>23</v>
      </c>
      <c r="D207" s="3" t="s">
        <v>42</v>
      </c>
      <c r="E207" s="3" t="s">
        <v>52</v>
      </c>
      <c r="F207" s="3" t="s">
        <v>50</v>
      </c>
      <c r="G207" s="3" t="s">
        <v>25</v>
      </c>
      <c r="H207" s="3" t="s">
        <v>25</v>
      </c>
      <c r="I207" s="6">
        <v>44531</v>
      </c>
      <c r="J207" s="4">
        <v>0</v>
      </c>
      <c r="K207" s="4">
        <v>0</v>
      </c>
      <c r="L207" s="4">
        <v>0.71299999999999997</v>
      </c>
      <c r="M207" s="4">
        <v>0.71299999999999997</v>
      </c>
      <c r="N207" s="4">
        <v>0.71299999999999997</v>
      </c>
      <c r="O207" s="4">
        <v>0.71299999999999997</v>
      </c>
      <c r="P207" s="4">
        <v>0</v>
      </c>
      <c r="Q207" s="3" t="s">
        <v>26</v>
      </c>
      <c r="R207" s="3">
        <v>0</v>
      </c>
      <c r="S207" s="3">
        <v>0</v>
      </c>
      <c r="T207" s="3">
        <v>42</v>
      </c>
      <c r="U207" s="3">
        <v>63</v>
      </c>
      <c r="V207" s="4">
        <f>IF(ISERROR(VLOOKUP($S$207,'TAR FIN'!$A$1:$O$86,15,0)),0,VLOOKUP($S$207,'TAR FIN'!$A$1:$O$86,15,0))</f>
        <v>0</v>
      </c>
      <c r="W207" s="4">
        <f>IF(ISERROR(VLOOKUP($T$207,'TAR FIN'!$A$1:$O$86,15,0)),0,VLOOKUP($T$207,'TAR FIN'!$A$1:$O$86,15,0))</f>
        <v>430.35</v>
      </c>
      <c r="X207" s="4">
        <f>IF(ISERROR(VLOOKUP($U$207,'TAR FIN'!$A$1:$O$86,15,0)),0,VLOOKUP($U$207,'TAR FIN'!$A$1:$O$86,15,0))</f>
        <v>186.16</v>
      </c>
      <c r="Y207" s="4"/>
      <c r="Z207" s="4">
        <f ca="1">('TUSD BE'!$AM$33+'TUSD BF'!$AM$33+'TUSD CVA'!$AM$33)*(1-CUSTOS!$M$38)</f>
        <v>536.63434130853489</v>
      </c>
      <c r="AA207" s="4">
        <f>('TE BE'!$AB$24+'TE BF'!$AB$24+'TE CVA'!$AB$24)*(1-CUSTOS!$M$38)</f>
        <v>184.7746360391113</v>
      </c>
      <c r="AB207" s="4">
        <f t="shared" si="14"/>
        <v>0</v>
      </c>
      <c r="AC207" s="4">
        <f>(L207-M207)*(W207+X207)+($W$110+$X$110-$W$207-$X$207)*(L207)</f>
        <v>59.93477999999994</v>
      </c>
      <c r="AD207" s="4">
        <f t="shared" si="15"/>
        <v>0</v>
      </c>
      <c r="AE207" s="4">
        <f ca="1">(L207-M207)*(Z207+AA207)+($Z$110+$AA$110-$Z$207-$AA$207)*(L207)</f>
        <v>32.831783032906714</v>
      </c>
      <c r="AF207" s="3" t="s">
        <v>589</v>
      </c>
    </row>
    <row r="208" spans="1:32" ht="11.25" customHeight="1" x14ac:dyDescent="0.25">
      <c r="A208" s="3" t="s">
        <v>21</v>
      </c>
      <c r="B208" s="3" t="s">
        <v>41</v>
      </c>
      <c r="C208" s="3" t="s">
        <v>23</v>
      </c>
      <c r="D208" s="3" t="s">
        <v>42</v>
      </c>
      <c r="E208" s="3" t="s">
        <v>52</v>
      </c>
      <c r="F208" s="3" t="s">
        <v>50</v>
      </c>
      <c r="G208" s="3" t="s">
        <v>25</v>
      </c>
      <c r="H208" s="3" t="s">
        <v>25</v>
      </c>
      <c r="I208" s="6">
        <v>44562</v>
      </c>
      <c r="J208" s="4">
        <v>0</v>
      </c>
      <c r="K208" s="4">
        <v>0</v>
      </c>
      <c r="L208" s="4">
        <v>1.84</v>
      </c>
      <c r="M208" s="4">
        <v>1.84</v>
      </c>
      <c r="N208" s="4">
        <v>1.84</v>
      </c>
      <c r="O208" s="4">
        <v>1.84</v>
      </c>
      <c r="P208" s="4">
        <v>0</v>
      </c>
      <c r="Q208" s="3" t="s">
        <v>26</v>
      </c>
      <c r="R208" s="3">
        <v>0</v>
      </c>
      <c r="S208" s="3">
        <v>0</v>
      </c>
      <c r="T208" s="3">
        <v>42</v>
      </c>
      <c r="U208" s="3">
        <v>63</v>
      </c>
      <c r="V208" s="4">
        <f>IF(ISERROR(VLOOKUP($S$208,'TAR FIN'!$A$1:$O$86,15,0)),0,VLOOKUP($S$208,'TAR FIN'!$A$1:$O$86,15,0))</f>
        <v>0</v>
      </c>
      <c r="W208" s="4">
        <f>IF(ISERROR(VLOOKUP($T$208,'TAR FIN'!$A$1:$O$86,15,0)),0,VLOOKUP($T$208,'TAR FIN'!$A$1:$O$86,15,0))</f>
        <v>430.35</v>
      </c>
      <c r="X208" s="4">
        <f>IF(ISERROR(VLOOKUP($U$208,'TAR FIN'!$A$1:$O$86,15,0)),0,VLOOKUP($U$208,'TAR FIN'!$A$1:$O$86,15,0))</f>
        <v>186.16</v>
      </c>
      <c r="Y208" s="4"/>
      <c r="Z208" s="4">
        <f ca="1">('TUSD BE'!$AM$33+'TUSD BF'!$AM$33+'TUSD CVA'!$AM$33)*(1-CUSTOS!$M$38)</f>
        <v>536.63434130853489</v>
      </c>
      <c r="AA208" s="4">
        <f>('TE BE'!$AB$24+'TE BF'!$AB$24+'TE CVA'!$AB$24)*(1-CUSTOS!$M$38)</f>
        <v>184.7746360391113</v>
      </c>
      <c r="AB208" s="4">
        <f t="shared" si="14"/>
        <v>0</v>
      </c>
      <c r="AC208" s="4">
        <f>(L208-M208)*(W208+X208)+($W$110+$X$110-$W$208-$X$208)*(L208)</f>
        <v>154.67039999999986</v>
      </c>
      <c r="AD208" s="4">
        <f t="shared" si="15"/>
        <v>0</v>
      </c>
      <c r="AE208" s="4">
        <f ca="1">(L208-M208)*(Z208+AA208)+($Z$110+$AA$110-$Z$208-$AA$208)*(L208)</f>
        <v>84.727182020404442</v>
      </c>
      <c r="AF208" s="3" t="s">
        <v>589</v>
      </c>
    </row>
    <row r="209" spans="1:32" ht="11.25" customHeight="1" x14ac:dyDescent="0.25">
      <c r="A209" s="3" t="s">
        <v>21</v>
      </c>
      <c r="B209" s="3" t="s">
        <v>41</v>
      </c>
      <c r="C209" s="3" t="s">
        <v>23</v>
      </c>
      <c r="D209" s="3" t="s">
        <v>42</v>
      </c>
      <c r="E209" s="3" t="s">
        <v>52</v>
      </c>
      <c r="F209" s="3" t="s">
        <v>50</v>
      </c>
      <c r="G209" s="3" t="s">
        <v>25</v>
      </c>
      <c r="H209" s="3" t="s">
        <v>25</v>
      </c>
      <c r="I209" s="6">
        <v>44593</v>
      </c>
      <c r="J209" s="4">
        <v>0</v>
      </c>
      <c r="K209" s="4">
        <v>0</v>
      </c>
      <c r="L209" s="4">
        <v>1.581</v>
      </c>
      <c r="M209" s="4">
        <v>1.581</v>
      </c>
      <c r="N209" s="4">
        <v>1.581</v>
      </c>
      <c r="O209" s="4">
        <v>1.581</v>
      </c>
      <c r="P209" s="4">
        <v>0</v>
      </c>
      <c r="Q209" s="3" t="s">
        <v>26</v>
      </c>
      <c r="R209" s="3">
        <v>0</v>
      </c>
      <c r="S209" s="3">
        <v>0</v>
      </c>
      <c r="T209" s="3">
        <v>42</v>
      </c>
      <c r="U209" s="3">
        <v>63</v>
      </c>
      <c r="V209" s="4">
        <f>IF(ISERROR(VLOOKUP($S$209,'TAR FIN'!$A$1:$O$86,15,0)),0,VLOOKUP($S$209,'TAR FIN'!$A$1:$O$86,15,0))</f>
        <v>0</v>
      </c>
      <c r="W209" s="4">
        <f>IF(ISERROR(VLOOKUP($T$209,'TAR FIN'!$A$1:$O$86,15,0)),0,VLOOKUP($T$209,'TAR FIN'!$A$1:$O$86,15,0))</f>
        <v>430.35</v>
      </c>
      <c r="X209" s="4">
        <f>IF(ISERROR(VLOOKUP($U$209,'TAR FIN'!$A$1:$O$86,15,0)),0,VLOOKUP($U$209,'TAR FIN'!$A$1:$O$86,15,0))</f>
        <v>186.16</v>
      </c>
      <c r="Y209" s="4"/>
      <c r="Z209" s="4">
        <f ca="1">('TUSD BE'!$AM$33+'TUSD BF'!$AM$33+'TUSD CVA'!$AM$33)*(1-CUSTOS!$M$38)</f>
        <v>536.63434130853489</v>
      </c>
      <c r="AA209" s="4">
        <f>('TE BE'!$AB$24+'TE BF'!$AB$24+'TE CVA'!$AB$24)*(1-CUSTOS!$M$38)</f>
        <v>184.7746360391113</v>
      </c>
      <c r="AB209" s="4">
        <f t="shared" si="14"/>
        <v>0</v>
      </c>
      <c r="AC209" s="4">
        <f>(L209-M209)*(W209+X209)+($W$110+$X$110-$W$209-$X$209)*(L209)</f>
        <v>132.89885999999987</v>
      </c>
      <c r="AD209" s="4">
        <f t="shared" si="15"/>
        <v>0</v>
      </c>
      <c r="AE209" s="4">
        <f ca="1">(L209-M209)*(Z209+AA209)+($Z$110+$AA$110-$Z$209-$AA$209)*(L209)</f>
        <v>72.800910203401855</v>
      </c>
      <c r="AF209" s="3" t="s">
        <v>589</v>
      </c>
    </row>
    <row r="210" spans="1:32" ht="11.25" customHeight="1" x14ac:dyDescent="0.25">
      <c r="A210" s="3" t="s">
        <v>21</v>
      </c>
      <c r="B210" s="3" t="s">
        <v>41</v>
      </c>
      <c r="C210" s="3" t="s">
        <v>23</v>
      </c>
      <c r="D210" s="3" t="s">
        <v>42</v>
      </c>
      <c r="E210" s="3" t="s">
        <v>52</v>
      </c>
      <c r="F210" s="3" t="s">
        <v>50</v>
      </c>
      <c r="G210" s="3" t="s">
        <v>25</v>
      </c>
      <c r="H210" s="3" t="s">
        <v>25</v>
      </c>
      <c r="I210" s="6">
        <v>44621</v>
      </c>
      <c r="J210" s="4">
        <v>0</v>
      </c>
      <c r="K210" s="4">
        <v>0</v>
      </c>
      <c r="L210" s="4">
        <v>1.5129999999999999</v>
      </c>
      <c r="M210" s="4">
        <v>1.5129999999999999</v>
      </c>
      <c r="N210" s="4">
        <v>1.5129999999999999</v>
      </c>
      <c r="O210" s="4">
        <v>1.5129999999999999</v>
      </c>
      <c r="P210" s="4">
        <v>0</v>
      </c>
      <c r="Q210" s="3" t="s">
        <v>26</v>
      </c>
      <c r="R210" s="3">
        <v>0</v>
      </c>
      <c r="S210" s="3">
        <v>0</v>
      </c>
      <c r="T210" s="3">
        <v>42</v>
      </c>
      <c r="U210" s="3">
        <v>63</v>
      </c>
      <c r="V210" s="4">
        <f>IF(ISERROR(VLOOKUP($S$210,'TAR FIN'!$A$1:$O$86,15,0)),0,VLOOKUP($S$210,'TAR FIN'!$A$1:$O$86,15,0))</f>
        <v>0</v>
      </c>
      <c r="W210" s="4">
        <f>IF(ISERROR(VLOOKUP($T$210,'TAR FIN'!$A$1:$O$86,15,0)),0,VLOOKUP($T$210,'TAR FIN'!$A$1:$O$86,15,0))</f>
        <v>430.35</v>
      </c>
      <c r="X210" s="4">
        <f>IF(ISERROR(VLOOKUP($U$210,'TAR FIN'!$A$1:$O$86,15,0)),0,VLOOKUP($U$210,'TAR FIN'!$A$1:$O$86,15,0))</f>
        <v>186.16</v>
      </c>
      <c r="Y210" s="4"/>
      <c r="Z210" s="4">
        <f ca="1">('TUSD BE'!$AM$33+'TUSD BF'!$AM$33+'TUSD CVA'!$AM$33)*(1-CUSTOS!$M$38)</f>
        <v>536.63434130853489</v>
      </c>
      <c r="AA210" s="4">
        <f>('TE BE'!$AB$24+'TE BF'!$AB$24+'TE CVA'!$AB$24)*(1-CUSTOS!$M$38)</f>
        <v>184.7746360391113</v>
      </c>
      <c r="AB210" s="4">
        <f t="shared" si="14"/>
        <v>0</v>
      </c>
      <c r="AC210" s="4">
        <f>(L210-M210)*(W210+X210)+($W$110+$X$110-$W$210-$X$210)*(L210)</f>
        <v>127.18277999999987</v>
      </c>
      <c r="AD210" s="4">
        <f t="shared" si="15"/>
        <v>0</v>
      </c>
      <c r="AE210" s="4">
        <f ca="1">(L210-M210)*(Z210+AA210)+($Z$110+$AA$110-$Z$210-$AA$210)*(L210)</f>
        <v>69.669688259169504</v>
      </c>
      <c r="AF210" s="3" t="s">
        <v>589</v>
      </c>
    </row>
    <row r="211" spans="1:32" ht="11.25" customHeight="1" x14ac:dyDescent="0.25">
      <c r="A211" s="3" t="s">
        <v>21</v>
      </c>
      <c r="B211" s="3" t="s">
        <v>41</v>
      </c>
      <c r="C211" s="3" t="s">
        <v>23</v>
      </c>
      <c r="D211" s="3" t="s">
        <v>42</v>
      </c>
      <c r="E211" s="3" t="s">
        <v>52</v>
      </c>
      <c r="F211" s="3" t="s">
        <v>50</v>
      </c>
      <c r="G211" s="3" t="s">
        <v>25</v>
      </c>
      <c r="H211" s="3" t="s">
        <v>25</v>
      </c>
      <c r="I211" s="6">
        <v>44652</v>
      </c>
      <c r="J211" s="4">
        <v>0</v>
      </c>
      <c r="K211" s="4">
        <v>0</v>
      </c>
      <c r="L211" s="4">
        <v>0.88800000000000001</v>
      </c>
      <c r="M211" s="4">
        <v>0.88800000000000001</v>
      </c>
      <c r="N211" s="4">
        <v>0.88800000000000001</v>
      </c>
      <c r="O211" s="4">
        <v>0.88800000000000001</v>
      </c>
      <c r="P211" s="4">
        <v>0</v>
      </c>
      <c r="Q211" s="3" t="s">
        <v>26</v>
      </c>
      <c r="R211" s="3">
        <v>0</v>
      </c>
      <c r="S211" s="3">
        <v>0</v>
      </c>
      <c r="T211" s="3">
        <v>42</v>
      </c>
      <c r="U211" s="3">
        <v>63</v>
      </c>
      <c r="V211" s="4">
        <f>IF(ISERROR(VLOOKUP($S$211,'TAR FIN'!$A$1:$O$86,15,0)),0,VLOOKUP($S$211,'TAR FIN'!$A$1:$O$86,15,0))</f>
        <v>0</v>
      </c>
      <c r="W211" s="4">
        <f>IF(ISERROR(VLOOKUP($T$211,'TAR FIN'!$A$1:$O$86,15,0)),0,VLOOKUP($T$211,'TAR FIN'!$A$1:$O$86,15,0))</f>
        <v>430.35</v>
      </c>
      <c r="X211" s="4">
        <f>IF(ISERROR(VLOOKUP($U$211,'TAR FIN'!$A$1:$O$86,15,0)),0,VLOOKUP($U$211,'TAR FIN'!$A$1:$O$86,15,0))</f>
        <v>186.16</v>
      </c>
      <c r="Y211" s="4"/>
      <c r="Z211" s="4">
        <f ca="1">('TUSD BE'!$AM$33+'TUSD BF'!$AM$33+'TUSD CVA'!$AM$33)*(1-CUSTOS!$M$38)</f>
        <v>536.63434130853489</v>
      </c>
      <c r="AA211" s="4">
        <f>('TE BE'!$AB$24+'TE BF'!$AB$24+'TE CVA'!$AB$24)*(1-CUSTOS!$M$38)</f>
        <v>184.7746360391113</v>
      </c>
      <c r="AB211" s="4">
        <f t="shared" si="14"/>
        <v>0</v>
      </c>
      <c r="AC211" s="4">
        <f>(L211-M211)*(W211+X211)+($W$110+$X$110-$W$211-$X$211)*(L211)</f>
        <v>74.645279999999929</v>
      </c>
      <c r="AD211" s="4">
        <f t="shared" si="15"/>
        <v>0</v>
      </c>
      <c r="AE211" s="4">
        <f ca="1">(L211-M211)*(Z211+AA211)+($Z$110+$AA$110-$Z$211-$AA$211)*(L211)</f>
        <v>40.890074801151705</v>
      </c>
      <c r="AF211" s="3" t="s">
        <v>589</v>
      </c>
    </row>
    <row r="212" spans="1:32" ht="11.25" customHeight="1" x14ac:dyDescent="0.25">
      <c r="A212" s="3" t="s">
        <v>21</v>
      </c>
      <c r="B212" s="3" t="s">
        <v>41</v>
      </c>
      <c r="C212" s="3" t="s">
        <v>23</v>
      </c>
      <c r="D212" s="3" t="s">
        <v>42</v>
      </c>
      <c r="E212" s="3" t="s">
        <v>52</v>
      </c>
      <c r="F212" s="3" t="s">
        <v>50</v>
      </c>
      <c r="G212" s="3" t="s">
        <v>25</v>
      </c>
      <c r="H212" s="3" t="s">
        <v>25</v>
      </c>
      <c r="I212" s="6">
        <v>44682</v>
      </c>
      <c r="J212" s="4">
        <v>0</v>
      </c>
      <c r="K212" s="4">
        <v>0</v>
      </c>
      <c r="L212" s="4">
        <v>9.5000000000000001E-2</v>
      </c>
      <c r="M212" s="4">
        <v>9.5000000000000001E-2</v>
      </c>
      <c r="N212" s="4">
        <v>9.5000000000000001E-2</v>
      </c>
      <c r="O212" s="4">
        <v>9.5000000000000001E-2</v>
      </c>
      <c r="P212" s="4">
        <v>0</v>
      </c>
      <c r="Q212" s="3" t="s">
        <v>26</v>
      </c>
      <c r="R212" s="3">
        <v>0</v>
      </c>
      <c r="S212" s="3">
        <v>0</v>
      </c>
      <c r="T212" s="3">
        <v>42</v>
      </c>
      <c r="U212" s="3">
        <v>63</v>
      </c>
      <c r="V212" s="4">
        <f>IF(ISERROR(VLOOKUP($S$212,'TAR FIN'!$A$1:$O$86,15,0)),0,VLOOKUP($S$212,'TAR FIN'!$A$1:$O$86,15,0))</f>
        <v>0</v>
      </c>
      <c r="W212" s="4">
        <f>IF(ISERROR(VLOOKUP($T$212,'TAR FIN'!$A$1:$O$86,15,0)),0,VLOOKUP($T$212,'TAR FIN'!$A$1:$O$86,15,0))</f>
        <v>430.35</v>
      </c>
      <c r="X212" s="4">
        <f>IF(ISERROR(VLOOKUP($U$212,'TAR FIN'!$A$1:$O$86,15,0)),0,VLOOKUP($U$212,'TAR FIN'!$A$1:$O$86,15,0))</f>
        <v>186.16</v>
      </c>
      <c r="Y212" s="4"/>
      <c r="Z212" s="4">
        <f ca="1">('TUSD BE'!$AM$33+'TUSD BF'!$AM$33+'TUSD CVA'!$AM$33)*(1-CUSTOS!$M$38)</f>
        <v>536.63434130853489</v>
      </c>
      <c r="AA212" s="4">
        <f>('TE BE'!$AB$24+'TE BF'!$AB$24+'TE CVA'!$AB$24)*(1-CUSTOS!$M$38)</f>
        <v>184.7746360391113</v>
      </c>
      <c r="AB212" s="4">
        <f t="shared" si="14"/>
        <v>0</v>
      </c>
      <c r="AC212" s="4">
        <f>(L212-M212)*(W212+X212)+($W$110+$X$110-$W$212-$X$212)*(L212)</f>
        <v>7.9856999999999925</v>
      </c>
      <c r="AD212" s="4">
        <f t="shared" si="15"/>
        <v>0</v>
      </c>
      <c r="AE212" s="4">
        <f ca="1">(L212-M212)*(Z212+AA212)+($Z$110+$AA$110-$Z$212-$AA$212)*(L212)</f>
        <v>4.3745012456187071</v>
      </c>
      <c r="AF212" s="3" t="s">
        <v>589</v>
      </c>
    </row>
    <row r="213" spans="1:32" ht="11.25" customHeight="1" x14ac:dyDescent="0.25">
      <c r="A213" s="3" t="s">
        <v>21</v>
      </c>
      <c r="B213" s="3" t="s">
        <v>41</v>
      </c>
      <c r="C213" s="3" t="s">
        <v>23</v>
      </c>
      <c r="D213" s="3" t="s">
        <v>42</v>
      </c>
      <c r="E213" s="3" t="s">
        <v>52</v>
      </c>
      <c r="F213" s="3" t="s">
        <v>50</v>
      </c>
      <c r="G213" s="3" t="s">
        <v>25</v>
      </c>
      <c r="H213" s="3" t="s">
        <v>25</v>
      </c>
      <c r="I213" s="6">
        <v>44713</v>
      </c>
      <c r="J213" s="4">
        <v>0</v>
      </c>
      <c r="K213" s="4">
        <v>0</v>
      </c>
      <c r="L213" s="4">
        <v>0.32600000000000001</v>
      </c>
      <c r="M213" s="4">
        <v>0.32600000000000001</v>
      </c>
      <c r="N213" s="4">
        <v>0.32600000000000001</v>
      </c>
      <c r="O213" s="4">
        <v>0.32600000000000001</v>
      </c>
      <c r="P213" s="4">
        <v>0</v>
      </c>
      <c r="Q213" s="3" t="s">
        <v>26</v>
      </c>
      <c r="R213" s="3">
        <v>0</v>
      </c>
      <c r="S213" s="3">
        <v>0</v>
      </c>
      <c r="T213" s="3">
        <v>42</v>
      </c>
      <c r="U213" s="3">
        <v>63</v>
      </c>
      <c r="V213" s="4">
        <f>IF(ISERROR(VLOOKUP($S$213,'TAR FIN'!$A$1:$O$86,15,0)),0,VLOOKUP($S$213,'TAR FIN'!$A$1:$O$86,15,0))</f>
        <v>0</v>
      </c>
      <c r="W213" s="4">
        <f>IF(ISERROR(VLOOKUP($T$213,'TAR FIN'!$A$1:$O$86,15,0)),0,VLOOKUP($T$213,'TAR FIN'!$A$1:$O$86,15,0))</f>
        <v>430.35</v>
      </c>
      <c r="X213" s="4">
        <f>IF(ISERROR(VLOOKUP($U$213,'TAR FIN'!$A$1:$O$86,15,0)),0,VLOOKUP($U$213,'TAR FIN'!$A$1:$O$86,15,0))</f>
        <v>186.16</v>
      </c>
      <c r="Y213" s="4"/>
      <c r="Z213" s="4">
        <f ca="1">('TUSD BE'!$AM$33+'TUSD BF'!$AM$33+'TUSD CVA'!$AM$33)*(1-CUSTOS!$M$38)</f>
        <v>536.63434130853489</v>
      </c>
      <c r="AA213" s="4">
        <f>('TE BE'!$AB$24+'TE BF'!$AB$24+'TE CVA'!$AB$24)*(1-CUSTOS!$M$38)</f>
        <v>184.7746360391113</v>
      </c>
      <c r="AB213" s="4">
        <f t="shared" si="14"/>
        <v>0</v>
      </c>
      <c r="AC213" s="4">
        <f>(L213-M213)*(W213+X213)+($W$110+$X$110-$W$213-$X$213)*(L213)</f>
        <v>27.403559999999974</v>
      </c>
      <c r="AD213" s="4">
        <f t="shared" si="15"/>
        <v>0</v>
      </c>
      <c r="AE213" s="4">
        <f ca="1">(L213-M213)*(Z213+AA213)+($Z$110+$AA$110-$Z$213-$AA$213)*(L213)</f>
        <v>15.01144637970209</v>
      </c>
      <c r="AF213" s="3" t="s">
        <v>589</v>
      </c>
    </row>
    <row r="214" spans="1:32" ht="11.25" customHeight="1" x14ac:dyDescent="0.25">
      <c r="A214" s="3" t="s">
        <v>21</v>
      </c>
      <c r="B214" s="3" t="s">
        <v>41</v>
      </c>
      <c r="C214" s="3" t="s">
        <v>23</v>
      </c>
      <c r="D214" s="3" t="s">
        <v>42</v>
      </c>
      <c r="E214" s="3" t="s">
        <v>52</v>
      </c>
      <c r="F214" s="3" t="s">
        <v>51</v>
      </c>
      <c r="G214" s="3" t="s">
        <v>25</v>
      </c>
      <c r="H214" s="3" t="s">
        <v>25</v>
      </c>
      <c r="I214" s="6">
        <v>44378</v>
      </c>
      <c r="J214" s="4">
        <v>0</v>
      </c>
      <c r="K214" s="4">
        <v>0</v>
      </c>
      <c r="L214" s="4">
        <v>2.5979999999999999</v>
      </c>
      <c r="M214" s="4">
        <v>1.0391999999999999</v>
      </c>
      <c r="N214" s="4">
        <v>2.5979999999999999</v>
      </c>
      <c r="O214" s="4">
        <v>1.0391999999999999</v>
      </c>
      <c r="P214" s="4">
        <v>0</v>
      </c>
      <c r="Q214" s="3" t="s">
        <v>26</v>
      </c>
      <c r="R214" s="3">
        <v>0</v>
      </c>
      <c r="S214" s="3">
        <v>0</v>
      </c>
      <c r="T214" s="3">
        <v>29</v>
      </c>
      <c r="U214" s="3">
        <v>63</v>
      </c>
      <c r="V214" s="4">
        <f>IF(ISERROR(VLOOKUP($S$214,'TAR FIN'!$A$1:$O$86,15,0)),0,VLOOKUP($S$214,'TAR FIN'!$A$1:$O$86,15,0))</f>
        <v>0</v>
      </c>
      <c r="W214" s="4">
        <f>IF(ISERROR(VLOOKUP($T$214,'TAR FIN'!$A$1:$O$86,15,0)),0,VLOOKUP($T$214,'TAR FIN'!$A$1:$O$86,15,0))</f>
        <v>410.79</v>
      </c>
      <c r="X214" s="4">
        <f>IF(ISERROR(VLOOKUP($U$214,'TAR FIN'!$A$1:$O$86,15,0)),0,VLOOKUP($U$214,'TAR FIN'!$A$1:$O$86,15,0))</f>
        <v>186.16</v>
      </c>
      <c r="Y214" s="4"/>
      <c r="Z214" s="4">
        <f ca="1">('TUSD BE'!$AM$33+'TUSD BF'!$AM$33+'TUSD CVA'!$AM$33)*(1-CUSTOS!$M$38)</f>
        <v>536.63434130853489</v>
      </c>
      <c r="AA214" s="4">
        <f>('TE BE'!$AB$24+'TE BF'!$AB$24+'TE CVA'!$AB$24)*(1-CUSTOS!$M$38)</f>
        <v>184.7746360391113</v>
      </c>
      <c r="AB214" s="4">
        <f t="shared" si="14"/>
        <v>0</v>
      </c>
      <c r="AC214" s="4">
        <f>(L214-M214)*(W214+X214)+($W$110+$X$110-$W$214-$X$214)*(L214)</f>
        <v>1199.7304199999999</v>
      </c>
      <c r="AD214" s="4">
        <f t="shared" si="15"/>
        <v>0</v>
      </c>
      <c r="AE214" s="4">
        <f ca="1">(L214-M214)*(Z214+AA214)+($Z$110+$AA$110-$Z$214-$AA$214)*(L214)</f>
        <v>1244.1634111117994</v>
      </c>
      <c r="AF214" s="3" t="s">
        <v>590</v>
      </c>
    </row>
    <row r="215" spans="1:32" ht="11.25" customHeight="1" x14ac:dyDescent="0.25">
      <c r="A215" s="3" t="s">
        <v>21</v>
      </c>
      <c r="B215" s="3" t="s">
        <v>41</v>
      </c>
      <c r="C215" s="3" t="s">
        <v>23</v>
      </c>
      <c r="D215" s="3" t="s">
        <v>42</v>
      </c>
      <c r="E215" s="3" t="s">
        <v>52</v>
      </c>
      <c r="F215" s="3" t="s">
        <v>51</v>
      </c>
      <c r="G215" s="3" t="s">
        <v>25</v>
      </c>
      <c r="H215" s="3" t="s">
        <v>25</v>
      </c>
      <c r="I215" s="6">
        <v>44409</v>
      </c>
      <c r="J215" s="4">
        <v>0</v>
      </c>
      <c r="K215" s="4">
        <v>0</v>
      </c>
      <c r="L215" s="4">
        <v>0.88400000000000001</v>
      </c>
      <c r="M215" s="4">
        <v>0.35360000000000003</v>
      </c>
      <c r="N215" s="4">
        <v>0.88400000000000001</v>
      </c>
      <c r="O215" s="4">
        <v>0.35360000000000003</v>
      </c>
      <c r="P215" s="4">
        <v>0</v>
      </c>
      <c r="Q215" s="3" t="s">
        <v>26</v>
      </c>
      <c r="R215" s="3">
        <v>0</v>
      </c>
      <c r="S215" s="3">
        <v>0</v>
      </c>
      <c r="T215" s="3">
        <v>29</v>
      </c>
      <c r="U215" s="3">
        <v>63</v>
      </c>
      <c r="V215" s="4">
        <f>IF(ISERROR(VLOOKUP($S$215,'TAR FIN'!$A$1:$O$86,15,0)),0,VLOOKUP($S$215,'TAR FIN'!$A$1:$O$86,15,0))</f>
        <v>0</v>
      </c>
      <c r="W215" s="4">
        <f>IF(ISERROR(VLOOKUP($T$215,'TAR FIN'!$A$1:$O$86,15,0)),0,VLOOKUP($T$215,'TAR FIN'!$A$1:$O$86,15,0))</f>
        <v>410.79</v>
      </c>
      <c r="X215" s="4">
        <f>IF(ISERROR(VLOOKUP($U$215,'TAR FIN'!$A$1:$O$86,15,0)),0,VLOOKUP($U$215,'TAR FIN'!$A$1:$O$86,15,0))</f>
        <v>186.16</v>
      </c>
      <c r="Y215" s="4"/>
      <c r="Z215" s="4">
        <f ca="1">('TUSD BE'!$AM$33+'TUSD BF'!$AM$33+'TUSD CVA'!$AM$33)*(1-CUSTOS!$M$38)</f>
        <v>536.63434130853489</v>
      </c>
      <c r="AA215" s="4">
        <f>('TE BE'!$AB$24+'TE BF'!$AB$24+'TE CVA'!$AB$24)*(1-CUSTOS!$M$38)</f>
        <v>184.7746360391113</v>
      </c>
      <c r="AB215" s="4">
        <f t="shared" si="14"/>
        <v>0</v>
      </c>
      <c r="AC215" s="4">
        <f>(L215-M215)*(W215+X215)+($W$110+$X$110-$W$215-$X$215)*(L215)</f>
        <v>408.22235999999992</v>
      </c>
      <c r="AD215" s="4">
        <f t="shared" si="15"/>
        <v>0</v>
      </c>
      <c r="AE215" s="4">
        <f ca="1">(L215-M215)*(Z215+AA215)+($Z$110+$AA$110-$Z$215-$AA$215)*(L215)</f>
        <v>423.34120686021197</v>
      </c>
      <c r="AF215" s="3" t="s">
        <v>590</v>
      </c>
    </row>
    <row r="216" spans="1:32" ht="11.25" customHeight="1" x14ac:dyDescent="0.25">
      <c r="A216" s="3" t="s">
        <v>21</v>
      </c>
      <c r="B216" s="3" t="s">
        <v>41</v>
      </c>
      <c r="C216" s="3" t="s">
        <v>23</v>
      </c>
      <c r="D216" s="3" t="s">
        <v>42</v>
      </c>
      <c r="E216" s="3" t="s">
        <v>52</v>
      </c>
      <c r="F216" s="3" t="s">
        <v>51</v>
      </c>
      <c r="G216" s="3" t="s">
        <v>25</v>
      </c>
      <c r="H216" s="3" t="s">
        <v>25</v>
      </c>
      <c r="I216" s="6">
        <v>44440</v>
      </c>
      <c r="J216" s="4">
        <v>0</v>
      </c>
      <c r="K216" s="4">
        <v>0</v>
      </c>
      <c r="L216" s="4">
        <v>0.621</v>
      </c>
      <c r="M216" s="4">
        <v>0.24840000000000001</v>
      </c>
      <c r="N216" s="4">
        <v>0.621</v>
      </c>
      <c r="O216" s="4">
        <v>0.24840000000000001</v>
      </c>
      <c r="P216" s="4">
        <v>0</v>
      </c>
      <c r="Q216" s="3" t="s">
        <v>26</v>
      </c>
      <c r="R216" s="3">
        <v>0</v>
      </c>
      <c r="S216" s="3">
        <v>0</v>
      </c>
      <c r="T216" s="3">
        <v>29</v>
      </c>
      <c r="U216" s="3">
        <v>63</v>
      </c>
      <c r="V216" s="4">
        <f>IF(ISERROR(VLOOKUP($S$216,'TAR FIN'!$A$1:$O$86,15,0)),0,VLOOKUP($S$216,'TAR FIN'!$A$1:$O$86,15,0))</f>
        <v>0</v>
      </c>
      <c r="W216" s="4">
        <f>IF(ISERROR(VLOOKUP($T$216,'TAR FIN'!$A$1:$O$86,15,0)),0,VLOOKUP($T$216,'TAR FIN'!$A$1:$O$86,15,0))</f>
        <v>410.79</v>
      </c>
      <c r="X216" s="4">
        <f>IF(ISERROR(VLOOKUP($U$216,'TAR FIN'!$A$1:$O$86,15,0)),0,VLOOKUP($U$216,'TAR FIN'!$A$1:$O$86,15,0))</f>
        <v>186.16</v>
      </c>
      <c r="Y216" s="4"/>
      <c r="Z216" s="4">
        <f ca="1">('TUSD BE'!$AM$33+'TUSD BF'!$AM$33+'TUSD CVA'!$AM$33)*(1-CUSTOS!$M$38)</f>
        <v>536.63434130853489</v>
      </c>
      <c r="AA216" s="4">
        <f>('TE BE'!$AB$24+'TE BF'!$AB$24+'TE CVA'!$AB$24)*(1-CUSTOS!$M$38)</f>
        <v>184.7746360391113</v>
      </c>
      <c r="AB216" s="4">
        <f t="shared" si="14"/>
        <v>0</v>
      </c>
      <c r="AC216" s="4">
        <f>(L216-M216)*(W216+X216)+($W$110+$X$110-$W$216-$X$216)*(L216)</f>
        <v>286.77158999999995</v>
      </c>
      <c r="AD216" s="4">
        <f t="shared" si="15"/>
        <v>0</v>
      </c>
      <c r="AE216" s="4">
        <f ca="1">(L216-M216)*(Z216+AA216)+($Z$110+$AA$110-$Z$216-$AA$216)*(L216)</f>
        <v>297.39240889161948</v>
      </c>
      <c r="AF216" s="3" t="s">
        <v>590</v>
      </c>
    </row>
    <row r="217" spans="1:32" ht="11.25" customHeight="1" x14ac:dyDescent="0.25">
      <c r="A217" s="3" t="s">
        <v>21</v>
      </c>
      <c r="B217" s="3" t="s">
        <v>41</v>
      </c>
      <c r="C217" s="3" t="s">
        <v>23</v>
      </c>
      <c r="D217" s="3" t="s">
        <v>42</v>
      </c>
      <c r="E217" s="3" t="s">
        <v>52</v>
      </c>
      <c r="F217" s="3" t="s">
        <v>51</v>
      </c>
      <c r="G217" s="3" t="s">
        <v>25</v>
      </c>
      <c r="H217" s="3" t="s">
        <v>25</v>
      </c>
      <c r="I217" s="6">
        <v>44470</v>
      </c>
      <c r="J217" s="4">
        <v>0</v>
      </c>
      <c r="K217" s="4">
        <v>0</v>
      </c>
      <c r="L217" s="4">
        <v>0.85699999999999998</v>
      </c>
      <c r="M217" s="4">
        <v>0.34279999999999999</v>
      </c>
      <c r="N217" s="4">
        <v>0.85699999999999998</v>
      </c>
      <c r="O217" s="4">
        <v>0.34279999999999999</v>
      </c>
      <c r="P217" s="4">
        <v>0</v>
      </c>
      <c r="Q217" s="3" t="s">
        <v>26</v>
      </c>
      <c r="R217" s="3">
        <v>0</v>
      </c>
      <c r="S217" s="3">
        <v>0</v>
      </c>
      <c r="T217" s="3">
        <v>29</v>
      </c>
      <c r="U217" s="3">
        <v>63</v>
      </c>
      <c r="V217" s="4">
        <f>IF(ISERROR(VLOOKUP($S$217,'TAR FIN'!$A$1:$O$86,15,0)),0,VLOOKUP($S$217,'TAR FIN'!$A$1:$O$86,15,0))</f>
        <v>0</v>
      </c>
      <c r="W217" s="4">
        <f>IF(ISERROR(VLOOKUP($T$217,'TAR FIN'!$A$1:$O$86,15,0)),0,VLOOKUP($T$217,'TAR FIN'!$A$1:$O$86,15,0))</f>
        <v>410.79</v>
      </c>
      <c r="X217" s="4">
        <f>IF(ISERROR(VLOOKUP($U$217,'TAR FIN'!$A$1:$O$86,15,0)),0,VLOOKUP($U$217,'TAR FIN'!$A$1:$O$86,15,0))</f>
        <v>186.16</v>
      </c>
      <c r="Y217" s="4"/>
      <c r="Z217" s="4">
        <f ca="1">('TUSD BE'!$AM$33+'TUSD BF'!$AM$33+'TUSD CVA'!$AM$33)*(1-CUSTOS!$M$38)</f>
        <v>536.63434130853489</v>
      </c>
      <c r="AA217" s="4">
        <f>('TE BE'!$AB$24+'TE BF'!$AB$24+'TE CVA'!$AB$24)*(1-CUSTOS!$M$38)</f>
        <v>184.7746360391113</v>
      </c>
      <c r="AB217" s="4">
        <f t="shared" si="14"/>
        <v>0</v>
      </c>
      <c r="AC217" s="4">
        <f>(L217-M217)*(W217+X217)+($W$110+$X$110-$W$217-$X$217)*(L217)</f>
        <v>395.75402999999994</v>
      </c>
      <c r="AD217" s="4">
        <f t="shared" si="15"/>
        <v>0</v>
      </c>
      <c r="AE217" s="4">
        <f ca="1">(L217-M217)*(Z217+AA217)+($Z$110+$AA$110-$Z$217-$AA$217)*(L217)</f>
        <v>410.41110212579372</v>
      </c>
      <c r="AF217" s="3" t="s">
        <v>590</v>
      </c>
    </row>
    <row r="218" spans="1:32" ht="11.25" customHeight="1" x14ac:dyDescent="0.25">
      <c r="A218" s="3" t="s">
        <v>21</v>
      </c>
      <c r="B218" s="3" t="s">
        <v>41</v>
      </c>
      <c r="C218" s="3" t="s">
        <v>23</v>
      </c>
      <c r="D218" s="3" t="s">
        <v>42</v>
      </c>
      <c r="E218" s="3" t="s">
        <v>52</v>
      </c>
      <c r="F218" s="3" t="s">
        <v>51</v>
      </c>
      <c r="G218" s="3" t="s">
        <v>25</v>
      </c>
      <c r="H218" s="3" t="s">
        <v>25</v>
      </c>
      <c r="I218" s="6">
        <v>44501</v>
      </c>
      <c r="J218" s="4">
        <v>0</v>
      </c>
      <c r="K218" s="4">
        <v>0</v>
      </c>
      <c r="L218" s="4">
        <v>1.806</v>
      </c>
      <c r="M218" s="4">
        <v>0.72240000000000004</v>
      </c>
      <c r="N218" s="4">
        <v>1.806</v>
      </c>
      <c r="O218" s="4">
        <v>0.72240000000000004</v>
      </c>
      <c r="P218" s="4">
        <v>0</v>
      </c>
      <c r="Q218" s="3" t="s">
        <v>26</v>
      </c>
      <c r="R218" s="3">
        <v>0</v>
      </c>
      <c r="S218" s="3">
        <v>0</v>
      </c>
      <c r="T218" s="3">
        <v>29</v>
      </c>
      <c r="U218" s="3">
        <v>63</v>
      </c>
      <c r="V218" s="4">
        <f>IF(ISERROR(VLOOKUP($S$218,'TAR FIN'!$A$1:$O$86,15,0)),0,VLOOKUP($S$218,'TAR FIN'!$A$1:$O$86,15,0))</f>
        <v>0</v>
      </c>
      <c r="W218" s="4">
        <f>IF(ISERROR(VLOOKUP($T$218,'TAR FIN'!$A$1:$O$86,15,0)),0,VLOOKUP($T$218,'TAR FIN'!$A$1:$O$86,15,0))</f>
        <v>410.79</v>
      </c>
      <c r="X218" s="4">
        <f>IF(ISERROR(VLOOKUP($U$218,'TAR FIN'!$A$1:$O$86,15,0)),0,VLOOKUP($U$218,'TAR FIN'!$A$1:$O$86,15,0))</f>
        <v>186.16</v>
      </c>
      <c r="Y218" s="4"/>
      <c r="Z218" s="4">
        <f ca="1">('TUSD BE'!$AM$33+'TUSD BF'!$AM$33+'TUSD CVA'!$AM$33)*(1-CUSTOS!$M$38)</f>
        <v>536.63434130853489</v>
      </c>
      <c r="AA218" s="4">
        <f>('TE BE'!$AB$24+'TE BF'!$AB$24+'TE CVA'!$AB$24)*(1-CUSTOS!$M$38)</f>
        <v>184.7746360391113</v>
      </c>
      <c r="AB218" s="4">
        <f t="shared" si="14"/>
        <v>0</v>
      </c>
      <c r="AC218" s="4">
        <f>(L218-M218)*(W218+X218)+($W$110+$X$110-$W$218-$X$218)*(L218)</f>
        <v>833.99273999999991</v>
      </c>
      <c r="AD218" s="4">
        <f t="shared" si="15"/>
        <v>0</v>
      </c>
      <c r="AE218" s="4">
        <f ca="1">(L218-M218)*(Z218+AA218)+($Z$110+$AA$110-$Z$218-$AA$218)*(L218)</f>
        <v>864.88033890219776</v>
      </c>
      <c r="AF218" s="3" t="s">
        <v>590</v>
      </c>
    </row>
    <row r="219" spans="1:32" ht="11.25" customHeight="1" x14ac:dyDescent="0.25">
      <c r="A219" s="3" t="s">
        <v>21</v>
      </c>
      <c r="B219" s="3" t="s">
        <v>41</v>
      </c>
      <c r="C219" s="3" t="s">
        <v>23</v>
      </c>
      <c r="D219" s="3" t="s">
        <v>42</v>
      </c>
      <c r="E219" s="3" t="s">
        <v>52</v>
      </c>
      <c r="F219" s="3" t="s">
        <v>51</v>
      </c>
      <c r="G219" s="3" t="s">
        <v>25</v>
      </c>
      <c r="H219" s="3" t="s">
        <v>25</v>
      </c>
      <c r="I219" s="6">
        <v>44531</v>
      </c>
      <c r="J219" s="4">
        <v>0</v>
      </c>
      <c r="K219" s="4">
        <v>0</v>
      </c>
      <c r="L219" s="4">
        <v>2.024</v>
      </c>
      <c r="M219" s="4">
        <v>0.80959999999999999</v>
      </c>
      <c r="N219" s="4">
        <v>2.024</v>
      </c>
      <c r="O219" s="4">
        <v>0.80959999999999999</v>
      </c>
      <c r="P219" s="4">
        <v>0</v>
      </c>
      <c r="Q219" s="3" t="s">
        <v>26</v>
      </c>
      <c r="R219" s="3">
        <v>0</v>
      </c>
      <c r="S219" s="3">
        <v>0</v>
      </c>
      <c r="T219" s="3">
        <v>29</v>
      </c>
      <c r="U219" s="3">
        <v>63</v>
      </c>
      <c r="V219" s="4">
        <f>IF(ISERROR(VLOOKUP($S$219,'TAR FIN'!$A$1:$O$86,15,0)),0,VLOOKUP($S$219,'TAR FIN'!$A$1:$O$86,15,0))</f>
        <v>0</v>
      </c>
      <c r="W219" s="4">
        <f>IF(ISERROR(VLOOKUP($T$219,'TAR FIN'!$A$1:$O$86,15,0)),0,VLOOKUP($T$219,'TAR FIN'!$A$1:$O$86,15,0))</f>
        <v>410.79</v>
      </c>
      <c r="X219" s="4">
        <f>IF(ISERROR(VLOOKUP($U$219,'TAR FIN'!$A$1:$O$86,15,0)),0,VLOOKUP($U$219,'TAR FIN'!$A$1:$O$86,15,0))</f>
        <v>186.16</v>
      </c>
      <c r="Y219" s="4"/>
      <c r="Z219" s="4">
        <f ca="1">('TUSD BE'!$AM$33+'TUSD BF'!$AM$33+'TUSD CVA'!$AM$33)*(1-CUSTOS!$M$38)</f>
        <v>536.63434130853489</v>
      </c>
      <c r="AA219" s="4">
        <f>('TE BE'!$AB$24+'TE BF'!$AB$24+'TE CVA'!$AB$24)*(1-CUSTOS!$M$38)</f>
        <v>184.7746360391113</v>
      </c>
      <c r="AB219" s="4">
        <f t="shared" si="14"/>
        <v>0</v>
      </c>
      <c r="AC219" s="4">
        <f>(L219-M219)*(W219+X219)+($W$110+$X$110-$W$219-$X$219)*(L219)</f>
        <v>934.66295999999988</v>
      </c>
      <c r="AD219" s="4">
        <f t="shared" si="15"/>
        <v>0</v>
      </c>
      <c r="AE219" s="4">
        <f ca="1">(L219-M219)*(Z219+AA219)+($Z$110+$AA$110-$Z$219-$AA$219)*(L219)</f>
        <v>969.2789623134264</v>
      </c>
      <c r="AF219" s="3" t="s">
        <v>590</v>
      </c>
    </row>
    <row r="220" spans="1:32" ht="11.25" customHeight="1" x14ac:dyDescent="0.25">
      <c r="A220" s="3" t="s">
        <v>21</v>
      </c>
      <c r="B220" s="3" t="s">
        <v>41</v>
      </c>
      <c r="C220" s="3" t="s">
        <v>23</v>
      </c>
      <c r="D220" s="3" t="s">
        <v>42</v>
      </c>
      <c r="E220" s="3" t="s">
        <v>52</v>
      </c>
      <c r="F220" s="3" t="s">
        <v>51</v>
      </c>
      <c r="G220" s="3" t="s">
        <v>25</v>
      </c>
      <c r="H220" s="3" t="s">
        <v>25</v>
      </c>
      <c r="I220" s="6">
        <v>44562</v>
      </c>
      <c r="J220" s="4">
        <v>0</v>
      </c>
      <c r="K220" s="4">
        <v>0</v>
      </c>
      <c r="L220" s="4">
        <v>1.6990000000000001</v>
      </c>
      <c r="M220" s="4">
        <v>0.67959999999999998</v>
      </c>
      <c r="N220" s="4">
        <v>1.6990000000000001</v>
      </c>
      <c r="O220" s="4">
        <v>0.67959999999999998</v>
      </c>
      <c r="P220" s="4">
        <v>0</v>
      </c>
      <c r="Q220" s="3" t="s">
        <v>26</v>
      </c>
      <c r="R220" s="3">
        <v>0</v>
      </c>
      <c r="S220" s="3">
        <v>0</v>
      </c>
      <c r="T220" s="3">
        <v>29</v>
      </c>
      <c r="U220" s="3">
        <v>63</v>
      </c>
      <c r="V220" s="4">
        <f>IF(ISERROR(VLOOKUP($S$220,'TAR FIN'!$A$1:$O$86,15,0)),0,VLOOKUP($S$220,'TAR FIN'!$A$1:$O$86,15,0))</f>
        <v>0</v>
      </c>
      <c r="W220" s="4">
        <f>IF(ISERROR(VLOOKUP($T$220,'TAR FIN'!$A$1:$O$86,15,0)),0,VLOOKUP($T$220,'TAR FIN'!$A$1:$O$86,15,0))</f>
        <v>410.79</v>
      </c>
      <c r="X220" s="4">
        <f>IF(ISERROR(VLOOKUP($U$220,'TAR FIN'!$A$1:$O$86,15,0)),0,VLOOKUP($U$220,'TAR FIN'!$A$1:$O$86,15,0))</f>
        <v>186.16</v>
      </c>
      <c r="Y220" s="4"/>
      <c r="Z220" s="4">
        <f ca="1">('TUSD BE'!$AM$33+'TUSD BF'!$AM$33+'TUSD CVA'!$AM$33)*(1-CUSTOS!$M$38)</f>
        <v>536.63434130853489</v>
      </c>
      <c r="AA220" s="4">
        <f>('TE BE'!$AB$24+'TE BF'!$AB$24+'TE CVA'!$AB$24)*(1-CUSTOS!$M$38)</f>
        <v>184.7746360391113</v>
      </c>
      <c r="AB220" s="4">
        <f t="shared" si="14"/>
        <v>0</v>
      </c>
      <c r="AC220" s="4">
        <f>(L220-M220)*(W220+X220)+($W$110+$X$110-$W$220-$X$220)*(L220)</f>
        <v>784.58121000000006</v>
      </c>
      <c r="AD220" s="4">
        <f t="shared" si="15"/>
        <v>0</v>
      </c>
      <c r="AE220" s="4">
        <f ca="1">(L220-M220)*(Z220+AA220)+($Z$110+$AA$110-$Z$220-$AA$220)*(L220)</f>
        <v>813.63881273246625</v>
      </c>
      <c r="AF220" s="3" t="s">
        <v>590</v>
      </c>
    </row>
    <row r="221" spans="1:32" ht="11.25" customHeight="1" x14ac:dyDescent="0.25">
      <c r="A221" s="3" t="s">
        <v>21</v>
      </c>
      <c r="B221" s="3" t="s">
        <v>41</v>
      </c>
      <c r="C221" s="3" t="s">
        <v>23</v>
      </c>
      <c r="D221" s="3" t="s">
        <v>42</v>
      </c>
      <c r="E221" s="3" t="s">
        <v>52</v>
      </c>
      <c r="F221" s="3" t="s">
        <v>51</v>
      </c>
      <c r="G221" s="3" t="s">
        <v>25</v>
      </c>
      <c r="H221" s="3" t="s">
        <v>25</v>
      </c>
      <c r="I221" s="6">
        <v>44593</v>
      </c>
      <c r="J221" s="4">
        <v>0</v>
      </c>
      <c r="K221" s="4">
        <v>0</v>
      </c>
      <c r="L221" s="4">
        <v>3.52</v>
      </c>
      <c r="M221" s="4">
        <v>1.4079999999999999</v>
      </c>
      <c r="N221" s="4">
        <v>3.52</v>
      </c>
      <c r="O221" s="4">
        <v>1.4079999999999999</v>
      </c>
      <c r="P221" s="4">
        <v>0</v>
      </c>
      <c r="Q221" s="3" t="s">
        <v>26</v>
      </c>
      <c r="R221" s="3">
        <v>0</v>
      </c>
      <c r="S221" s="3">
        <v>0</v>
      </c>
      <c r="T221" s="3">
        <v>29</v>
      </c>
      <c r="U221" s="3">
        <v>63</v>
      </c>
      <c r="V221" s="4">
        <f>IF(ISERROR(VLOOKUP($S$221,'TAR FIN'!$A$1:$O$86,15,0)),0,VLOOKUP($S$221,'TAR FIN'!$A$1:$O$86,15,0))</f>
        <v>0</v>
      </c>
      <c r="W221" s="4">
        <f>IF(ISERROR(VLOOKUP($T$221,'TAR FIN'!$A$1:$O$86,15,0)),0,VLOOKUP($T$221,'TAR FIN'!$A$1:$O$86,15,0))</f>
        <v>410.79</v>
      </c>
      <c r="X221" s="4">
        <f>IF(ISERROR(VLOOKUP($U$221,'TAR FIN'!$A$1:$O$86,15,0)),0,VLOOKUP($U$221,'TAR FIN'!$A$1:$O$86,15,0))</f>
        <v>186.16</v>
      </c>
      <c r="Y221" s="4"/>
      <c r="Z221" s="4">
        <f ca="1">('TUSD BE'!$AM$33+'TUSD BF'!$AM$33+'TUSD CVA'!$AM$33)*(1-CUSTOS!$M$38)</f>
        <v>536.63434130853489</v>
      </c>
      <c r="AA221" s="4">
        <f>('TE BE'!$AB$24+'TE BF'!$AB$24+'TE CVA'!$AB$24)*(1-CUSTOS!$M$38)</f>
        <v>184.7746360391113</v>
      </c>
      <c r="AB221" s="4">
        <f t="shared" si="14"/>
        <v>0</v>
      </c>
      <c r="AC221" s="4">
        <f>(L221-M221)*(W221+X221)+($W$110+$X$110-$W$221-$X$221)*(L221)</f>
        <v>1625.5007999999998</v>
      </c>
      <c r="AD221" s="4">
        <f t="shared" si="15"/>
        <v>0</v>
      </c>
      <c r="AE221" s="4">
        <f ca="1">(L221-M221)*(Z221+AA221)+($Z$110+$AA$110-$Z$221-$AA$221)*(L221)</f>
        <v>1685.7025431537852</v>
      </c>
      <c r="AF221" s="3" t="s">
        <v>590</v>
      </c>
    </row>
    <row r="222" spans="1:32" ht="11.25" customHeight="1" x14ac:dyDescent="0.25">
      <c r="A222" s="3" t="s">
        <v>21</v>
      </c>
      <c r="B222" s="3" t="s">
        <v>41</v>
      </c>
      <c r="C222" s="3" t="s">
        <v>23</v>
      </c>
      <c r="D222" s="3" t="s">
        <v>42</v>
      </c>
      <c r="E222" s="3" t="s">
        <v>52</v>
      </c>
      <c r="F222" s="3" t="s">
        <v>51</v>
      </c>
      <c r="G222" s="3" t="s">
        <v>25</v>
      </c>
      <c r="H222" s="3" t="s">
        <v>25</v>
      </c>
      <c r="I222" s="6">
        <v>44621</v>
      </c>
      <c r="J222" s="4">
        <v>0</v>
      </c>
      <c r="K222" s="4">
        <v>0</v>
      </c>
      <c r="L222" s="4">
        <v>1.5629999999999999</v>
      </c>
      <c r="M222" s="4">
        <v>0.62519999999999998</v>
      </c>
      <c r="N222" s="4">
        <v>1.5629999999999999</v>
      </c>
      <c r="O222" s="4">
        <v>0.62519999999999998</v>
      </c>
      <c r="P222" s="4">
        <v>0</v>
      </c>
      <c r="Q222" s="3" t="s">
        <v>26</v>
      </c>
      <c r="R222" s="3">
        <v>0</v>
      </c>
      <c r="S222" s="3">
        <v>0</v>
      </c>
      <c r="T222" s="3">
        <v>29</v>
      </c>
      <c r="U222" s="3">
        <v>63</v>
      </c>
      <c r="V222" s="4">
        <f>IF(ISERROR(VLOOKUP($S$222,'TAR FIN'!$A$1:$O$86,15,0)),0,VLOOKUP($S$222,'TAR FIN'!$A$1:$O$86,15,0))</f>
        <v>0</v>
      </c>
      <c r="W222" s="4">
        <f>IF(ISERROR(VLOOKUP($T$222,'TAR FIN'!$A$1:$O$86,15,0)),0,VLOOKUP($T$222,'TAR FIN'!$A$1:$O$86,15,0))</f>
        <v>410.79</v>
      </c>
      <c r="X222" s="4">
        <f>IF(ISERROR(VLOOKUP($U$222,'TAR FIN'!$A$1:$O$86,15,0)),0,VLOOKUP($U$222,'TAR FIN'!$A$1:$O$86,15,0))</f>
        <v>186.16</v>
      </c>
      <c r="Y222" s="4"/>
      <c r="Z222" s="4">
        <f ca="1">('TUSD BE'!$AM$33+'TUSD BF'!$AM$33+'TUSD CVA'!$AM$33)*(1-CUSTOS!$M$38)</f>
        <v>536.63434130853489</v>
      </c>
      <c r="AA222" s="4">
        <f>('TE BE'!$AB$24+'TE BF'!$AB$24+'TE CVA'!$AB$24)*(1-CUSTOS!$M$38)</f>
        <v>184.7746360391113</v>
      </c>
      <c r="AB222" s="4">
        <f t="shared" si="14"/>
        <v>0</v>
      </c>
      <c r="AC222" s="4">
        <f>(L222-M222)*(W222+X222)+($W$110+$X$110-$W$222-$X$222)*(L222)</f>
        <v>721.77776999999992</v>
      </c>
      <c r="AD222" s="4">
        <f t="shared" si="15"/>
        <v>0</v>
      </c>
      <c r="AE222" s="4">
        <f ca="1">(L222-M222)*(Z222+AA222)+($Z$110+$AA$110-$Z$222-$AA$222)*(L222)</f>
        <v>748.50939629243362</v>
      </c>
      <c r="AF222" s="3" t="s">
        <v>590</v>
      </c>
    </row>
    <row r="223" spans="1:32" ht="11.25" customHeight="1" x14ac:dyDescent="0.25">
      <c r="A223" s="3" t="s">
        <v>21</v>
      </c>
      <c r="B223" s="3" t="s">
        <v>41</v>
      </c>
      <c r="C223" s="3" t="s">
        <v>23</v>
      </c>
      <c r="D223" s="3" t="s">
        <v>42</v>
      </c>
      <c r="E223" s="3" t="s">
        <v>52</v>
      </c>
      <c r="F223" s="3" t="s">
        <v>51</v>
      </c>
      <c r="G223" s="3" t="s">
        <v>25</v>
      </c>
      <c r="H223" s="3" t="s">
        <v>25</v>
      </c>
      <c r="I223" s="6">
        <v>44652</v>
      </c>
      <c r="J223" s="4">
        <v>0</v>
      </c>
      <c r="K223" s="4">
        <v>0</v>
      </c>
      <c r="L223" s="4">
        <v>0.68300000000000005</v>
      </c>
      <c r="M223" s="4">
        <v>0.2732</v>
      </c>
      <c r="N223" s="4">
        <v>0.68300000000000005</v>
      </c>
      <c r="O223" s="4">
        <v>0.2732</v>
      </c>
      <c r="P223" s="4">
        <v>0</v>
      </c>
      <c r="Q223" s="3" t="s">
        <v>26</v>
      </c>
      <c r="R223" s="3">
        <v>0</v>
      </c>
      <c r="S223" s="3">
        <v>0</v>
      </c>
      <c r="T223" s="3">
        <v>29</v>
      </c>
      <c r="U223" s="3">
        <v>63</v>
      </c>
      <c r="V223" s="4">
        <f>IF(ISERROR(VLOOKUP($S$223,'TAR FIN'!$A$1:$O$86,15,0)),0,VLOOKUP($S$223,'TAR FIN'!$A$1:$O$86,15,0))</f>
        <v>0</v>
      </c>
      <c r="W223" s="4">
        <f>IF(ISERROR(VLOOKUP($T$223,'TAR FIN'!$A$1:$O$86,15,0)),0,VLOOKUP($T$223,'TAR FIN'!$A$1:$O$86,15,0))</f>
        <v>410.79</v>
      </c>
      <c r="X223" s="4">
        <f>IF(ISERROR(VLOOKUP($U$223,'TAR FIN'!$A$1:$O$86,15,0)),0,VLOOKUP($U$223,'TAR FIN'!$A$1:$O$86,15,0))</f>
        <v>186.16</v>
      </c>
      <c r="Y223" s="4"/>
      <c r="Z223" s="4">
        <f ca="1">('TUSD BE'!$AM$33+'TUSD BF'!$AM$33+'TUSD CVA'!$AM$33)*(1-CUSTOS!$M$38)</f>
        <v>536.63434130853489</v>
      </c>
      <c r="AA223" s="4">
        <f>('TE BE'!$AB$24+'TE BF'!$AB$24+'TE CVA'!$AB$24)*(1-CUSTOS!$M$38)</f>
        <v>184.7746360391113</v>
      </c>
      <c r="AB223" s="4">
        <f t="shared" si="14"/>
        <v>0</v>
      </c>
      <c r="AC223" s="4">
        <f>(L223-M223)*(W223+X223)+($W$110+$X$110-$W$223-$X$223)*(L223)</f>
        <v>315.40257000000003</v>
      </c>
      <c r="AD223" s="4">
        <f t="shared" si="15"/>
        <v>0</v>
      </c>
      <c r="AE223" s="4">
        <f ca="1">(L223-M223)*(Z223+AA223)+($Z$110+$AA$110-$Z$223-$AA$223)*(L223)</f>
        <v>327.08376050398732</v>
      </c>
      <c r="AF223" s="3" t="s">
        <v>590</v>
      </c>
    </row>
    <row r="224" spans="1:32" ht="11.25" customHeight="1" x14ac:dyDescent="0.25">
      <c r="A224" s="3" t="s">
        <v>21</v>
      </c>
      <c r="B224" s="3" t="s">
        <v>41</v>
      </c>
      <c r="C224" s="3" t="s">
        <v>23</v>
      </c>
      <c r="D224" s="3" t="s">
        <v>42</v>
      </c>
      <c r="E224" s="3" t="s">
        <v>52</v>
      </c>
      <c r="F224" s="3" t="s">
        <v>51</v>
      </c>
      <c r="G224" s="3" t="s">
        <v>25</v>
      </c>
      <c r="H224" s="3" t="s">
        <v>25</v>
      </c>
      <c r="I224" s="6">
        <v>44682</v>
      </c>
      <c r="J224" s="4">
        <v>0</v>
      </c>
      <c r="K224" s="4">
        <v>0</v>
      </c>
      <c r="L224" s="4">
        <v>8.7999999999999995E-2</v>
      </c>
      <c r="M224" s="4">
        <v>3.5200000000000002E-2</v>
      </c>
      <c r="N224" s="4">
        <v>8.7999999999999995E-2</v>
      </c>
      <c r="O224" s="4">
        <v>3.5200000000000002E-2</v>
      </c>
      <c r="P224" s="4">
        <v>0</v>
      </c>
      <c r="Q224" s="3" t="s">
        <v>26</v>
      </c>
      <c r="R224" s="3">
        <v>0</v>
      </c>
      <c r="S224" s="3">
        <v>0</v>
      </c>
      <c r="T224" s="3">
        <v>29</v>
      </c>
      <c r="U224" s="3">
        <v>63</v>
      </c>
      <c r="V224" s="4">
        <f>IF(ISERROR(VLOOKUP($S$224,'TAR FIN'!$A$1:$O$86,15,0)),0,VLOOKUP($S$224,'TAR FIN'!$A$1:$O$86,15,0))</f>
        <v>0</v>
      </c>
      <c r="W224" s="4">
        <f>IF(ISERROR(VLOOKUP($T$224,'TAR FIN'!$A$1:$O$86,15,0)),0,VLOOKUP($T$224,'TAR FIN'!$A$1:$O$86,15,0))</f>
        <v>410.79</v>
      </c>
      <c r="X224" s="4">
        <f>IF(ISERROR(VLOOKUP($U$224,'TAR FIN'!$A$1:$O$86,15,0)),0,VLOOKUP($U$224,'TAR FIN'!$A$1:$O$86,15,0))</f>
        <v>186.16</v>
      </c>
      <c r="Y224" s="4"/>
      <c r="Z224" s="4">
        <f ca="1">('TUSD BE'!$AM$33+'TUSD BF'!$AM$33+'TUSD CVA'!$AM$33)*(1-CUSTOS!$M$38)</f>
        <v>536.63434130853489</v>
      </c>
      <c r="AA224" s="4">
        <f>('TE BE'!$AB$24+'TE BF'!$AB$24+'TE CVA'!$AB$24)*(1-CUSTOS!$M$38)</f>
        <v>184.7746360391113</v>
      </c>
      <c r="AB224" s="4">
        <f t="shared" si="14"/>
        <v>0</v>
      </c>
      <c r="AC224" s="4">
        <f>(L224-M224)*(W224+X224)+($W$110+$X$110-$W$224-$X$224)*(L224)</f>
        <v>40.637519999999988</v>
      </c>
      <c r="AD224" s="4">
        <f t="shared" si="15"/>
        <v>0</v>
      </c>
      <c r="AE224" s="4">
        <f ca="1">(L224-M224)*(Z224+AA224)+($Z$110+$AA$110-$Z$224-$AA$224)*(L224)</f>
        <v>42.142563578844623</v>
      </c>
      <c r="AF224" s="3" t="s">
        <v>590</v>
      </c>
    </row>
    <row r="225" spans="1:32" ht="11.25" customHeight="1" x14ac:dyDescent="0.25">
      <c r="A225" s="3" t="s">
        <v>21</v>
      </c>
      <c r="B225" s="3" t="s">
        <v>41</v>
      </c>
      <c r="C225" s="3" t="s">
        <v>23</v>
      </c>
      <c r="D225" s="3" t="s">
        <v>42</v>
      </c>
      <c r="E225" s="3" t="s">
        <v>52</v>
      </c>
      <c r="F225" s="3" t="s">
        <v>51</v>
      </c>
      <c r="G225" s="3" t="s">
        <v>25</v>
      </c>
      <c r="H225" s="3" t="s">
        <v>25</v>
      </c>
      <c r="I225" s="6">
        <v>44713</v>
      </c>
      <c r="J225" s="4">
        <v>0</v>
      </c>
      <c r="K225" s="4">
        <v>0</v>
      </c>
      <c r="L225" s="4">
        <v>0.16900000000000001</v>
      </c>
      <c r="M225" s="4">
        <v>6.7599999999999993E-2</v>
      </c>
      <c r="N225" s="4">
        <v>0.16900000000000001</v>
      </c>
      <c r="O225" s="4">
        <v>6.7599999999999993E-2</v>
      </c>
      <c r="P225" s="4">
        <v>0</v>
      </c>
      <c r="Q225" s="3" t="s">
        <v>26</v>
      </c>
      <c r="R225" s="3">
        <v>0</v>
      </c>
      <c r="S225" s="3">
        <v>0</v>
      </c>
      <c r="T225" s="3">
        <v>29</v>
      </c>
      <c r="U225" s="3">
        <v>63</v>
      </c>
      <c r="V225" s="4">
        <f>IF(ISERROR(VLOOKUP($S$225,'TAR FIN'!$A$1:$O$86,15,0)),0,VLOOKUP($S$225,'TAR FIN'!$A$1:$O$86,15,0))</f>
        <v>0</v>
      </c>
      <c r="W225" s="4">
        <f>IF(ISERROR(VLOOKUP($T$225,'TAR FIN'!$A$1:$O$86,15,0)),0,VLOOKUP($T$225,'TAR FIN'!$A$1:$O$86,15,0))</f>
        <v>410.79</v>
      </c>
      <c r="X225" s="4">
        <f>IF(ISERROR(VLOOKUP($U$225,'TAR FIN'!$A$1:$O$86,15,0)),0,VLOOKUP($U$225,'TAR FIN'!$A$1:$O$86,15,0))</f>
        <v>186.16</v>
      </c>
      <c r="Y225" s="4"/>
      <c r="Z225" s="4">
        <f ca="1">('TUSD BE'!$AM$33+'TUSD BF'!$AM$33+'TUSD CVA'!$AM$33)*(1-CUSTOS!$M$38)</f>
        <v>536.63434130853489</v>
      </c>
      <c r="AA225" s="4">
        <f>('TE BE'!$AB$24+'TE BF'!$AB$24+'TE CVA'!$AB$24)*(1-CUSTOS!$M$38)</f>
        <v>184.7746360391113</v>
      </c>
      <c r="AB225" s="4">
        <f t="shared" si="14"/>
        <v>0</v>
      </c>
      <c r="AC225" s="4">
        <f>(L225-M225)*(W225+X225)+($W$110+$X$110-$W$225-$X$225)*(L225)</f>
        <v>78.042509999999993</v>
      </c>
      <c r="AD225" s="4">
        <f t="shared" si="15"/>
        <v>0</v>
      </c>
      <c r="AE225" s="4">
        <f ca="1">(L225-M225)*(Z225+AA225)+($Z$110+$AA$110-$Z$225-$AA$225)*(L225)</f>
        <v>80.932877782099354</v>
      </c>
      <c r="AF225" s="3" t="s">
        <v>590</v>
      </c>
    </row>
    <row r="226" spans="1:32" ht="11.25" customHeight="1" x14ac:dyDescent="0.25">
      <c r="A226" s="3" t="s">
        <v>21</v>
      </c>
      <c r="B226" s="3" t="s">
        <v>41</v>
      </c>
      <c r="C226" s="3" t="s">
        <v>23</v>
      </c>
      <c r="D226" s="3" t="s">
        <v>42</v>
      </c>
      <c r="E226" s="3" t="s">
        <v>25</v>
      </c>
      <c r="F226" s="3" t="s">
        <v>25</v>
      </c>
      <c r="G226" s="3" t="s">
        <v>25</v>
      </c>
      <c r="H226" s="3" t="s">
        <v>25</v>
      </c>
      <c r="I226" s="6">
        <v>44378</v>
      </c>
      <c r="J226" s="4">
        <v>0</v>
      </c>
      <c r="K226" s="4">
        <v>0</v>
      </c>
      <c r="L226" s="4">
        <v>1474.364</v>
      </c>
      <c r="M226" s="4">
        <v>1474.364</v>
      </c>
      <c r="N226" s="4">
        <v>1474.364</v>
      </c>
      <c r="O226" s="4">
        <v>1474.364</v>
      </c>
      <c r="P226" s="4">
        <v>4633</v>
      </c>
      <c r="Q226" s="3" t="s">
        <v>26</v>
      </c>
      <c r="R226" s="3">
        <v>0</v>
      </c>
      <c r="S226" s="3">
        <v>0</v>
      </c>
      <c r="T226" s="3">
        <v>42</v>
      </c>
      <c r="U226" s="3">
        <v>63</v>
      </c>
      <c r="V226" s="4">
        <f>IF(ISERROR(VLOOKUP($S$226,'TAR FIN'!$A$1:$O$86,15,0)),0,VLOOKUP($S$226,'TAR FIN'!$A$1:$O$86,15,0))</f>
        <v>0</v>
      </c>
      <c r="W226" s="4">
        <f>IF(ISERROR(VLOOKUP($T$226,'TAR FIN'!$A$1:$O$86,15,0)),0,VLOOKUP($T$226,'TAR FIN'!$A$1:$O$86,15,0))</f>
        <v>430.35</v>
      </c>
      <c r="X226" s="4">
        <f>IF(ISERROR(VLOOKUP($U$226,'TAR FIN'!$A$1:$O$86,15,0)),0,VLOOKUP($U$226,'TAR FIN'!$A$1:$O$86,15,0))</f>
        <v>186.16</v>
      </c>
      <c r="Y226" s="4"/>
      <c r="Z226" s="4">
        <f ca="1">('TUSD BE'!$AM$33+'TUSD BF'!$AM$33+'TUSD CVA'!$AM$33)*(1-CUSTOS!$M$38)</f>
        <v>536.63434130853489</v>
      </c>
      <c r="AA226" s="4">
        <f>('TE BE'!$AB$24+'TE BF'!$AB$24+'TE CVA'!$AB$24)*(1-CUSTOS!$M$38)</f>
        <v>184.7746360391113</v>
      </c>
      <c r="AB226" s="4">
        <f t="shared" si="14"/>
        <v>0</v>
      </c>
      <c r="AC226" s="4">
        <f>(L226-M226)*(W226+X226)+($W$110+$X$110-$W$226-$X$226)*(L226)</f>
        <v>123935.03783999987</v>
      </c>
      <c r="AD226" s="4">
        <f t="shared" si="15"/>
        <v>0</v>
      </c>
      <c r="AE226" s="4">
        <f ca="1">(L226-M226)*(Z226+AA226)+($Z$110+$AA$110-$Z$226-$AA$226)*(L226)</f>
        <v>67890.601626267147</v>
      </c>
      <c r="AF226" s="3" t="s">
        <v>589</v>
      </c>
    </row>
    <row r="227" spans="1:32" ht="11.25" customHeight="1" x14ac:dyDescent="0.25">
      <c r="A227" s="3" t="s">
        <v>27</v>
      </c>
      <c r="B227" s="3" t="s">
        <v>41</v>
      </c>
      <c r="C227" s="3" t="s">
        <v>23</v>
      </c>
      <c r="D227" s="3" t="s">
        <v>42</v>
      </c>
      <c r="E227" s="3" t="s">
        <v>25</v>
      </c>
      <c r="F227" s="3" t="s">
        <v>25</v>
      </c>
      <c r="G227" s="3" t="s">
        <v>25</v>
      </c>
      <c r="H227" s="3" t="s">
        <v>25</v>
      </c>
      <c r="I227" s="6">
        <v>44378</v>
      </c>
      <c r="J227" s="4">
        <v>0</v>
      </c>
      <c r="K227" s="4">
        <v>0</v>
      </c>
      <c r="L227" s="4">
        <v>-1.758</v>
      </c>
      <c r="M227" s="4">
        <v>-1.758</v>
      </c>
      <c r="N227" s="4">
        <v>-1.758</v>
      </c>
      <c r="O227" s="4">
        <v>-1.758</v>
      </c>
      <c r="P227" s="4">
        <v>0</v>
      </c>
      <c r="Q227" s="3" t="s">
        <v>26</v>
      </c>
      <c r="R227" s="3">
        <v>0</v>
      </c>
      <c r="S227" s="3">
        <v>0</v>
      </c>
      <c r="T227" s="3">
        <v>42</v>
      </c>
      <c r="U227" s="3">
        <v>63</v>
      </c>
      <c r="V227" s="4">
        <f>IF(ISERROR(VLOOKUP($S$227,'TAR FIN'!$A$1:$O$86,15,0)),0,VLOOKUP($S$227,'TAR FIN'!$A$1:$O$86,15,0))</f>
        <v>0</v>
      </c>
      <c r="W227" s="4">
        <f>IF(ISERROR(VLOOKUP($T$227,'TAR FIN'!$A$1:$O$86,15,0)),0,VLOOKUP($T$227,'TAR FIN'!$A$1:$O$86,15,0))</f>
        <v>430.35</v>
      </c>
      <c r="X227" s="4">
        <f>IF(ISERROR(VLOOKUP($U$227,'TAR FIN'!$A$1:$O$86,15,0)),0,VLOOKUP($U$227,'TAR FIN'!$A$1:$O$86,15,0))</f>
        <v>186.16</v>
      </c>
      <c r="Y227" s="4"/>
      <c r="Z227" s="4">
        <f ca="1">('TUSD BE'!$AM$33+'TUSD BF'!$AM$33+'TUSD CVA'!$AM$33)*(1-CUSTOS!$M$38)</f>
        <v>536.63434130853489</v>
      </c>
      <c r="AA227" s="4">
        <f>('TE BE'!$AB$24+'TE BF'!$AB$24+'TE CVA'!$AB$24)*(1-CUSTOS!$M$38)</f>
        <v>184.7746360391113</v>
      </c>
      <c r="AB227" s="4">
        <f t="shared" si="14"/>
        <v>0</v>
      </c>
      <c r="AC227" s="4">
        <f>(L227-M227)*(W227+X227)+($W$110+$X$110-$W$227-$X$227)*(L227)</f>
        <v>-147.77747999999985</v>
      </c>
      <c r="AD227" s="4">
        <f t="shared" si="15"/>
        <v>0</v>
      </c>
      <c r="AE227" s="4">
        <f ca="1">(L227-M227)*(Z227+AA227)+($Z$110+$AA$110-$Z$227-$AA$227)*(L227)</f>
        <v>-80.9512967347125</v>
      </c>
      <c r="AF227" s="3" t="s">
        <v>589</v>
      </c>
    </row>
    <row r="228" spans="1:32" ht="11.25" customHeight="1" x14ac:dyDescent="0.25">
      <c r="A228" s="3" t="s">
        <v>28</v>
      </c>
      <c r="B228" s="3" t="s">
        <v>41</v>
      </c>
      <c r="C228" s="3" t="s">
        <v>23</v>
      </c>
      <c r="D228" s="3" t="s">
        <v>42</v>
      </c>
      <c r="E228" s="3" t="s">
        <v>25</v>
      </c>
      <c r="F228" s="3" t="s">
        <v>25</v>
      </c>
      <c r="G228" s="3" t="s">
        <v>25</v>
      </c>
      <c r="H228" s="3" t="s">
        <v>25</v>
      </c>
      <c r="I228" s="6">
        <v>44378</v>
      </c>
      <c r="J228" s="4">
        <v>0</v>
      </c>
      <c r="K228" s="4">
        <v>0</v>
      </c>
      <c r="L228" s="4">
        <v>125.97199999999999</v>
      </c>
      <c r="M228" s="4">
        <v>125.97199999999999</v>
      </c>
      <c r="N228" s="4">
        <v>125.97199999999999</v>
      </c>
      <c r="O228" s="4">
        <v>125.97199999999999</v>
      </c>
      <c r="P228" s="4">
        <v>126</v>
      </c>
      <c r="Q228" s="3" t="s">
        <v>26</v>
      </c>
      <c r="R228" s="3">
        <v>0</v>
      </c>
      <c r="S228" s="3">
        <v>0</v>
      </c>
      <c r="T228" s="3">
        <v>42</v>
      </c>
      <c r="U228" s="3">
        <v>63</v>
      </c>
      <c r="V228" s="4">
        <f>IF(ISERROR(VLOOKUP($S$228,'TAR FIN'!$A$1:$O$86,15,0)),0,VLOOKUP($S$228,'TAR FIN'!$A$1:$O$86,15,0))</f>
        <v>0</v>
      </c>
      <c r="W228" s="4">
        <f>IF(ISERROR(VLOOKUP($T$228,'TAR FIN'!$A$1:$O$86,15,0)),0,VLOOKUP($T$228,'TAR FIN'!$A$1:$O$86,15,0))</f>
        <v>430.35</v>
      </c>
      <c r="X228" s="4">
        <f>IF(ISERROR(VLOOKUP($U$228,'TAR FIN'!$A$1:$O$86,15,0)),0,VLOOKUP($U$228,'TAR FIN'!$A$1:$O$86,15,0))</f>
        <v>186.16</v>
      </c>
      <c r="Y228" s="4"/>
      <c r="Z228" s="4">
        <f ca="1">('TUSD BE'!$AM$33+'TUSD BF'!$AM$33+'TUSD CVA'!$AM$33)*(1-CUSTOS!$M$38)</f>
        <v>536.63434130853489</v>
      </c>
      <c r="AA228" s="4">
        <f>('TE BE'!$AB$24+'TE BF'!$AB$24+'TE CVA'!$AB$24)*(1-CUSTOS!$M$38)</f>
        <v>184.7746360391113</v>
      </c>
      <c r="AB228" s="4">
        <f t="shared" si="14"/>
        <v>0</v>
      </c>
      <c r="AC228" s="4">
        <f>(L228-M228)*(W228+X228)+($W$110+$X$110-$W$228-$X$228)*(L228)</f>
        <v>10589.206319999988</v>
      </c>
      <c r="AD228" s="4">
        <f t="shared" si="15"/>
        <v>0</v>
      </c>
      <c r="AE228" s="4">
        <f ca="1">(L228-M228)*(Z228+AA228)+($Z$110+$AA$110-$Z$228-$AA$228)*(L228)</f>
        <v>5800.6807464534713</v>
      </c>
      <c r="AF228" s="3" t="s">
        <v>589</v>
      </c>
    </row>
    <row r="229" spans="1:32" ht="11.25" customHeight="1" x14ac:dyDescent="0.25">
      <c r="A229" s="3" t="s">
        <v>21</v>
      </c>
      <c r="B229" s="3" t="s">
        <v>41</v>
      </c>
      <c r="C229" s="3" t="s">
        <v>23</v>
      </c>
      <c r="D229" s="3" t="s">
        <v>42</v>
      </c>
      <c r="E229" s="3" t="s">
        <v>25</v>
      </c>
      <c r="F229" s="3" t="s">
        <v>25</v>
      </c>
      <c r="G229" s="3" t="s">
        <v>25</v>
      </c>
      <c r="H229" s="3" t="s">
        <v>25</v>
      </c>
      <c r="I229" s="6">
        <v>44409</v>
      </c>
      <c r="J229" s="4">
        <v>0</v>
      </c>
      <c r="K229" s="4">
        <v>0</v>
      </c>
      <c r="L229" s="4">
        <v>1562.838</v>
      </c>
      <c r="M229" s="4">
        <v>1562.838</v>
      </c>
      <c r="N229" s="4">
        <v>1562.838</v>
      </c>
      <c r="O229" s="4">
        <v>1562.838</v>
      </c>
      <c r="P229" s="4">
        <v>4613</v>
      </c>
      <c r="Q229" s="3" t="s">
        <v>26</v>
      </c>
      <c r="R229" s="3">
        <v>0</v>
      </c>
      <c r="S229" s="3">
        <v>0</v>
      </c>
      <c r="T229" s="3">
        <v>42</v>
      </c>
      <c r="U229" s="3">
        <v>63</v>
      </c>
      <c r="V229" s="4">
        <f>IF(ISERROR(VLOOKUP($S$229,'TAR FIN'!$A$1:$O$86,15,0)),0,VLOOKUP($S$229,'TAR FIN'!$A$1:$O$86,15,0))</f>
        <v>0</v>
      </c>
      <c r="W229" s="4">
        <f>IF(ISERROR(VLOOKUP($T$229,'TAR FIN'!$A$1:$O$86,15,0)),0,VLOOKUP($T$229,'TAR FIN'!$A$1:$O$86,15,0))</f>
        <v>430.35</v>
      </c>
      <c r="X229" s="4">
        <f>IF(ISERROR(VLOOKUP($U$229,'TAR FIN'!$A$1:$O$86,15,0)),0,VLOOKUP($U$229,'TAR FIN'!$A$1:$O$86,15,0))</f>
        <v>186.16</v>
      </c>
      <c r="Y229" s="4"/>
      <c r="Z229" s="4">
        <f ca="1">('TUSD BE'!$AM$33+'TUSD BF'!$AM$33+'TUSD CVA'!$AM$33)*(1-CUSTOS!$M$38)</f>
        <v>536.63434130853489</v>
      </c>
      <c r="AA229" s="4">
        <f>('TE BE'!$AB$24+'TE BF'!$AB$24+'TE CVA'!$AB$24)*(1-CUSTOS!$M$38)</f>
        <v>184.7746360391113</v>
      </c>
      <c r="AB229" s="4">
        <f t="shared" si="14"/>
        <v>0</v>
      </c>
      <c r="AC229" s="4">
        <f>(L229-M229)*(W229+X229)+($W$110+$X$110-$W$229-$X$229)*(L229)</f>
        <v>131372.16227999987</v>
      </c>
      <c r="AD229" s="4">
        <f t="shared" si="15"/>
        <v>0</v>
      </c>
      <c r="AE229" s="4">
        <f ca="1">(L229-M229)*(Z229+AA229)+($Z$110+$AA$110-$Z$229-$AA$229)*(L229)</f>
        <v>71964.597660002619</v>
      </c>
      <c r="AF229" s="3" t="s">
        <v>589</v>
      </c>
    </row>
    <row r="230" spans="1:32" ht="11.25" customHeight="1" x14ac:dyDescent="0.25">
      <c r="A230" s="3" t="s">
        <v>27</v>
      </c>
      <c r="B230" s="3" t="s">
        <v>41</v>
      </c>
      <c r="C230" s="3" t="s">
        <v>23</v>
      </c>
      <c r="D230" s="3" t="s">
        <v>42</v>
      </c>
      <c r="E230" s="3" t="s">
        <v>25</v>
      </c>
      <c r="F230" s="3" t="s">
        <v>25</v>
      </c>
      <c r="G230" s="3" t="s">
        <v>25</v>
      </c>
      <c r="H230" s="3" t="s">
        <v>25</v>
      </c>
      <c r="I230" s="6">
        <v>44409</v>
      </c>
      <c r="J230" s="4">
        <v>0</v>
      </c>
      <c r="K230" s="4">
        <v>0</v>
      </c>
      <c r="L230" s="4">
        <v>-9.1920000000000002</v>
      </c>
      <c r="M230" s="4">
        <v>-9.1920000000000002</v>
      </c>
      <c r="N230" s="4">
        <v>-9.1920000000000002</v>
      </c>
      <c r="O230" s="4">
        <v>-9.1920000000000002</v>
      </c>
      <c r="P230" s="4">
        <v>0</v>
      </c>
      <c r="Q230" s="3" t="s">
        <v>26</v>
      </c>
      <c r="R230" s="3">
        <v>0</v>
      </c>
      <c r="S230" s="3">
        <v>0</v>
      </c>
      <c r="T230" s="3">
        <v>42</v>
      </c>
      <c r="U230" s="3">
        <v>63</v>
      </c>
      <c r="V230" s="4">
        <f>IF(ISERROR(VLOOKUP($S$230,'TAR FIN'!$A$1:$O$86,15,0)),0,VLOOKUP($S$230,'TAR FIN'!$A$1:$O$86,15,0))</f>
        <v>0</v>
      </c>
      <c r="W230" s="4">
        <f>IF(ISERROR(VLOOKUP($T$230,'TAR FIN'!$A$1:$O$86,15,0)),0,VLOOKUP($T$230,'TAR FIN'!$A$1:$O$86,15,0))</f>
        <v>430.35</v>
      </c>
      <c r="X230" s="4">
        <f>IF(ISERROR(VLOOKUP($U$230,'TAR FIN'!$A$1:$O$86,15,0)),0,VLOOKUP($U$230,'TAR FIN'!$A$1:$O$86,15,0))</f>
        <v>186.16</v>
      </c>
      <c r="Y230" s="4"/>
      <c r="Z230" s="4">
        <f ca="1">('TUSD BE'!$AM$33+'TUSD BF'!$AM$33+'TUSD CVA'!$AM$33)*(1-CUSTOS!$M$38)</f>
        <v>536.63434130853489</v>
      </c>
      <c r="AA230" s="4">
        <f>('TE BE'!$AB$24+'TE BF'!$AB$24+'TE CVA'!$AB$24)*(1-CUSTOS!$M$38)</f>
        <v>184.7746360391113</v>
      </c>
      <c r="AB230" s="4">
        <f t="shared" si="14"/>
        <v>0</v>
      </c>
      <c r="AC230" s="4">
        <f>(L230-M230)*(W230+X230)+($W$110+$X$110-$W$230-$X$230)*(L230)</f>
        <v>-772.67951999999923</v>
      </c>
      <c r="AD230" s="4">
        <f t="shared" si="15"/>
        <v>0</v>
      </c>
      <c r="AE230" s="4">
        <f ca="1">(L230-M230)*(Z230+AA230)+($Z$110+$AA$110-$Z$230-$AA$230)*(L230)</f>
        <v>-423.26753104975955</v>
      </c>
      <c r="AF230" s="3" t="s">
        <v>589</v>
      </c>
    </row>
    <row r="231" spans="1:32" ht="11.25" customHeight="1" x14ac:dyDescent="0.25">
      <c r="A231" s="3" t="s">
        <v>21</v>
      </c>
      <c r="B231" s="3" t="s">
        <v>41</v>
      </c>
      <c r="C231" s="3" t="s">
        <v>23</v>
      </c>
      <c r="D231" s="3" t="s">
        <v>42</v>
      </c>
      <c r="E231" s="3" t="s">
        <v>25</v>
      </c>
      <c r="F231" s="3" t="s">
        <v>25</v>
      </c>
      <c r="G231" s="3" t="s">
        <v>25</v>
      </c>
      <c r="H231" s="3" t="s">
        <v>25</v>
      </c>
      <c r="I231" s="6">
        <v>44440</v>
      </c>
      <c r="J231" s="4">
        <v>0</v>
      </c>
      <c r="K231" s="4">
        <v>0</v>
      </c>
      <c r="L231" s="4">
        <v>1585.94</v>
      </c>
      <c r="M231" s="4">
        <v>1585.94</v>
      </c>
      <c r="N231" s="4">
        <v>1585.94</v>
      </c>
      <c r="O231" s="4">
        <v>1585.94</v>
      </c>
      <c r="P231" s="4">
        <v>4622</v>
      </c>
      <c r="Q231" s="3" t="s">
        <v>26</v>
      </c>
      <c r="R231" s="3">
        <v>0</v>
      </c>
      <c r="S231" s="3">
        <v>0</v>
      </c>
      <c r="T231" s="3">
        <v>42</v>
      </c>
      <c r="U231" s="3">
        <v>63</v>
      </c>
      <c r="V231" s="4">
        <f>IF(ISERROR(VLOOKUP($S$231,'TAR FIN'!$A$1:$O$86,15,0)),0,VLOOKUP($S$231,'TAR FIN'!$A$1:$O$86,15,0))</f>
        <v>0</v>
      </c>
      <c r="W231" s="4">
        <f>IF(ISERROR(VLOOKUP($T$231,'TAR FIN'!$A$1:$O$86,15,0)),0,VLOOKUP($T$231,'TAR FIN'!$A$1:$O$86,15,0))</f>
        <v>430.35</v>
      </c>
      <c r="X231" s="4">
        <f>IF(ISERROR(VLOOKUP($U$231,'TAR FIN'!$A$1:$O$86,15,0)),0,VLOOKUP($U$231,'TAR FIN'!$A$1:$O$86,15,0))</f>
        <v>186.16</v>
      </c>
      <c r="Y231" s="4"/>
      <c r="Z231" s="4">
        <f ca="1">('TUSD BE'!$AM$33+'TUSD BF'!$AM$33+'TUSD CVA'!$AM$33)*(1-CUSTOS!$M$38)</f>
        <v>536.63434130853489</v>
      </c>
      <c r="AA231" s="4">
        <f>('TE BE'!$AB$24+'TE BF'!$AB$24+'TE CVA'!$AB$24)*(1-CUSTOS!$M$38)</f>
        <v>184.7746360391113</v>
      </c>
      <c r="AB231" s="4">
        <f t="shared" si="14"/>
        <v>0</v>
      </c>
      <c r="AC231" s="4">
        <f>(L231-M231)*(W231+X231)+($W$110+$X$110-$W$231-$X$231)*(L231)</f>
        <v>133314.11639999988</v>
      </c>
      <c r="AD231" s="4">
        <f t="shared" si="15"/>
        <v>0</v>
      </c>
      <c r="AE231" s="4">
        <f ca="1">(L231-M231)*(Z231+AA231)+($Z$110+$AA$110-$Z$231-$AA$231)*(L231)</f>
        <v>73028.384268174021</v>
      </c>
      <c r="AF231" s="3" t="s">
        <v>589</v>
      </c>
    </row>
    <row r="232" spans="1:32" ht="11.25" customHeight="1" x14ac:dyDescent="0.25">
      <c r="A232" s="3" t="s">
        <v>27</v>
      </c>
      <c r="B232" s="3" t="s">
        <v>41</v>
      </c>
      <c r="C232" s="3" t="s">
        <v>23</v>
      </c>
      <c r="D232" s="3" t="s">
        <v>42</v>
      </c>
      <c r="E232" s="3" t="s">
        <v>25</v>
      </c>
      <c r="F232" s="3" t="s">
        <v>25</v>
      </c>
      <c r="G232" s="3" t="s">
        <v>25</v>
      </c>
      <c r="H232" s="3" t="s">
        <v>25</v>
      </c>
      <c r="I232" s="6">
        <v>44440</v>
      </c>
      <c r="J232" s="4">
        <v>0</v>
      </c>
      <c r="K232" s="4">
        <v>0</v>
      </c>
      <c r="L232" s="4">
        <v>-6.4260000000000002</v>
      </c>
      <c r="M232" s="4">
        <v>-6.4260000000000002</v>
      </c>
      <c r="N232" s="4">
        <v>-6.4260000000000002</v>
      </c>
      <c r="O232" s="4">
        <v>-6.4260000000000002</v>
      </c>
      <c r="P232" s="4">
        <v>0</v>
      </c>
      <c r="Q232" s="3" t="s">
        <v>26</v>
      </c>
      <c r="R232" s="3">
        <v>0</v>
      </c>
      <c r="S232" s="3">
        <v>0</v>
      </c>
      <c r="T232" s="3">
        <v>42</v>
      </c>
      <c r="U232" s="3">
        <v>63</v>
      </c>
      <c r="V232" s="4">
        <f>IF(ISERROR(VLOOKUP($S$232,'TAR FIN'!$A$1:$O$86,15,0)),0,VLOOKUP($S$232,'TAR FIN'!$A$1:$O$86,15,0))</f>
        <v>0</v>
      </c>
      <c r="W232" s="4">
        <f>IF(ISERROR(VLOOKUP($T$232,'TAR FIN'!$A$1:$O$86,15,0)),0,VLOOKUP($T$232,'TAR FIN'!$A$1:$O$86,15,0))</f>
        <v>430.35</v>
      </c>
      <c r="X232" s="4">
        <f>IF(ISERROR(VLOOKUP($U$232,'TAR FIN'!$A$1:$O$86,15,0)),0,VLOOKUP($U$232,'TAR FIN'!$A$1:$O$86,15,0))</f>
        <v>186.16</v>
      </c>
      <c r="Y232" s="4"/>
      <c r="Z232" s="4">
        <f ca="1">('TUSD BE'!$AM$33+'TUSD BF'!$AM$33+'TUSD CVA'!$AM$33)*(1-CUSTOS!$M$38)</f>
        <v>536.63434130853489</v>
      </c>
      <c r="AA232" s="4">
        <f>('TE BE'!$AB$24+'TE BF'!$AB$24+'TE CVA'!$AB$24)*(1-CUSTOS!$M$38)</f>
        <v>184.7746360391113</v>
      </c>
      <c r="AB232" s="4">
        <f t="shared" si="14"/>
        <v>0</v>
      </c>
      <c r="AC232" s="4">
        <f>(L232-M232)*(W232+X232)+($W$110+$X$110-$W$232-$X$232)*(L232)</f>
        <v>-540.16955999999948</v>
      </c>
      <c r="AD232" s="4">
        <f t="shared" si="15"/>
        <v>0</v>
      </c>
      <c r="AE232" s="4">
        <f ca="1">(L232-M232)*(Z232+AA232)+($Z$110+$AA$110-$Z$232-$AA$232)*(L232)</f>
        <v>-295.90047372995593</v>
      </c>
      <c r="AF232" s="3" t="s">
        <v>589</v>
      </c>
    </row>
    <row r="233" spans="1:32" ht="11.25" customHeight="1" x14ac:dyDescent="0.25">
      <c r="A233" s="3" t="s">
        <v>28</v>
      </c>
      <c r="B233" s="3" t="s">
        <v>41</v>
      </c>
      <c r="C233" s="3" t="s">
        <v>23</v>
      </c>
      <c r="D233" s="3" t="s">
        <v>42</v>
      </c>
      <c r="E233" s="3" t="s">
        <v>25</v>
      </c>
      <c r="F233" s="3" t="s">
        <v>25</v>
      </c>
      <c r="G233" s="3" t="s">
        <v>25</v>
      </c>
      <c r="H233" s="3" t="s">
        <v>25</v>
      </c>
      <c r="I233" s="6">
        <v>44440</v>
      </c>
      <c r="J233" s="4">
        <v>0</v>
      </c>
      <c r="K233" s="4">
        <v>0</v>
      </c>
      <c r="L233" s="4">
        <v>78.552999999999997</v>
      </c>
      <c r="M233" s="4">
        <v>78.552999999999997</v>
      </c>
      <c r="N233" s="4">
        <v>78.552999999999997</v>
      </c>
      <c r="O233" s="4">
        <v>78.552999999999997</v>
      </c>
      <c r="P233" s="4">
        <v>131</v>
      </c>
      <c r="Q233" s="3" t="s">
        <v>26</v>
      </c>
      <c r="R233" s="3">
        <v>0</v>
      </c>
      <c r="S233" s="3">
        <v>0</v>
      </c>
      <c r="T233" s="3">
        <v>42</v>
      </c>
      <c r="U233" s="3">
        <v>63</v>
      </c>
      <c r="V233" s="4">
        <f>IF(ISERROR(VLOOKUP($S$233,'TAR FIN'!$A$1:$O$86,15,0)),0,VLOOKUP($S$233,'TAR FIN'!$A$1:$O$86,15,0))</f>
        <v>0</v>
      </c>
      <c r="W233" s="4">
        <f>IF(ISERROR(VLOOKUP($T$233,'TAR FIN'!$A$1:$O$86,15,0)),0,VLOOKUP($T$233,'TAR FIN'!$A$1:$O$86,15,0))</f>
        <v>430.35</v>
      </c>
      <c r="X233" s="4">
        <f>IF(ISERROR(VLOOKUP($U$233,'TAR FIN'!$A$1:$O$86,15,0)),0,VLOOKUP($U$233,'TAR FIN'!$A$1:$O$86,15,0))</f>
        <v>186.16</v>
      </c>
      <c r="Y233" s="4"/>
      <c r="Z233" s="4">
        <f ca="1">('TUSD BE'!$AM$33+'TUSD BF'!$AM$33+'TUSD CVA'!$AM$33)*(1-CUSTOS!$M$38)</f>
        <v>536.63434130853489</v>
      </c>
      <c r="AA233" s="4">
        <f>('TE BE'!$AB$24+'TE BF'!$AB$24+'TE CVA'!$AB$24)*(1-CUSTOS!$M$38)</f>
        <v>184.7746360391113</v>
      </c>
      <c r="AB233" s="4">
        <f t="shared" si="14"/>
        <v>0</v>
      </c>
      <c r="AC233" s="4">
        <f>(L233-M233)*(W233+X233)+($W$110+$X$110-$W$233-$X$233)*(L233)</f>
        <v>6603.1651799999936</v>
      </c>
      <c r="AD233" s="4">
        <f t="shared" si="15"/>
        <v>0</v>
      </c>
      <c r="AE233" s="4">
        <f ca="1">(L233-M233)*(Z233+AA233)+($Z$110+$AA$110-$Z$233-$AA$233)*(L233)</f>
        <v>3617.1599615482769</v>
      </c>
      <c r="AF233" s="3" t="s">
        <v>589</v>
      </c>
    </row>
    <row r="234" spans="1:32" ht="11.25" customHeight="1" x14ac:dyDescent="0.25">
      <c r="A234" s="3" t="s">
        <v>21</v>
      </c>
      <c r="B234" s="3" t="s">
        <v>41</v>
      </c>
      <c r="C234" s="3" t="s">
        <v>23</v>
      </c>
      <c r="D234" s="3" t="s">
        <v>42</v>
      </c>
      <c r="E234" s="3" t="s">
        <v>25</v>
      </c>
      <c r="F234" s="3" t="s">
        <v>25</v>
      </c>
      <c r="G234" s="3" t="s">
        <v>25</v>
      </c>
      <c r="H234" s="3" t="s">
        <v>25</v>
      </c>
      <c r="I234" s="6">
        <v>44470</v>
      </c>
      <c r="J234" s="4">
        <v>0</v>
      </c>
      <c r="K234" s="4">
        <v>0</v>
      </c>
      <c r="L234" s="4">
        <v>1566.079</v>
      </c>
      <c r="M234" s="4">
        <v>1566.079</v>
      </c>
      <c r="N234" s="4">
        <v>1566.079</v>
      </c>
      <c r="O234" s="4">
        <v>1566.079</v>
      </c>
      <c r="P234" s="4">
        <v>4616</v>
      </c>
      <c r="Q234" s="3" t="s">
        <v>26</v>
      </c>
      <c r="R234" s="3">
        <v>0</v>
      </c>
      <c r="S234" s="3">
        <v>0</v>
      </c>
      <c r="T234" s="3">
        <v>42</v>
      </c>
      <c r="U234" s="3">
        <v>63</v>
      </c>
      <c r="V234" s="4">
        <f>IF(ISERROR(VLOOKUP($S$234,'TAR FIN'!$A$1:$O$86,15,0)),0,VLOOKUP($S$234,'TAR FIN'!$A$1:$O$86,15,0))</f>
        <v>0</v>
      </c>
      <c r="W234" s="4">
        <f>IF(ISERROR(VLOOKUP($T$234,'TAR FIN'!$A$1:$O$86,15,0)),0,VLOOKUP($T$234,'TAR FIN'!$A$1:$O$86,15,0))</f>
        <v>430.35</v>
      </c>
      <c r="X234" s="4">
        <f>IF(ISERROR(VLOOKUP($U$234,'TAR FIN'!$A$1:$O$86,15,0)),0,VLOOKUP($U$234,'TAR FIN'!$A$1:$O$86,15,0))</f>
        <v>186.16</v>
      </c>
      <c r="Y234" s="4"/>
      <c r="Z234" s="4">
        <f ca="1">('TUSD BE'!$AM$33+'TUSD BF'!$AM$33+'TUSD CVA'!$AM$33)*(1-CUSTOS!$M$38)</f>
        <v>536.63434130853489</v>
      </c>
      <c r="AA234" s="4">
        <f>('TE BE'!$AB$24+'TE BF'!$AB$24+'TE CVA'!$AB$24)*(1-CUSTOS!$M$38)</f>
        <v>184.7746360391113</v>
      </c>
      <c r="AB234" s="4">
        <f t="shared" si="14"/>
        <v>0</v>
      </c>
      <c r="AC234" s="4">
        <f>(L234-M234)*(W234+X234)+($W$110+$X$110-$W$234-$X$234)*(L234)</f>
        <v>131644.60073999988</v>
      </c>
      <c r="AD234" s="4">
        <f t="shared" si="15"/>
        <v>0</v>
      </c>
      <c r="AE234" s="4">
        <f ca="1">(L234-M234)*(Z234+AA234)+($Z$110+$AA$110-$Z$234-$AA$234)*(L234)</f>
        <v>72113.837223550508</v>
      </c>
      <c r="AF234" s="3" t="s">
        <v>589</v>
      </c>
    </row>
    <row r="235" spans="1:32" ht="11.25" customHeight="1" x14ac:dyDescent="0.25">
      <c r="A235" s="3" t="s">
        <v>27</v>
      </c>
      <c r="B235" s="3" t="s">
        <v>41</v>
      </c>
      <c r="C235" s="3" t="s">
        <v>23</v>
      </c>
      <c r="D235" s="3" t="s">
        <v>42</v>
      </c>
      <c r="E235" s="3" t="s">
        <v>25</v>
      </c>
      <c r="F235" s="3" t="s">
        <v>25</v>
      </c>
      <c r="G235" s="3" t="s">
        <v>25</v>
      </c>
      <c r="H235" s="3" t="s">
        <v>25</v>
      </c>
      <c r="I235" s="6">
        <v>44470</v>
      </c>
      <c r="J235" s="4">
        <v>0</v>
      </c>
      <c r="K235" s="4">
        <v>0</v>
      </c>
      <c r="L235" s="4">
        <v>-6.51</v>
      </c>
      <c r="M235" s="4">
        <v>-6.51</v>
      </c>
      <c r="N235" s="4">
        <v>-6.51</v>
      </c>
      <c r="O235" s="4">
        <v>-6.51</v>
      </c>
      <c r="P235" s="4">
        <v>0</v>
      </c>
      <c r="Q235" s="3" t="s">
        <v>26</v>
      </c>
      <c r="R235" s="3">
        <v>0</v>
      </c>
      <c r="S235" s="3">
        <v>0</v>
      </c>
      <c r="T235" s="3">
        <v>42</v>
      </c>
      <c r="U235" s="3">
        <v>63</v>
      </c>
      <c r="V235" s="4">
        <f>IF(ISERROR(VLOOKUP($S$235,'TAR FIN'!$A$1:$O$86,15,0)),0,VLOOKUP($S$235,'TAR FIN'!$A$1:$O$86,15,0))</f>
        <v>0</v>
      </c>
      <c r="W235" s="4">
        <f>IF(ISERROR(VLOOKUP($T$235,'TAR FIN'!$A$1:$O$86,15,0)),0,VLOOKUP($T$235,'TAR FIN'!$A$1:$O$86,15,0))</f>
        <v>430.35</v>
      </c>
      <c r="X235" s="4">
        <f>IF(ISERROR(VLOOKUP($U$235,'TAR FIN'!$A$1:$O$86,15,0)),0,VLOOKUP($U$235,'TAR FIN'!$A$1:$O$86,15,0))</f>
        <v>186.16</v>
      </c>
      <c r="Y235" s="4"/>
      <c r="Z235" s="4">
        <f ca="1">('TUSD BE'!$AM$33+'TUSD BF'!$AM$33+'TUSD CVA'!$AM$33)*(1-CUSTOS!$M$38)</f>
        <v>536.63434130853489</v>
      </c>
      <c r="AA235" s="4">
        <f>('TE BE'!$AB$24+'TE BF'!$AB$24+'TE CVA'!$AB$24)*(1-CUSTOS!$M$38)</f>
        <v>184.7746360391113</v>
      </c>
      <c r="AB235" s="4">
        <f t="shared" si="14"/>
        <v>0</v>
      </c>
      <c r="AC235" s="4">
        <f>(L235-M235)*(W235+X235)+($W$110+$X$110-$W$235-$X$235)*(L235)</f>
        <v>-547.23059999999941</v>
      </c>
      <c r="AD235" s="4">
        <f t="shared" si="15"/>
        <v>0</v>
      </c>
      <c r="AE235" s="4">
        <f ca="1">(L235-M235)*(Z235+AA235)+($Z$110+$AA$110-$Z$235-$AA$235)*(L235)</f>
        <v>-299.76845377871348</v>
      </c>
      <c r="AF235" s="3" t="s">
        <v>589</v>
      </c>
    </row>
    <row r="236" spans="1:32" ht="11.25" customHeight="1" x14ac:dyDescent="0.25">
      <c r="A236" s="3" t="s">
        <v>28</v>
      </c>
      <c r="B236" s="3" t="s">
        <v>41</v>
      </c>
      <c r="C236" s="3" t="s">
        <v>23</v>
      </c>
      <c r="D236" s="3" t="s">
        <v>42</v>
      </c>
      <c r="E236" s="3" t="s">
        <v>25</v>
      </c>
      <c r="F236" s="3" t="s">
        <v>25</v>
      </c>
      <c r="G236" s="3" t="s">
        <v>25</v>
      </c>
      <c r="H236" s="3" t="s">
        <v>25</v>
      </c>
      <c r="I236" s="6">
        <v>44470</v>
      </c>
      <c r="J236" s="4">
        <v>0</v>
      </c>
      <c r="K236" s="4">
        <v>0</v>
      </c>
      <c r="L236" s="4">
        <v>90.212000000000003</v>
      </c>
      <c r="M236" s="4">
        <v>90.212000000000003</v>
      </c>
      <c r="N236" s="4">
        <v>90.212000000000003</v>
      </c>
      <c r="O236" s="4">
        <v>90.212000000000003</v>
      </c>
      <c r="P236" s="4">
        <v>136</v>
      </c>
      <c r="Q236" s="3" t="s">
        <v>26</v>
      </c>
      <c r="R236" s="3">
        <v>0</v>
      </c>
      <c r="S236" s="3">
        <v>0</v>
      </c>
      <c r="T236" s="3">
        <v>42</v>
      </c>
      <c r="U236" s="3">
        <v>63</v>
      </c>
      <c r="V236" s="4">
        <f>IF(ISERROR(VLOOKUP($S$236,'TAR FIN'!$A$1:$O$86,15,0)),0,VLOOKUP($S$236,'TAR FIN'!$A$1:$O$86,15,0))</f>
        <v>0</v>
      </c>
      <c r="W236" s="4">
        <f>IF(ISERROR(VLOOKUP($T$236,'TAR FIN'!$A$1:$O$86,15,0)),0,VLOOKUP($T$236,'TAR FIN'!$A$1:$O$86,15,0))</f>
        <v>430.35</v>
      </c>
      <c r="X236" s="4">
        <f>IF(ISERROR(VLOOKUP($U$236,'TAR FIN'!$A$1:$O$86,15,0)),0,VLOOKUP($U$236,'TAR FIN'!$A$1:$O$86,15,0))</f>
        <v>186.16</v>
      </c>
      <c r="Y236" s="4"/>
      <c r="Z236" s="4">
        <f ca="1">('TUSD BE'!$AM$33+'TUSD BF'!$AM$33+'TUSD CVA'!$AM$33)*(1-CUSTOS!$M$38)</f>
        <v>536.63434130853489</v>
      </c>
      <c r="AA236" s="4">
        <f>('TE BE'!$AB$24+'TE BF'!$AB$24+'TE CVA'!$AB$24)*(1-CUSTOS!$M$38)</f>
        <v>184.7746360391113</v>
      </c>
      <c r="AB236" s="4">
        <f t="shared" si="14"/>
        <v>0</v>
      </c>
      <c r="AC236" s="4">
        <f>(L236-M236)*(W236+X236)+($W$110+$X$110-$W$236-$X$236)*(L236)</f>
        <v>7583.220719999993</v>
      </c>
      <c r="AD236" s="4">
        <f t="shared" si="15"/>
        <v>0</v>
      </c>
      <c r="AE236" s="4">
        <f ca="1">(L236-M236)*(Z236+AA236)+($Z$110+$AA$110-$Z$236-$AA$236)*(L236)</f>
        <v>4154.0263828395246</v>
      </c>
      <c r="AF236" s="3" t="s">
        <v>589</v>
      </c>
    </row>
    <row r="237" spans="1:32" ht="11.25" customHeight="1" x14ac:dyDescent="0.25">
      <c r="A237" s="3" t="s">
        <v>21</v>
      </c>
      <c r="B237" s="3" t="s">
        <v>41</v>
      </c>
      <c r="C237" s="3" t="s">
        <v>23</v>
      </c>
      <c r="D237" s="3" t="s">
        <v>42</v>
      </c>
      <c r="E237" s="3" t="s">
        <v>25</v>
      </c>
      <c r="F237" s="3" t="s">
        <v>25</v>
      </c>
      <c r="G237" s="3" t="s">
        <v>25</v>
      </c>
      <c r="H237" s="3" t="s">
        <v>25</v>
      </c>
      <c r="I237" s="6">
        <v>44501</v>
      </c>
      <c r="J237" s="4">
        <v>0</v>
      </c>
      <c r="K237" s="4">
        <v>0</v>
      </c>
      <c r="L237" s="4">
        <v>1656.521</v>
      </c>
      <c r="M237" s="4">
        <v>1656.521</v>
      </c>
      <c r="N237" s="4">
        <v>1656.521</v>
      </c>
      <c r="O237" s="4">
        <v>1656.521</v>
      </c>
      <c r="P237" s="4">
        <v>4603</v>
      </c>
      <c r="Q237" s="3" t="s">
        <v>26</v>
      </c>
      <c r="R237" s="3">
        <v>0</v>
      </c>
      <c r="S237" s="3">
        <v>0</v>
      </c>
      <c r="T237" s="3">
        <v>42</v>
      </c>
      <c r="U237" s="3">
        <v>63</v>
      </c>
      <c r="V237" s="4">
        <f>IF(ISERROR(VLOOKUP($S$237,'TAR FIN'!$A$1:$O$86,15,0)),0,VLOOKUP($S$237,'TAR FIN'!$A$1:$O$86,15,0))</f>
        <v>0</v>
      </c>
      <c r="W237" s="4">
        <f>IF(ISERROR(VLOOKUP($T$237,'TAR FIN'!$A$1:$O$86,15,0)),0,VLOOKUP($T$237,'TAR FIN'!$A$1:$O$86,15,0))</f>
        <v>430.35</v>
      </c>
      <c r="X237" s="4">
        <f>IF(ISERROR(VLOOKUP($U$237,'TAR FIN'!$A$1:$O$86,15,0)),0,VLOOKUP($U$237,'TAR FIN'!$A$1:$O$86,15,0))</f>
        <v>186.16</v>
      </c>
      <c r="Y237" s="4"/>
      <c r="Z237" s="4">
        <f ca="1">('TUSD BE'!$AM$33+'TUSD BF'!$AM$33+'TUSD CVA'!$AM$33)*(1-CUSTOS!$M$38)</f>
        <v>536.63434130853489</v>
      </c>
      <c r="AA237" s="4">
        <f>('TE BE'!$AB$24+'TE BF'!$AB$24+'TE CVA'!$AB$24)*(1-CUSTOS!$M$38)</f>
        <v>184.7746360391113</v>
      </c>
      <c r="AB237" s="4">
        <f t="shared" si="14"/>
        <v>0</v>
      </c>
      <c r="AC237" s="4">
        <f>(L237-M237)*(W237+X237)+($W$110+$X$110-$W$237-$X$237)*(L237)</f>
        <v>139247.15525999985</v>
      </c>
      <c r="AD237" s="4">
        <f t="shared" si="15"/>
        <v>0</v>
      </c>
      <c r="AE237" s="4">
        <f ca="1">(L237-M237)*(Z237+AA237)+($Z$110+$AA$110-$Z$237-$AA$237)*(L237)</f>
        <v>76278.454504142588</v>
      </c>
      <c r="AF237" s="3" t="s">
        <v>589</v>
      </c>
    </row>
    <row r="238" spans="1:32" ht="11.25" customHeight="1" x14ac:dyDescent="0.25">
      <c r="A238" s="3" t="s">
        <v>27</v>
      </c>
      <c r="B238" s="3" t="s">
        <v>41</v>
      </c>
      <c r="C238" s="3" t="s">
        <v>23</v>
      </c>
      <c r="D238" s="3" t="s">
        <v>42</v>
      </c>
      <c r="E238" s="3" t="s">
        <v>25</v>
      </c>
      <c r="F238" s="3" t="s">
        <v>25</v>
      </c>
      <c r="G238" s="3" t="s">
        <v>25</v>
      </c>
      <c r="H238" s="3" t="s">
        <v>25</v>
      </c>
      <c r="I238" s="6">
        <v>44501</v>
      </c>
      <c r="J238" s="4">
        <v>0</v>
      </c>
      <c r="K238" s="4">
        <v>0</v>
      </c>
      <c r="L238" s="4">
        <v>-2.605</v>
      </c>
      <c r="M238" s="4">
        <v>-2.605</v>
      </c>
      <c r="N238" s="4">
        <v>-2.605</v>
      </c>
      <c r="O238" s="4">
        <v>-2.605</v>
      </c>
      <c r="P238" s="4">
        <v>0</v>
      </c>
      <c r="Q238" s="3" t="s">
        <v>26</v>
      </c>
      <c r="R238" s="3">
        <v>0</v>
      </c>
      <c r="S238" s="3">
        <v>0</v>
      </c>
      <c r="T238" s="3">
        <v>42</v>
      </c>
      <c r="U238" s="3">
        <v>63</v>
      </c>
      <c r="V238" s="4">
        <f>IF(ISERROR(VLOOKUP($S$238,'TAR FIN'!$A$1:$O$86,15,0)),0,VLOOKUP($S$238,'TAR FIN'!$A$1:$O$86,15,0))</f>
        <v>0</v>
      </c>
      <c r="W238" s="4">
        <f>IF(ISERROR(VLOOKUP($T$238,'TAR FIN'!$A$1:$O$86,15,0)),0,VLOOKUP($T$238,'TAR FIN'!$A$1:$O$86,15,0))</f>
        <v>430.35</v>
      </c>
      <c r="X238" s="4">
        <f>IF(ISERROR(VLOOKUP($U$238,'TAR FIN'!$A$1:$O$86,15,0)),0,VLOOKUP($U$238,'TAR FIN'!$A$1:$O$86,15,0))</f>
        <v>186.16</v>
      </c>
      <c r="Y238" s="4"/>
      <c r="Z238" s="4">
        <f ca="1">('TUSD BE'!$AM$33+'TUSD BF'!$AM$33+'TUSD CVA'!$AM$33)*(1-CUSTOS!$M$38)</f>
        <v>536.63434130853489</v>
      </c>
      <c r="AA238" s="4">
        <f>('TE BE'!$AB$24+'TE BF'!$AB$24+'TE CVA'!$AB$24)*(1-CUSTOS!$M$38)</f>
        <v>184.7746360391113</v>
      </c>
      <c r="AB238" s="4">
        <f t="shared" si="14"/>
        <v>0</v>
      </c>
      <c r="AC238" s="4">
        <f>(L238-M238)*(W238+X238)+($W$110+$X$110-$W$238-$X$238)*(L238)</f>
        <v>-218.97629999999978</v>
      </c>
      <c r="AD238" s="4">
        <f t="shared" si="15"/>
        <v>0</v>
      </c>
      <c r="AE238" s="4">
        <f ca="1">(L238-M238)*(Z238+AA238)+($Z$110+$AA$110-$Z$238-$AA$238)*(L238)</f>
        <v>-119.95342889301823</v>
      </c>
      <c r="AF238" s="3" t="s">
        <v>589</v>
      </c>
    </row>
    <row r="239" spans="1:32" ht="11.25" customHeight="1" x14ac:dyDescent="0.25">
      <c r="A239" s="3" t="s">
        <v>28</v>
      </c>
      <c r="B239" s="3" t="s">
        <v>41</v>
      </c>
      <c r="C239" s="3" t="s">
        <v>23</v>
      </c>
      <c r="D239" s="3" t="s">
        <v>42</v>
      </c>
      <c r="E239" s="3" t="s">
        <v>25</v>
      </c>
      <c r="F239" s="3" t="s">
        <v>25</v>
      </c>
      <c r="G239" s="3" t="s">
        <v>25</v>
      </c>
      <c r="H239" s="3" t="s">
        <v>25</v>
      </c>
      <c r="I239" s="6">
        <v>44501</v>
      </c>
      <c r="J239" s="4">
        <v>0</v>
      </c>
      <c r="K239" s="4">
        <v>0</v>
      </c>
      <c r="L239" s="4">
        <v>59.811999999999998</v>
      </c>
      <c r="M239" s="4">
        <v>59.811999999999998</v>
      </c>
      <c r="N239" s="4">
        <v>59.811999999999998</v>
      </c>
      <c r="O239" s="4">
        <v>59.811999999999998</v>
      </c>
      <c r="P239" s="4">
        <v>0</v>
      </c>
      <c r="Q239" s="3" t="s">
        <v>26</v>
      </c>
      <c r="R239" s="3">
        <v>0</v>
      </c>
      <c r="S239" s="3">
        <v>0</v>
      </c>
      <c r="T239" s="3">
        <v>42</v>
      </c>
      <c r="U239" s="3">
        <v>63</v>
      </c>
      <c r="V239" s="4">
        <f>IF(ISERROR(VLOOKUP($S$239,'TAR FIN'!$A$1:$O$86,15,0)),0,VLOOKUP($S$239,'TAR FIN'!$A$1:$O$86,15,0))</f>
        <v>0</v>
      </c>
      <c r="W239" s="4">
        <f>IF(ISERROR(VLOOKUP($T$239,'TAR FIN'!$A$1:$O$86,15,0)),0,VLOOKUP($T$239,'TAR FIN'!$A$1:$O$86,15,0))</f>
        <v>430.35</v>
      </c>
      <c r="X239" s="4">
        <f>IF(ISERROR(VLOOKUP($U$239,'TAR FIN'!$A$1:$O$86,15,0)),0,VLOOKUP($U$239,'TAR FIN'!$A$1:$O$86,15,0))</f>
        <v>186.16</v>
      </c>
      <c r="Y239" s="4"/>
      <c r="Z239" s="4">
        <f ca="1">('TUSD BE'!$AM$33+'TUSD BF'!$AM$33+'TUSD CVA'!$AM$33)*(1-CUSTOS!$M$38)</f>
        <v>536.63434130853489</v>
      </c>
      <c r="AA239" s="4">
        <f>('TE BE'!$AB$24+'TE BF'!$AB$24+'TE CVA'!$AB$24)*(1-CUSTOS!$M$38)</f>
        <v>184.7746360391113</v>
      </c>
      <c r="AB239" s="4">
        <f t="shared" si="14"/>
        <v>0</v>
      </c>
      <c r="AC239" s="4">
        <f>(L239-M239)*(W239+X239)+($W$110+$X$110-$W$239-$X$239)*(L239)</f>
        <v>5027.7967199999948</v>
      </c>
      <c r="AD239" s="4">
        <f t="shared" si="15"/>
        <v>0</v>
      </c>
      <c r="AE239" s="4">
        <f ca="1">(L239-M239)*(Z239+AA239)+($Z$110+$AA$110-$Z$239-$AA$239)*(L239)</f>
        <v>2754.1859842415379</v>
      </c>
      <c r="AF239" s="3" t="s">
        <v>589</v>
      </c>
    </row>
    <row r="240" spans="1:32" ht="11.25" customHeight="1" x14ac:dyDescent="0.25">
      <c r="A240" s="3" t="s">
        <v>21</v>
      </c>
      <c r="B240" s="3" t="s">
        <v>41</v>
      </c>
      <c r="C240" s="3" t="s">
        <v>23</v>
      </c>
      <c r="D240" s="3" t="s">
        <v>42</v>
      </c>
      <c r="E240" s="3" t="s">
        <v>25</v>
      </c>
      <c r="F240" s="3" t="s">
        <v>25</v>
      </c>
      <c r="G240" s="3" t="s">
        <v>25</v>
      </c>
      <c r="H240" s="3" t="s">
        <v>25</v>
      </c>
      <c r="I240" s="6">
        <v>44531</v>
      </c>
      <c r="J240" s="4">
        <v>0</v>
      </c>
      <c r="K240" s="4">
        <v>0</v>
      </c>
      <c r="L240" s="4">
        <v>1717.56</v>
      </c>
      <c r="M240" s="4">
        <v>1717.56</v>
      </c>
      <c r="N240" s="4">
        <v>1717.56</v>
      </c>
      <c r="O240" s="4">
        <v>1717.56</v>
      </c>
      <c r="P240" s="4">
        <v>4543</v>
      </c>
      <c r="Q240" s="3" t="s">
        <v>26</v>
      </c>
      <c r="R240" s="3">
        <v>0</v>
      </c>
      <c r="S240" s="3">
        <v>0</v>
      </c>
      <c r="T240" s="3">
        <v>42</v>
      </c>
      <c r="U240" s="3">
        <v>63</v>
      </c>
      <c r="V240" s="4">
        <f>IF(ISERROR(VLOOKUP($S$240,'TAR FIN'!$A$1:$O$86,15,0)),0,VLOOKUP($S$240,'TAR FIN'!$A$1:$O$86,15,0))</f>
        <v>0</v>
      </c>
      <c r="W240" s="4">
        <f>IF(ISERROR(VLOOKUP($T$240,'TAR FIN'!$A$1:$O$86,15,0)),0,VLOOKUP($T$240,'TAR FIN'!$A$1:$O$86,15,0))</f>
        <v>430.35</v>
      </c>
      <c r="X240" s="4">
        <f>IF(ISERROR(VLOOKUP($U$240,'TAR FIN'!$A$1:$O$86,15,0)),0,VLOOKUP($U$240,'TAR FIN'!$A$1:$O$86,15,0))</f>
        <v>186.16</v>
      </c>
      <c r="Y240" s="4"/>
      <c r="Z240" s="4">
        <f ca="1">('TUSD BE'!$AM$33+'TUSD BF'!$AM$33+'TUSD CVA'!$AM$33)*(1-CUSTOS!$M$38)</f>
        <v>536.63434130853489</v>
      </c>
      <c r="AA240" s="4">
        <f>('TE BE'!$AB$24+'TE BF'!$AB$24+'TE CVA'!$AB$24)*(1-CUSTOS!$M$38)</f>
        <v>184.7746360391113</v>
      </c>
      <c r="AB240" s="4">
        <f t="shared" si="14"/>
        <v>0</v>
      </c>
      <c r="AC240" s="4">
        <f>(L240-M240)*(W240+X240)+($W$110+$X$110-$W$240-$X$240)*(L240)</f>
        <v>144378.09359999985</v>
      </c>
      <c r="AD240" s="4">
        <f t="shared" si="15"/>
        <v>0</v>
      </c>
      <c r="AE240" s="4">
        <f ca="1">(L240-M240)*(Z240+AA240)+($Z$110+$AA$110-$Z$240-$AA$240)*(L240)</f>
        <v>79089.140625524902</v>
      </c>
      <c r="AF240" s="3" t="s">
        <v>589</v>
      </c>
    </row>
    <row r="241" spans="1:32" ht="11.25" customHeight="1" x14ac:dyDescent="0.25">
      <c r="A241" s="3" t="s">
        <v>27</v>
      </c>
      <c r="B241" s="3" t="s">
        <v>41</v>
      </c>
      <c r="C241" s="3" t="s">
        <v>23</v>
      </c>
      <c r="D241" s="3" t="s">
        <v>42</v>
      </c>
      <c r="E241" s="3" t="s">
        <v>25</v>
      </c>
      <c r="F241" s="3" t="s">
        <v>25</v>
      </c>
      <c r="G241" s="3" t="s">
        <v>25</v>
      </c>
      <c r="H241" s="3" t="s">
        <v>25</v>
      </c>
      <c r="I241" s="6">
        <v>44531</v>
      </c>
      <c r="J241" s="4">
        <v>0</v>
      </c>
      <c r="K241" s="4">
        <v>0</v>
      </c>
      <c r="L241" s="4">
        <v>-6.2789999999999999</v>
      </c>
      <c r="M241" s="4">
        <v>-6.2789999999999999</v>
      </c>
      <c r="N241" s="4">
        <v>-6.2789999999999999</v>
      </c>
      <c r="O241" s="4">
        <v>-6.2789999999999999</v>
      </c>
      <c r="P241" s="4">
        <v>0</v>
      </c>
      <c r="Q241" s="3" t="s">
        <v>26</v>
      </c>
      <c r="R241" s="3">
        <v>0</v>
      </c>
      <c r="S241" s="3">
        <v>0</v>
      </c>
      <c r="T241" s="3">
        <v>42</v>
      </c>
      <c r="U241" s="3">
        <v>63</v>
      </c>
      <c r="V241" s="4">
        <f>IF(ISERROR(VLOOKUP($S$241,'TAR FIN'!$A$1:$O$86,15,0)),0,VLOOKUP($S$241,'TAR FIN'!$A$1:$O$86,15,0))</f>
        <v>0</v>
      </c>
      <c r="W241" s="4">
        <f>IF(ISERROR(VLOOKUP($T$241,'TAR FIN'!$A$1:$O$86,15,0)),0,VLOOKUP($T$241,'TAR FIN'!$A$1:$O$86,15,0))</f>
        <v>430.35</v>
      </c>
      <c r="X241" s="4">
        <f>IF(ISERROR(VLOOKUP($U$241,'TAR FIN'!$A$1:$O$86,15,0)),0,VLOOKUP($U$241,'TAR FIN'!$A$1:$O$86,15,0))</f>
        <v>186.16</v>
      </c>
      <c r="Y241" s="4"/>
      <c r="Z241" s="4">
        <f ca="1">('TUSD BE'!$AM$33+'TUSD BF'!$AM$33+'TUSD CVA'!$AM$33)*(1-CUSTOS!$M$38)</f>
        <v>536.63434130853489</v>
      </c>
      <c r="AA241" s="4">
        <f>('TE BE'!$AB$24+'TE BF'!$AB$24+'TE CVA'!$AB$24)*(1-CUSTOS!$M$38)</f>
        <v>184.7746360391113</v>
      </c>
      <c r="AB241" s="4">
        <f t="shared" si="14"/>
        <v>0</v>
      </c>
      <c r="AC241" s="4">
        <f>(L241-M241)*(W241+X241)+($W$110+$X$110-$W$241-$X$241)*(L241)</f>
        <v>-527.81273999999951</v>
      </c>
      <c r="AD241" s="4">
        <f t="shared" si="15"/>
        <v>0</v>
      </c>
      <c r="AE241" s="4">
        <f ca="1">(L241-M241)*(Z241+AA241)+($Z$110+$AA$110-$Z$241-$AA$241)*(L241)</f>
        <v>-289.13150864463012</v>
      </c>
      <c r="AF241" s="3" t="s">
        <v>589</v>
      </c>
    </row>
    <row r="242" spans="1:32" ht="11.25" customHeight="1" x14ac:dyDescent="0.25">
      <c r="A242" s="3" t="s">
        <v>28</v>
      </c>
      <c r="B242" s="3" t="s">
        <v>41</v>
      </c>
      <c r="C242" s="3" t="s">
        <v>23</v>
      </c>
      <c r="D242" s="3" t="s">
        <v>42</v>
      </c>
      <c r="E242" s="3" t="s">
        <v>25</v>
      </c>
      <c r="F242" s="3" t="s">
        <v>25</v>
      </c>
      <c r="G242" s="3" t="s">
        <v>25</v>
      </c>
      <c r="H242" s="3" t="s">
        <v>25</v>
      </c>
      <c r="I242" s="6">
        <v>44531</v>
      </c>
      <c r="J242" s="4">
        <v>0</v>
      </c>
      <c r="K242" s="4">
        <v>0</v>
      </c>
      <c r="L242" s="4">
        <v>101.895</v>
      </c>
      <c r="M242" s="4">
        <v>101.895</v>
      </c>
      <c r="N242" s="4">
        <v>101.895</v>
      </c>
      <c r="O242" s="4">
        <v>101.895</v>
      </c>
      <c r="P242" s="4">
        <v>147</v>
      </c>
      <c r="Q242" s="3" t="s">
        <v>26</v>
      </c>
      <c r="R242" s="3">
        <v>0</v>
      </c>
      <c r="S242" s="3">
        <v>0</v>
      </c>
      <c r="T242" s="3">
        <v>42</v>
      </c>
      <c r="U242" s="3">
        <v>63</v>
      </c>
      <c r="V242" s="4">
        <f>IF(ISERROR(VLOOKUP($S$242,'TAR FIN'!$A$1:$O$86,15,0)),0,VLOOKUP($S$242,'TAR FIN'!$A$1:$O$86,15,0))</f>
        <v>0</v>
      </c>
      <c r="W242" s="4">
        <f>IF(ISERROR(VLOOKUP($T$242,'TAR FIN'!$A$1:$O$86,15,0)),0,VLOOKUP($T$242,'TAR FIN'!$A$1:$O$86,15,0))</f>
        <v>430.35</v>
      </c>
      <c r="X242" s="4">
        <f>IF(ISERROR(VLOOKUP($U$242,'TAR FIN'!$A$1:$O$86,15,0)),0,VLOOKUP($U$242,'TAR FIN'!$A$1:$O$86,15,0))</f>
        <v>186.16</v>
      </c>
      <c r="Y242" s="4"/>
      <c r="Z242" s="4">
        <f ca="1">('TUSD BE'!$AM$33+'TUSD BF'!$AM$33+'TUSD CVA'!$AM$33)*(1-CUSTOS!$M$38)</f>
        <v>536.63434130853489</v>
      </c>
      <c r="AA242" s="4">
        <f>('TE BE'!$AB$24+'TE BF'!$AB$24+'TE CVA'!$AB$24)*(1-CUSTOS!$M$38)</f>
        <v>184.7746360391113</v>
      </c>
      <c r="AB242" s="4">
        <f t="shared" si="14"/>
        <v>0</v>
      </c>
      <c r="AC242" s="4">
        <f>(L242-M242)*(W242+X242)+($W$110+$X$110-$W$242-$X$242)*(L242)</f>
        <v>8565.2936999999911</v>
      </c>
      <c r="AD242" s="4">
        <f t="shared" si="15"/>
        <v>0</v>
      </c>
      <c r="AE242" s="4">
        <f ca="1">(L242-M242)*(Z242+AA242)+($Z$110+$AA$110-$Z$242-$AA$242)*(L242)</f>
        <v>4691.9979412875591</v>
      </c>
      <c r="AF242" s="3" t="s">
        <v>589</v>
      </c>
    </row>
    <row r="243" spans="1:32" ht="11.25" customHeight="1" x14ac:dyDescent="0.25">
      <c r="A243" s="3" t="s">
        <v>21</v>
      </c>
      <c r="B243" s="3" t="s">
        <v>41</v>
      </c>
      <c r="C243" s="3" t="s">
        <v>23</v>
      </c>
      <c r="D243" s="3" t="s">
        <v>42</v>
      </c>
      <c r="E243" s="3" t="s">
        <v>25</v>
      </c>
      <c r="F243" s="3" t="s">
        <v>25</v>
      </c>
      <c r="G243" s="3" t="s">
        <v>25</v>
      </c>
      <c r="H243" s="3" t="s">
        <v>25</v>
      </c>
      <c r="I243" s="6">
        <v>44562</v>
      </c>
      <c r="J243" s="4">
        <v>0</v>
      </c>
      <c r="K243" s="4">
        <v>0</v>
      </c>
      <c r="L243" s="4">
        <v>1907.8</v>
      </c>
      <c r="M243" s="4">
        <v>1907.8</v>
      </c>
      <c r="N243" s="4">
        <v>1907.8</v>
      </c>
      <c r="O243" s="4">
        <v>1907.8</v>
      </c>
      <c r="P243" s="4">
        <v>4550</v>
      </c>
      <c r="Q243" s="3" t="s">
        <v>26</v>
      </c>
      <c r="R243" s="3">
        <v>0</v>
      </c>
      <c r="S243" s="3">
        <v>0</v>
      </c>
      <c r="T243" s="3">
        <v>42</v>
      </c>
      <c r="U243" s="3">
        <v>63</v>
      </c>
      <c r="V243" s="4">
        <f>IF(ISERROR(VLOOKUP($S$243,'TAR FIN'!$A$1:$O$86,15,0)),0,VLOOKUP($S$243,'TAR FIN'!$A$1:$O$86,15,0))</f>
        <v>0</v>
      </c>
      <c r="W243" s="4">
        <f>IF(ISERROR(VLOOKUP($T$243,'TAR FIN'!$A$1:$O$86,15,0)),0,VLOOKUP($T$243,'TAR FIN'!$A$1:$O$86,15,0))</f>
        <v>430.35</v>
      </c>
      <c r="X243" s="4">
        <f>IF(ISERROR(VLOOKUP($U$243,'TAR FIN'!$A$1:$O$86,15,0)),0,VLOOKUP($U$243,'TAR FIN'!$A$1:$O$86,15,0))</f>
        <v>186.16</v>
      </c>
      <c r="Y243" s="4"/>
      <c r="Z243" s="4">
        <f ca="1">('TUSD BE'!$AM$33+'TUSD BF'!$AM$33+'TUSD CVA'!$AM$33)*(1-CUSTOS!$M$38)</f>
        <v>536.63434130853489</v>
      </c>
      <c r="AA243" s="4">
        <f>('TE BE'!$AB$24+'TE BF'!$AB$24+'TE CVA'!$AB$24)*(1-CUSTOS!$M$38)</f>
        <v>184.7746360391113</v>
      </c>
      <c r="AB243" s="4">
        <f t="shared" si="14"/>
        <v>0</v>
      </c>
      <c r="AC243" s="4">
        <f>(L243-M243)*(W243+X243)+($W$110+$X$110-$W$243-$X$243)*(L243)</f>
        <v>160369.66799999983</v>
      </c>
      <c r="AD243" s="4">
        <f t="shared" si="15"/>
        <v>0</v>
      </c>
      <c r="AE243" s="4">
        <f ca="1">(L243-M243)*(Z243+AA243)+($Z$110+$AA$110-$Z$243-$AA$243)*(L243)</f>
        <v>87849.194488330206</v>
      </c>
      <c r="AF243" s="3" t="s">
        <v>589</v>
      </c>
    </row>
    <row r="244" spans="1:32" ht="11.25" customHeight="1" x14ac:dyDescent="0.25">
      <c r="A244" s="3" t="s">
        <v>27</v>
      </c>
      <c r="B244" s="3" t="s">
        <v>41</v>
      </c>
      <c r="C244" s="3" t="s">
        <v>23</v>
      </c>
      <c r="D244" s="3" t="s">
        <v>42</v>
      </c>
      <c r="E244" s="3" t="s">
        <v>25</v>
      </c>
      <c r="F244" s="3" t="s">
        <v>25</v>
      </c>
      <c r="G244" s="3" t="s">
        <v>25</v>
      </c>
      <c r="H244" s="3" t="s">
        <v>25</v>
      </c>
      <c r="I244" s="6">
        <v>44562</v>
      </c>
      <c r="J244" s="4">
        <v>0</v>
      </c>
      <c r="K244" s="4">
        <v>0</v>
      </c>
      <c r="L244" s="4">
        <v>-8.6609999999999996</v>
      </c>
      <c r="M244" s="4">
        <v>-8.6609999999999996</v>
      </c>
      <c r="N244" s="4">
        <v>-8.6609999999999996</v>
      </c>
      <c r="O244" s="4">
        <v>-8.6609999999999996</v>
      </c>
      <c r="P244" s="4">
        <v>0</v>
      </c>
      <c r="Q244" s="3" t="s">
        <v>26</v>
      </c>
      <c r="R244" s="3">
        <v>0</v>
      </c>
      <c r="S244" s="3">
        <v>0</v>
      </c>
      <c r="T244" s="3">
        <v>42</v>
      </c>
      <c r="U244" s="3">
        <v>63</v>
      </c>
      <c r="V244" s="4">
        <f>IF(ISERROR(VLOOKUP($S$244,'TAR FIN'!$A$1:$O$86,15,0)),0,VLOOKUP($S$244,'TAR FIN'!$A$1:$O$86,15,0))</f>
        <v>0</v>
      </c>
      <c r="W244" s="4">
        <f>IF(ISERROR(VLOOKUP($T$244,'TAR FIN'!$A$1:$O$86,15,0)),0,VLOOKUP($T$244,'TAR FIN'!$A$1:$O$86,15,0))</f>
        <v>430.35</v>
      </c>
      <c r="X244" s="4">
        <f>IF(ISERROR(VLOOKUP($U$244,'TAR FIN'!$A$1:$O$86,15,0)),0,VLOOKUP($U$244,'TAR FIN'!$A$1:$O$86,15,0))</f>
        <v>186.16</v>
      </c>
      <c r="Y244" s="4"/>
      <c r="Z244" s="4">
        <f ca="1">('TUSD BE'!$AM$33+'TUSD BF'!$AM$33+'TUSD CVA'!$AM$33)*(1-CUSTOS!$M$38)</f>
        <v>536.63434130853489</v>
      </c>
      <c r="AA244" s="4">
        <f>('TE BE'!$AB$24+'TE BF'!$AB$24+'TE CVA'!$AB$24)*(1-CUSTOS!$M$38)</f>
        <v>184.7746360391113</v>
      </c>
      <c r="AB244" s="4">
        <f t="shared" si="14"/>
        <v>0</v>
      </c>
      <c r="AC244" s="4">
        <f>(L244-M244)*(W244+X244)+($W$110+$X$110-$W$244-$X$244)*(L244)</f>
        <v>-728.04365999999925</v>
      </c>
      <c r="AD244" s="4">
        <f t="shared" si="15"/>
        <v>0</v>
      </c>
      <c r="AE244" s="4">
        <f ca="1">(L244-M244)*(Z244+AA244)+($Z$110+$AA$110-$Z$244-$AA$244)*(L244)</f>
        <v>-398.81637145582761</v>
      </c>
      <c r="AF244" s="3" t="s">
        <v>589</v>
      </c>
    </row>
    <row r="245" spans="1:32" ht="11.25" customHeight="1" x14ac:dyDescent="0.25">
      <c r="A245" s="3" t="s">
        <v>28</v>
      </c>
      <c r="B245" s="3" t="s">
        <v>41</v>
      </c>
      <c r="C245" s="3" t="s">
        <v>23</v>
      </c>
      <c r="D245" s="3" t="s">
        <v>42</v>
      </c>
      <c r="E245" s="3" t="s">
        <v>25</v>
      </c>
      <c r="F245" s="3" t="s">
        <v>25</v>
      </c>
      <c r="G245" s="3" t="s">
        <v>25</v>
      </c>
      <c r="H245" s="3" t="s">
        <v>25</v>
      </c>
      <c r="I245" s="6">
        <v>44562</v>
      </c>
      <c r="J245" s="4">
        <v>0</v>
      </c>
      <c r="K245" s="4">
        <v>0</v>
      </c>
      <c r="L245" s="4">
        <v>67.525999999999996</v>
      </c>
      <c r="M245" s="4">
        <v>67.525999999999996</v>
      </c>
      <c r="N245" s="4">
        <v>67.525999999999996</v>
      </c>
      <c r="O245" s="4">
        <v>67.525999999999996</v>
      </c>
      <c r="P245" s="4">
        <v>149</v>
      </c>
      <c r="Q245" s="3" t="s">
        <v>26</v>
      </c>
      <c r="R245" s="3">
        <v>0</v>
      </c>
      <c r="S245" s="3">
        <v>0</v>
      </c>
      <c r="T245" s="3">
        <v>42</v>
      </c>
      <c r="U245" s="3">
        <v>63</v>
      </c>
      <c r="V245" s="4">
        <f>IF(ISERROR(VLOOKUP($S$245,'TAR FIN'!$A$1:$O$86,15,0)),0,VLOOKUP($S$245,'TAR FIN'!$A$1:$O$86,15,0))</f>
        <v>0</v>
      </c>
      <c r="W245" s="4">
        <f>IF(ISERROR(VLOOKUP($T$245,'TAR FIN'!$A$1:$O$86,15,0)),0,VLOOKUP($T$245,'TAR FIN'!$A$1:$O$86,15,0))</f>
        <v>430.35</v>
      </c>
      <c r="X245" s="4">
        <f>IF(ISERROR(VLOOKUP($U$245,'TAR FIN'!$A$1:$O$86,15,0)),0,VLOOKUP($U$245,'TAR FIN'!$A$1:$O$86,15,0))</f>
        <v>186.16</v>
      </c>
      <c r="Y245" s="4"/>
      <c r="Z245" s="4">
        <f ca="1">('TUSD BE'!$AM$33+'TUSD BF'!$AM$33+'TUSD CVA'!$AM$33)*(1-CUSTOS!$M$38)</f>
        <v>536.63434130853489</v>
      </c>
      <c r="AA245" s="4">
        <f>('TE BE'!$AB$24+'TE BF'!$AB$24+'TE CVA'!$AB$24)*(1-CUSTOS!$M$38)</f>
        <v>184.7746360391113</v>
      </c>
      <c r="AB245" s="4">
        <f t="shared" si="14"/>
        <v>0</v>
      </c>
      <c r="AC245" s="4">
        <f>(L245-M245)*(W245+X245)+($W$110+$X$110-$W$245-$X$245)*(L245)</f>
        <v>5676.2355599999937</v>
      </c>
      <c r="AD245" s="4">
        <f t="shared" si="15"/>
        <v>0</v>
      </c>
      <c r="AE245" s="4">
        <f ca="1">(L245-M245)*(Z245+AA245)+($Z$110+$AA$110-$Z$245-$AA$245)*(L245)</f>
        <v>3109.3954853857767</v>
      </c>
      <c r="AF245" s="3" t="s">
        <v>589</v>
      </c>
    </row>
    <row r="246" spans="1:32" ht="11.25" customHeight="1" x14ac:dyDescent="0.25">
      <c r="A246" s="3" t="s">
        <v>21</v>
      </c>
      <c r="B246" s="3" t="s">
        <v>41</v>
      </c>
      <c r="C246" s="3" t="s">
        <v>23</v>
      </c>
      <c r="D246" s="3" t="s">
        <v>42</v>
      </c>
      <c r="E246" s="3" t="s">
        <v>25</v>
      </c>
      <c r="F246" s="3" t="s">
        <v>25</v>
      </c>
      <c r="G246" s="3" t="s">
        <v>25</v>
      </c>
      <c r="H246" s="3" t="s">
        <v>25</v>
      </c>
      <c r="I246" s="6">
        <v>44593</v>
      </c>
      <c r="J246" s="4">
        <v>0</v>
      </c>
      <c r="K246" s="4">
        <v>0</v>
      </c>
      <c r="L246" s="4">
        <v>1891.9839999999999</v>
      </c>
      <c r="M246" s="4">
        <v>1891.9839999999999</v>
      </c>
      <c r="N246" s="4">
        <v>1891.9839999999999</v>
      </c>
      <c r="O246" s="4">
        <v>1891.9839999999999</v>
      </c>
      <c r="P246" s="4">
        <v>4553</v>
      </c>
      <c r="Q246" s="3" t="s">
        <v>26</v>
      </c>
      <c r="R246" s="3">
        <v>0</v>
      </c>
      <c r="S246" s="3">
        <v>0</v>
      </c>
      <c r="T246" s="3">
        <v>42</v>
      </c>
      <c r="U246" s="3">
        <v>63</v>
      </c>
      <c r="V246" s="4">
        <f>IF(ISERROR(VLOOKUP($S$246,'TAR FIN'!$A$1:$O$86,15,0)),0,VLOOKUP($S$246,'TAR FIN'!$A$1:$O$86,15,0))</f>
        <v>0</v>
      </c>
      <c r="W246" s="4">
        <f>IF(ISERROR(VLOOKUP($T$246,'TAR FIN'!$A$1:$O$86,15,0)),0,VLOOKUP($T$246,'TAR FIN'!$A$1:$O$86,15,0))</f>
        <v>430.35</v>
      </c>
      <c r="X246" s="4">
        <f>IF(ISERROR(VLOOKUP($U$246,'TAR FIN'!$A$1:$O$86,15,0)),0,VLOOKUP($U$246,'TAR FIN'!$A$1:$O$86,15,0))</f>
        <v>186.16</v>
      </c>
      <c r="Y246" s="4"/>
      <c r="Z246" s="4">
        <f ca="1">('TUSD BE'!$AM$33+'TUSD BF'!$AM$33+'TUSD CVA'!$AM$33)*(1-CUSTOS!$M$38)</f>
        <v>536.63434130853489</v>
      </c>
      <c r="AA246" s="4">
        <f>('TE BE'!$AB$24+'TE BF'!$AB$24+'TE CVA'!$AB$24)*(1-CUSTOS!$M$38)</f>
        <v>184.7746360391113</v>
      </c>
      <c r="AB246" s="4">
        <f t="shared" si="14"/>
        <v>0</v>
      </c>
      <c r="AC246" s="4">
        <f>(L246-M246)*(W246+X246)+($W$110+$X$110-$W$246-$X$246)*(L246)</f>
        <v>159040.17503999983</v>
      </c>
      <c r="AD246" s="4">
        <f t="shared" si="15"/>
        <v>0</v>
      </c>
      <c r="AE246" s="4">
        <f ca="1">(L246-M246)*(Z246+AA246)+($Z$110+$AA$110-$Z$246-$AA$246)*(L246)</f>
        <v>87120.90910200699</v>
      </c>
      <c r="AF246" s="3" t="s">
        <v>589</v>
      </c>
    </row>
    <row r="247" spans="1:32" ht="11.25" customHeight="1" x14ac:dyDescent="0.25">
      <c r="A247" s="3" t="s">
        <v>27</v>
      </c>
      <c r="B247" s="3" t="s">
        <v>41</v>
      </c>
      <c r="C247" s="3" t="s">
        <v>23</v>
      </c>
      <c r="D247" s="3" t="s">
        <v>42</v>
      </c>
      <c r="E247" s="3" t="s">
        <v>25</v>
      </c>
      <c r="F247" s="3" t="s">
        <v>25</v>
      </c>
      <c r="G247" s="3" t="s">
        <v>25</v>
      </c>
      <c r="H247" s="3" t="s">
        <v>25</v>
      </c>
      <c r="I247" s="6">
        <v>44593</v>
      </c>
      <c r="J247" s="4">
        <v>0</v>
      </c>
      <c r="K247" s="4">
        <v>0</v>
      </c>
      <c r="L247" s="4">
        <v>-3.4660000000000002</v>
      </c>
      <c r="M247" s="4">
        <v>-3.4660000000000002</v>
      </c>
      <c r="N247" s="4">
        <v>-3.4660000000000002</v>
      </c>
      <c r="O247" s="4">
        <v>-3.4660000000000002</v>
      </c>
      <c r="P247" s="4">
        <v>0</v>
      </c>
      <c r="Q247" s="3" t="s">
        <v>26</v>
      </c>
      <c r="R247" s="3">
        <v>0</v>
      </c>
      <c r="S247" s="3">
        <v>0</v>
      </c>
      <c r="T247" s="3">
        <v>42</v>
      </c>
      <c r="U247" s="3">
        <v>63</v>
      </c>
      <c r="V247" s="4">
        <f>IF(ISERROR(VLOOKUP($S$247,'TAR FIN'!$A$1:$O$86,15,0)),0,VLOOKUP($S$247,'TAR FIN'!$A$1:$O$86,15,0))</f>
        <v>0</v>
      </c>
      <c r="W247" s="4">
        <f>IF(ISERROR(VLOOKUP($T$247,'TAR FIN'!$A$1:$O$86,15,0)),0,VLOOKUP($T$247,'TAR FIN'!$A$1:$O$86,15,0))</f>
        <v>430.35</v>
      </c>
      <c r="X247" s="4">
        <f>IF(ISERROR(VLOOKUP($U$247,'TAR FIN'!$A$1:$O$86,15,0)),0,VLOOKUP($U$247,'TAR FIN'!$A$1:$O$86,15,0))</f>
        <v>186.16</v>
      </c>
      <c r="Y247" s="4"/>
      <c r="Z247" s="4">
        <f ca="1">('TUSD BE'!$AM$33+'TUSD BF'!$AM$33+'TUSD CVA'!$AM$33)*(1-CUSTOS!$M$38)</f>
        <v>536.63434130853489</v>
      </c>
      <c r="AA247" s="4">
        <f>('TE BE'!$AB$24+'TE BF'!$AB$24+'TE CVA'!$AB$24)*(1-CUSTOS!$M$38)</f>
        <v>184.7746360391113</v>
      </c>
      <c r="AB247" s="4">
        <f t="shared" si="14"/>
        <v>0</v>
      </c>
      <c r="AC247" s="4">
        <f>(L247-M247)*(W247+X247)+($W$110+$X$110-$W$247-$X$247)*(L247)</f>
        <v>-291.35195999999974</v>
      </c>
      <c r="AD247" s="4">
        <f t="shared" si="15"/>
        <v>0</v>
      </c>
      <c r="AE247" s="4">
        <f ca="1">(L247-M247)*(Z247+AA247)+($Z$110+$AA$110-$Z$247-$AA$247)*(L247)</f>
        <v>-159.60022439278359</v>
      </c>
      <c r="AF247" s="3" t="s">
        <v>589</v>
      </c>
    </row>
    <row r="248" spans="1:32" ht="11.25" customHeight="1" x14ac:dyDescent="0.25">
      <c r="A248" s="3" t="s">
        <v>28</v>
      </c>
      <c r="B248" s="3" t="s">
        <v>41</v>
      </c>
      <c r="C248" s="3" t="s">
        <v>23</v>
      </c>
      <c r="D248" s="3" t="s">
        <v>42</v>
      </c>
      <c r="E248" s="3" t="s">
        <v>25</v>
      </c>
      <c r="F248" s="3" t="s">
        <v>25</v>
      </c>
      <c r="G248" s="3" t="s">
        <v>25</v>
      </c>
      <c r="H248" s="3" t="s">
        <v>25</v>
      </c>
      <c r="I248" s="6">
        <v>44593</v>
      </c>
      <c r="J248" s="4">
        <v>0</v>
      </c>
      <c r="K248" s="4">
        <v>0</v>
      </c>
      <c r="L248" s="4">
        <v>89.018000000000001</v>
      </c>
      <c r="M248" s="4">
        <v>89.018000000000001</v>
      </c>
      <c r="N248" s="4">
        <v>89.018000000000001</v>
      </c>
      <c r="O248" s="4">
        <v>89.018000000000001</v>
      </c>
      <c r="P248" s="4">
        <v>153</v>
      </c>
      <c r="Q248" s="3" t="s">
        <v>26</v>
      </c>
      <c r="R248" s="3">
        <v>0</v>
      </c>
      <c r="S248" s="3">
        <v>0</v>
      </c>
      <c r="T248" s="3">
        <v>42</v>
      </c>
      <c r="U248" s="3">
        <v>63</v>
      </c>
      <c r="V248" s="4">
        <f>IF(ISERROR(VLOOKUP($S$248,'TAR FIN'!$A$1:$O$86,15,0)),0,VLOOKUP($S$248,'TAR FIN'!$A$1:$O$86,15,0))</f>
        <v>0</v>
      </c>
      <c r="W248" s="4">
        <f>IF(ISERROR(VLOOKUP($T$248,'TAR FIN'!$A$1:$O$86,15,0)),0,VLOOKUP($T$248,'TAR FIN'!$A$1:$O$86,15,0))</f>
        <v>430.35</v>
      </c>
      <c r="X248" s="4">
        <f>IF(ISERROR(VLOOKUP($U$248,'TAR FIN'!$A$1:$O$86,15,0)),0,VLOOKUP($U$248,'TAR FIN'!$A$1:$O$86,15,0))</f>
        <v>186.16</v>
      </c>
      <c r="Y248" s="4"/>
      <c r="Z248" s="4">
        <f ca="1">('TUSD BE'!$AM$33+'TUSD BF'!$AM$33+'TUSD CVA'!$AM$33)*(1-CUSTOS!$M$38)</f>
        <v>536.63434130853489</v>
      </c>
      <c r="AA248" s="4">
        <f>('TE BE'!$AB$24+'TE BF'!$AB$24+'TE CVA'!$AB$24)*(1-CUSTOS!$M$38)</f>
        <v>184.7746360391113</v>
      </c>
      <c r="AB248" s="4">
        <f t="shared" si="14"/>
        <v>0</v>
      </c>
      <c r="AC248" s="4">
        <f>(L248-M248)*(W248+X248)+($W$110+$X$110-$W$248-$X$248)*(L248)</f>
        <v>7482.8530799999926</v>
      </c>
      <c r="AD248" s="4">
        <f t="shared" si="15"/>
        <v>0</v>
      </c>
      <c r="AE248" s="4">
        <f ca="1">(L248-M248)*(Z248+AA248)+($Z$110+$AA$110-$Z$248-$AA$248)*(L248)</f>
        <v>4099.0458092893268</v>
      </c>
      <c r="AF248" s="3" t="s">
        <v>589</v>
      </c>
    </row>
    <row r="249" spans="1:32" ht="11.25" customHeight="1" x14ac:dyDescent="0.25">
      <c r="A249" s="3" t="s">
        <v>21</v>
      </c>
      <c r="B249" s="3" t="s">
        <v>41</v>
      </c>
      <c r="C249" s="3" t="s">
        <v>23</v>
      </c>
      <c r="D249" s="3" t="s">
        <v>42</v>
      </c>
      <c r="E249" s="3" t="s">
        <v>25</v>
      </c>
      <c r="F249" s="3" t="s">
        <v>25</v>
      </c>
      <c r="G249" s="3" t="s">
        <v>25</v>
      </c>
      <c r="H249" s="3" t="s">
        <v>25</v>
      </c>
      <c r="I249" s="6">
        <v>44621</v>
      </c>
      <c r="J249" s="4">
        <v>0</v>
      </c>
      <c r="K249" s="4">
        <v>0</v>
      </c>
      <c r="L249" s="4">
        <v>1770.356</v>
      </c>
      <c r="M249" s="4">
        <v>1770.356</v>
      </c>
      <c r="N249" s="4">
        <v>1770.356</v>
      </c>
      <c r="O249" s="4">
        <v>1770.356</v>
      </c>
      <c r="P249" s="4">
        <v>4545</v>
      </c>
      <c r="Q249" s="3" t="s">
        <v>26</v>
      </c>
      <c r="R249" s="3">
        <v>0</v>
      </c>
      <c r="S249" s="3">
        <v>0</v>
      </c>
      <c r="T249" s="3">
        <v>42</v>
      </c>
      <c r="U249" s="3">
        <v>63</v>
      </c>
      <c r="V249" s="4">
        <f>IF(ISERROR(VLOOKUP($S$249,'TAR FIN'!$A$1:$O$86,15,0)),0,VLOOKUP($S$249,'TAR FIN'!$A$1:$O$86,15,0))</f>
        <v>0</v>
      </c>
      <c r="W249" s="4">
        <f>IF(ISERROR(VLOOKUP($T$249,'TAR FIN'!$A$1:$O$86,15,0)),0,VLOOKUP($T$249,'TAR FIN'!$A$1:$O$86,15,0))</f>
        <v>430.35</v>
      </c>
      <c r="X249" s="4">
        <f>IF(ISERROR(VLOOKUP($U$249,'TAR FIN'!$A$1:$O$86,15,0)),0,VLOOKUP($U$249,'TAR FIN'!$A$1:$O$86,15,0))</f>
        <v>186.16</v>
      </c>
      <c r="Y249" s="4"/>
      <c r="Z249" s="4">
        <f ca="1">('TUSD BE'!$AM$33+'TUSD BF'!$AM$33+'TUSD CVA'!$AM$33)*(1-CUSTOS!$M$38)</f>
        <v>536.63434130853489</v>
      </c>
      <c r="AA249" s="4">
        <f>('TE BE'!$AB$24+'TE BF'!$AB$24+'TE CVA'!$AB$24)*(1-CUSTOS!$M$38)</f>
        <v>184.7746360391113</v>
      </c>
      <c r="AB249" s="4">
        <f t="shared" si="14"/>
        <v>0</v>
      </c>
      <c r="AC249" s="4">
        <f>(L249-M249)*(W249+X249)+($W$110+$X$110-$W$249-$X$249)*(L249)</f>
        <v>148816.12535999986</v>
      </c>
      <c r="AD249" s="4">
        <f t="shared" si="15"/>
        <v>0</v>
      </c>
      <c r="AE249" s="4">
        <f ca="1">(L249-M249)*(Z249+AA249)+($Z$110+$AA$110-$Z$249-$AA$249)*(L249)</f>
        <v>81520.258180932127</v>
      </c>
      <c r="AF249" s="3" t="s">
        <v>589</v>
      </c>
    </row>
    <row r="250" spans="1:32" ht="11.25" customHeight="1" x14ac:dyDescent="0.25">
      <c r="A250" s="3" t="s">
        <v>27</v>
      </c>
      <c r="B250" s="3" t="s">
        <v>41</v>
      </c>
      <c r="C250" s="3" t="s">
        <v>23</v>
      </c>
      <c r="D250" s="3" t="s">
        <v>42</v>
      </c>
      <c r="E250" s="3" t="s">
        <v>25</v>
      </c>
      <c r="F250" s="3" t="s">
        <v>25</v>
      </c>
      <c r="G250" s="3" t="s">
        <v>25</v>
      </c>
      <c r="H250" s="3" t="s">
        <v>25</v>
      </c>
      <c r="I250" s="6">
        <v>44621</v>
      </c>
      <c r="J250" s="4">
        <v>0</v>
      </c>
      <c r="K250" s="4">
        <v>0</v>
      </c>
      <c r="L250" s="4">
        <v>-0.95899999999999996</v>
      </c>
      <c r="M250" s="4">
        <v>-0.95899999999999996</v>
      </c>
      <c r="N250" s="4">
        <v>-0.95899999999999996</v>
      </c>
      <c r="O250" s="4">
        <v>-0.95899999999999996</v>
      </c>
      <c r="P250" s="4">
        <v>0</v>
      </c>
      <c r="Q250" s="3" t="s">
        <v>26</v>
      </c>
      <c r="R250" s="3">
        <v>0</v>
      </c>
      <c r="S250" s="3">
        <v>0</v>
      </c>
      <c r="T250" s="3">
        <v>42</v>
      </c>
      <c r="U250" s="3">
        <v>63</v>
      </c>
      <c r="V250" s="4">
        <f>IF(ISERROR(VLOOKUP($S$250,'TAR FIN'!$A$1:$O$86,15,0)),0,VLOOKUP($S$250,'TAR FIN'!$A$1:$O$86,15,0))</f>
        <v>0</v>
      </c>
      <c r="W250" s="4">
        <f>IF(ISERROR(VLOOKUP($T$250,'TAR FIN'!$A$1:$O$86,15,0)),0,VLOOKUP($T$250,'TAR FIN'!$A$1:$O$86,15,0))</f>
        <v>430.35</v>
      </c>
      <c r="X250" s="4">
        <f>IF(ISERROR(VLOOKUP($U$250,'TAR FIN'!$A$1:$O$86,15,0)),0,VLOOKUP($U$250,'TAR FIN'!$A$1:$O$86,15,0))</f>
        <v>186.16</v>
      </c>
      <c r="Y250" s="4"/>
      <c r="Z250" s="4">
        <f ca="1">('TUSD BE'!$AM$33+'TUSD BF'!$AM$33+'TUSD CVA'!$AM$33)*(1-CUSTOS!$M$38)</f>
        <v>536.63434130853489</v>
      </c>
      <c r="AA250" s="4">
        <f>('TE BE'!$AB$24+'TE BF'!$AB$24+'TE CVA'!$AB$24)*(1-CUSTOS!$M$38)</f>
        <v>184.7746360391113</v>
      </c>
      <c r="AB250" s="4">
        <f t="shared" si="14"/>
        <v>0</v>
      </c>
      <c r="AC250" s="4">
        <f>(L250-M250)*(W250+X250)+($W$110+$X$110-$W$250-$X$250)*(L250)</f>
        <v>-80.613539999999915</v>
      </c>
      <c r="AD250" s="4">
        <f t="shared" si="15"/>
        <v>0</v>
      </c>
      <c r="AE250" s="4">
        <f ca="1">(L250-M250)*(Z250+AA250)+($Z$110+$AA$110-$Z$250-$AA$250)*(L250)</f>
        <v>-44.159438889982525</v>
      </c>
      <c r="AF250" s="3" t="s">
        <v>589</v>
      </c>
    </row>
    <row r="251" spans="1:32" ht="11.25" customHeight="1" x14ac:dyDescent="0.25">
      <c r="A251" s="3" t="s">
        <v>28</v>
      </c>
      <c r="B251" s="3" t="s">
        <v>41</v>
      </c>
      <c r="C251" s="3" t="s">
        <v>23</v>
      </c>
      <c r="D251" s="3" t="s">
        <v>42</v>
      </c>
      <c r="E251" s="3" t="s">
        <v>25</v>
      </c>
      <c r="F251" s="3" t="s">
        <v>25</v>
      </c>
      <c r="G251" s="3" t="s">
        <v>25</v>
      </c>
      <c r="H251" s="3" t="s">
        <v>25</v>
      </c>
      <c r="I251" s="6">
        <v>44621</v>
      </c>
      <c r="J251" s="4">
        <v>0</v>
      </c>
      <c r="K251" s="4">
        <v>0</v>
      </c>
      <c r="L251" s="4">
        <v>123.34399999999999</v>
      </c>
      <c r="M251" s="4">
        <v>123.34399999999999</v>
      </c>
      <c r="N251" s="4">
        <v>123.34399999999999</v>
      </c>
      <c r="O251" s="4">
        <v>123.34399999999999</v>
      </c>
      <c r="P251" s="4">
        <v>154</v>
      </c>
      <c r="Q251" s="3" t="s">
        <v>26</v>
      </c>
      <c r="R251" s="3">
        <v>0</v>
      </c>
      <c r="S251" s="3">
        <v>0</v>
      </c>
      <c r="T251" s="3">
        <v>42</v>
      </c>
      <c r="U251" s="3">
        <v>63</v>
      </c>
      <c r="V251" s="4">
        <f>IF(ISERROR(VLOOKUP($S$251,'TAR FIN'!$A$1:$O$86,15,0)),0,VLOOKUP($S$251,'TAR FIN'!$A$1:$O$86,15,0))</f>
        <v>0</v>
      </c>
      <c r="W251" s="4">
        <f>IF(ISERROR(VLOOKUP($T$251,'TAR FIN'!$A$1:$O$86,15,0)),0,VLOOKUP($T$251,'TAR FIN'!$A$1:$O$86,15,0))</f>
        <v>430.35</v>
      </c>
      <c r="X251" s="4">
        <f>IF(ISERROR(VLOOKUP($U$251,'TAR FIN'!$A$1:$O$86,15,0)),0,VLOOKUP($U$251,'TAR FIN'!$A$1:$O$86,15,0))</f>
        <v>186.16</v>
      </c>
      <c r="Y251" s="4"/>
      <c r="Z251" s="4">
        <f ca="1">('TUSD BE'!$AM$33+'TUSD BF'!$AM$33+'TUSD CVA'!$AM$33)*(1-CUSTOS!$M$38)</f>
        <v>536.63434130853489</v>
      </c>
      <c r="AA251" s="4">
        <f>('TE BE'!$AB$24+'TE BF'!$AB$24+'TE CVA'!$AB$24)*(1-CUSTOS!$M$38)</f>
        <v>184.7746360391113</v>
      </c>
      <c r="AB251" s="4">
        <f t="shared" si="14"/>
        <v>0</v>
      </c>
      <c r="AC251" s="4">
        <f>(L251-M251)*(W251+X251)+($W$110+$X$110-$W$251-$X$251)*(L251)</f>
        <v>10368.29663999999</v>
      </c>
      <c r="AD251" s="4">
        <f t="shared" si="15"/>
        <v>0</v>
      </c>
      <c r="AE251" s="4">
        <f ca="1">(L251-M251)*(Z251+AA251)+($Z$110+$AA$110-$Z$251-$AA$251)*(L251)</f>
        <v>5679.6682277851978</v>
      </c>
      <c r="AF251" s="3" t="s">
        <v>589</v>
      </c>
    </row>
    <row r="252" spans="1:32" ht="11.25" customHeight="1" x14ac:dyDescent="0.25">
      <c r="A252" s="3" t="s">
        <v>21</v>
      </c>
      <c r="B252" s="3" t="s">
        <v>41</v>
      </c>
      <c r="C252" s="3" t="s">
        <v>23</v>
      </c>
      <c r="D252" s="3" t="s">
        <v>42</v>
      </c>
      <c r="E252" s="3" t="s">
        <v>25</v>
      </c>
      <c r="F252" s="3" t="s">
        <v>25</v>
      </c>
      <c r="G252" s="3" t="s">
        <v>25</v>
      </c>
      <c r="H252" s="3" t="s">
        <v>25</v>
      </c>
      <c r="I252" s="6">
        <v>44652</v>
      </c>
      <c r="J252" s="4">
        <v>0</v>
      </c>
      <c r="K252" s="4">
        <v>0</v>
      </c>
      <c r="L252" s="4">
        <v>1604.8910000000001</v>
      </c>
      <c r="M252" s="4">
        <v>1604.8910000000001</v>
      </c>
      <c r="N252" s="4">
        <v>1604.8910000000001</v>
      </c>
      <c r="O252" s="4">
        <v>1604.8910000000001</v>
      </c>
      <c r="P252" s="4">
        <v>4522</v>
      </c>
      <c r="Q252" s="3" t="s">
        <v>26</v>
      </c>
      <c r="R252" s="3">
        <v>0</v>
      </c>
      <c r="S252" s="3">
        <v>0</v>
      </c>
      <c r="T252" s="3">
        <v>42</v>
      </c>
      <c r="U252" s="3">
        <v>63</v>
      </c>
      <c r="V252" s="4">
        <f>IF(ISERROR(VLOOKUP($S$252,'TAR FIN'!$A$1:$O$86,15,0)),0,VLOOKUP($S$252,'TAR FIN'!$A$1:$O$86,15,0))</f>
        <v>0</v>
      </c>
      <c r="W252" s="4">
        <f>IF(ISERROR(VLOOKUP($T$252,'TAR FIN'!$A$1:$O$86,15,0)),0,VLOOKUP($T$252,'TAR FIN'!$A$1:$O$86,15,0))</f>
        <v>430.35</v>
      </c>
      <c r="X252" s="4">
        <f>IF(ISERROR(VLOOKUP($U$252,'TAR FIN'!$A$1:$O$86,15,0)),0,VLOOKUP($U$252,'TAR FIN'!$A$1:$O$86,15,0))</f>
        <v>186.16</v>
      </c>
      <c r="Y252" s="4"/>
      <c r="Z252" s="4">
        <f ca="1">('TUSD BE'!$AM$33+'TUSD BF'!$AM$33+'TUSD CVA'!$AM$33)*(1-CUSTOS!$M$38)</f>
        <v>536.63434130853489</v>
      </c>
      <c r="AA252" s="4">
        <f>('TE BE'!$AB$24+'TE BF'!$AB$24+'TE CVA'!$AB$24)*(1-CUSTOS!$M$38)</f>
        <v>184.7746360391113</v>
      </c>
      <c r="AB252" s="4">
        <f t="shared" si="14"/>
        <v>0</v>
      </c>
      <c r="AC252" s="4">
        <f>(L252-M252)*(W252+X252)+($W$110+$X$110-$W$252-$X$252)*(L252)</f>
        <v>134907.13745999988</v>
      </c>
      <c r="AD252" s="4">
        <f t="shared" si="15"/>
        <v>0</v>
      </c>
      <c r="AE252" s="4">
        <f ca="1">(L252-M252)*(Z252+AA252)+($Z$110+$AA$110-$Z$252-$AA$252)*(L252)</f>
        <v>73901.028195602659</v>
      </c>
      <c r="AF252" s="3" t="s">
        <v>589</v>
      </c>
    </row>
    <row r="253" spans="1:32" ht="11.25" customHeight="1" x14ac:dyDescent="0.25">
      <c r="A253" s="3" t="s">
        <v>27</v>
      </c>
      <c r="B253" s="3" t="s">
        <v>41</v>
      </c>
      <c r="C253" s="3" t="s">
        <v>23</v>
      </c>
      <c r="D253" s="3" t="s">
        <v>42</v>
      </c>
      <c r="E253" s="3" t="s">
        <v>25</v>
      </c>
      <c r="F253" s="3" t="s">
        <v>25</v>
      </c>
      <c r="G253" s="3" t="s">
        <v>25</v>
      </c>
      <c r="H253" s="3" t="s">
        <v>25</v>
      </c>
      <c r="I253" s="6">
        <v>44652</v>
      </c>
      <c r="J253" s="4">
        <v>0</v>
      </c>
      <c r="K253" s="4">
        <v>0</v>
      </c>
      <c r="L253" s="4">
        <v>-0.76500000000000001</v>
      </c>
      <c r="M253" s="4">
        <v>-0.76500000000000001</v>
      </c>
      <c r="N253" s="4">
        <v>-0.76500000000000001</v>
      </c>
      <c r="O253" s="4">
        <v>-0.76500000000000001</v>
      </c>
      <c r="P253" s="4">
        <v>0</v>
      </c>
      <c r="Q253" s="3" t="s">
        <v>26</v>
      </c>
      <c r="R253" s="3">
        <v>0</v>
      </c>
      <c r="S253" s="3">
        <v>0</v>
      </c>
      <c r="T253" s="3">
        <v>42</v>
      </c>
      <c r="U253" s="3">
        <v>63</v>
      </c>
      <c r="V253" s="4">
        <f>IF(ISERROR(VLOOKUP($S$253,'TAR FIN'!$A$1:$O$86,15,0)),0,VLOOKUP($S$253,'TAR FIN'!$A$1:$O$86,15,0))</f>
        <v>0</v>
      </c>
      <c r="W253" s="4">
        <f>IF(ISERROR(VLOOKUP($T$253,'TAR FIN'!$A$1:$O$86,15,0)),0,VLOOKUP($T$253,'TAR FIN'!$A$1:$O$86,15,0))</f>
        <v>430.35</v>
      </c>
      <c r="X253" s="4">
        <f>IF(ISERROR(VLOOKUP($U$253,'TAR FIN'!$A$1:$O$86,15,0)),0,VLOOKUP($U$253,'TAR FIN'!$A$1:$O$86,15,0))</f>
        <v>186.16</v>
      </c>
      <c r="Y253" s="4"/>
      <c r="Z253" s="4">
        <f ca="1">('TUSD BE'!$AM$33+'TUSD BF'!$AM$33+'TUSD CVA'!$AM$33)*(1-CUSTOS!$M$38)</f>
        <v>536.63434130853489</v>
      </c>
      <c r="AA253" s="4">
        <f>('TE BE'!$AB$24+'TE BF'!$AB$24+'TE CVA'!$AB$24)*(1-CUSTOS!$M$38)</f>
        <v>184.7746360391113</v>
      </c>
      <c r="AB253" s="4">
        <f t="shared" si="14"/>
        <v>0</v>
      </c>
      <c r="AC253" s="4">
        <f>(L253-M253)*(W253+X253)+($W$110+$X$110-$W$253-$X$253)*(L253)</f>
        <v>-64.305899999999937</v>
      </c>
      <c r="AD253" s="4">
        <f t="shared" si="15"/>
        <v>0</v>
      </c>
      <c r="AE253" s="4">
        <f ca="1">(L253-M253)*(Z253+AA253)+($Z$110+$AA$110-$Z$253-$AA$253)*(L253)</f>
        <v>-35.2262468726138</v>
      </c>
      <c r="AF253" s="3" t="s">
        <v>589</v>
      </c>
    </row>
    <row r="254" spans="1:32" ht="11.25" customHeight="1" x14ac:dyDescent="0.25">
      <c r="A254" s="3" t="s">
        <v>28</v>
      </c>
      <c r="B254" s="3" t="s">
        <v>41</v>
      </c>
      <c r="C254" s="3" t="s">
        <v>23</v>
      </c>
      <c r="D254" s="3" t="s">
        <v>42</v>
      </c>
      <c r="E254" s="3" t="s">
        <v>25</v>
      </c>
      <c r="F254" s="3" t="s">
        <v>25</v>
      </c>
      <c r="G254" s="3" t="s">
        <v>25</v>
      </c>
      <c r="H254" s="3" t="s">
        <v>25</v>
      </c>
      <c r="I254" s="6">
        <v>44652</v>
      </c>
      <c r="J254" s="4">
        <v>0</v>
      </c>
      <c r="K254" s="4">
        <v>0</v>
      </c>
      <c r="L254" s="4">
        <v>96.867999999999995</v>
      </c>
      <c r="M254" s="4">
        <v>96.867999999999995</v>
      </c>
      <c r="N254" s="4">
        <v>96.867999999999995</v>
      </c>
      <c r="O254" s="4">
        <v>96.867999999999995</v>
      </c>
      <c r="P254" s="4">
        <v>162</v>
      </c>
      <c r="Q254" s="3" t="s">
        <v>26</v>
      </c>
      <c r="R254" s="3">
        <v>0</v>
      </c>
      <c r="S254" s="3">
        <v>0</v>
      </c>
      <c r="T254" s="3">
        <v>42</v>
      </c>
      <c r="U254" s="3">
        <v>63</v>
      </c>
      <c r="V254" s="4">
        <f>IF(ISERROR(VLOOKUP($S$254,'TAR FIN'!$A$1:$O$86,15,0)),0,VLOOKUP($S$254,'TAR FIN'!$A$1:$O$86,15,0))</f>
        <v>0</v>
      </c>
      <c r="W254" s="4">
        <f>IF(ISERROR(VLOOKUP($T$254,'TAR FIN'!$A$1:$O$86,15,0)),0,VLOOKUP($T$254,'TAR FIN'!$A$1:$O$86,15,0))</f>
        <v>430.35</v>
      </c>
      <c r="X254" s="4">
        <f>IF(ISERROR(VLOOKUP($U$254,'TAR FIN'!$A$1:$O$86,15,0)),0,VLOOKUP($U$254,'TAR FIN'!$A$1:$O$86,15,0))</f>
        <v>186.16</v>
      </c>
      <c r="Y254" s="4"/>
      <c r="Z254" s="4">
        <f ca="1">('TUSD BE'!$AM$33+'TUSD BF'!$AM$33+'TUSD CVA'!$AM$33)*(1-CUSTOS!$M$38)</f>
        <v>536.63434130853489</v>
      </c>
      <c r="AA254" s="4">
        <f>('TE BE'!$AB$24+'TE BF'!$AB$24+'TE CVA'!$AB$24)*(1-CUSTOS!$M$38)</f>
        <v>184.7746360391113</v>
      </c>
      <c r="AB254" s="4">
        <f t="shared" si="14"/>
        <v>0</v>
      </c>
      <c r="AC254" s="4">
        <f>(L254-M254)*(W254+X254)+($W$110+$X$110-$W$254-$X$254)*(L254)</f>
        <v>8142.7240799999918</v>
      </c>
      <c r="AD254" s="4">
        <f t="shared" si="15"/>
        <v>0</v>
      </c>
      <c r="AE254" s="4">
        <f ca="1">(L254-M254)*(Z254+AA254)+($Z$110+$AA$110-$Z$254-$AA$254)*(L254)</f>
        <v>4460.5177543220307</v>
      </c>
      <c r="AF254" s="3" t="s">
        <v>589</v>
      </c>
    </row>
    <row r="255" spans="1:32" ht="11.25" customHeight="1" x14ac:dyDescent="0.25">
      <c r="A255" s="3" t="s">
        <v>21</v>
      </c>
      <c r="B255" s="3" t="s">
        <v>41</v>
      </c>
      <c r="C255" s="3" t="s">
        <v>23</v>
      </c>
      <c r="D255" s="3" t="s">
        <v>42</v>
      </c>
      <c r="E255" s="3" t="s">
        <v>25</v>
      </c>
      <c r="F255" s="3" t="s">
        <v>25</v>
      </c>
      <c r="G255" s="3" t="s">
        <v>25</v>
      </c>
      <c r="H255" s="3" t="s">
        <v>25</v>
      </c>
      <c r="I255" s="6">
        <v>44682</v>
      </c>
      <c r="J255" s="4">
        <v>0</v>
      </c>
      <c r="K255" s="4">
        <v>0</v>
      </c>
      <c r="L255" s="4">
        <v>1492.9159999999999</v>
      </c>
      <c r="M255" s="4">
        <v>1492.9159999999999</v>
      </c>
      <c r="N255" s="4">
        <v>1492.9159999999999</v>
      </c>
      <c r="O255" s="4">
        <v>1492.9159999999999</v>
      </c>
      <c r="P255" s="4">
        <v>4516</v>
      </c>
      <c r="Q255" s="3" t="s">
        <v>26</v>
      </c>
      <c r="R255" s="3">
        <v>0</v>
      </c>
      <c r="S255" s="3">
        <v>0</v>
      </c>
      <c r="T255" s="3">
        <v>42</v>
      </c>
      <c r="U255" s="3">
        <v>63</v>
      </c>
      <c r="V255" s="4">
        <f>IF(ISERROR(VLOOKUP($S$255,'TAR FIN'!$A$1:$O$86,15,0)),0,VLOOKUP($S$255,'TAR FIN'!$A$1:$O$86,15,0))</f>
        <v>0</v>
      </c>
      <c r="W255" s="4">
        <f>IF(ISERROR(VLOOKUP($T$255,'TAR FIN'!$A$1:$O$86,15,0)),0,VLOOKUP($T$255,'TAR FIN'!$A$1:$O$86,15,0))</f>
        <v>430.35</v>
      </c>
      <c r="X255" s="4">
        <f>IF(ISERROR(VLOOKUP($U$255,'TAR FIN'!$A$1:$O$86,15,0)),0,VLOOKUP($U$255,'TAR FIN'!$A$1:$O$86,15,0))</f>
        <v>186.16</v>
      </c>
      <c r="Y255" s="4"/>
      <c r="Z255" s="4">
        <f ca="1">('TUSD BE'!$AM$33+'TUSD BF'!$AM$33+'TUSD CVA'!$AM$33)*(1-CUSTOS!$M$38)</f>
        <v>536.63434130853489</v>
      </c>
      <c r="AA255" s="4">
        <f>('TE BE'!$AB$24+'TE BF'!$AB$24+'TE CVA'!$AB$24)*(1-CUSTOS!$M$38)</f>
        <v>184.7746360391113</v>
      </c>
      <c r="AB255" s="4">
        <f t="shared" si="14"/>
        <v>0</v>
      </c>
      <c r="AC255" s="4">
        <f>(L255-M255)*(W255+X255)+($W$110+$X$110-$W$255-$X$255)*(L255)</f>
        <v>125494.51895999987</v>
      </c>
      <c r="AD255" s="4">
        <f t="shared" si="15"/>
        <v>0</v>
      </c>
      <c r="AE255" s="4">
        <f ca="1">(L255-M255)*(Z255+AA255)+($Z$110+$AA$110-$Z$255-$AA$255)*(L255)</f>
        <v>68744.872648464181</v>
      </c>
      <c r="AF255" s="3" t="s">
        <v>589</v>
      </c>
    </row>
    <row r="256" spans="1:32" ht="11.25" customHeight="1" x14ac:dyDescent="0.25">
      <c r="A256" s="3" t="s">
        <v>27</v>
      </c>
      <c r="B256" s="3" t="s">
        <v>41</v>
      </c>
      <c r="C256" s="3" t="s">
        <v>23</v>
      </c>
      <c r="D256" s="3" t="s">
        <v>42</v>
      </c>
      <c r="E256" s="3" t="s">
        <v>25</v>
      </c>
      <c r="F256" s="3" t="s">
        <v>25</v>
      </c>
      <c r="G256" s="3" t="s">
        <v>25</v>
      </c>
      <c r="H256" s="3" t="s">
        <v>25</v>
      </c>
      <c r="I256" s="6">
        <v>44682</v>
      </c>
      <c r="J256" s="4">
        <v>0</v>
      </c>
      <c r="K256" s="4">
        <v>0</v>
      </c>
      <c r="L256" s="4">
        <v>-6.3559999999999999</v>
      </c>
      <c r="M256" s="4">
        <v>-6.3559999999999999</v>
      </c>
      <c r="N256" s="4">
        <v>-6.3559999999999999</v>
      </c>
      <c r="O256" s="4">
        <v>-6.3559999999999999</v>
      </c>
      <c r="P256" s="4">
        <v>0</v>
      </c>
      <c r="Q256" s="3" t="s">
        <v>26</v>
      </c>
      <c r="R256" s="3">
        <v>0</v>
      </c>
      <c r="S256" s="3">
        <v>0</v>
      </c>
      <c r="T256" s="3">
        <v>42</v>
      </c>
      <c r="U256" s="3">
        <v>63</v>
      </c>
      <c r="V256" s="4">
        <f>IF(ISERROR(VLOOKUP($S$256,'TAR FIN'!$A$1:$O$86,15,0)),0,VLOOKUP($S$256,'TAR FIN'!$A$1:$O$86,15,0))</f>
        <v>0</v>
      </c>
      <c r="W256" s="4">
        <f>IF(ISERROR(VLOOKUP($T$256,'TAR FIN'!$A$1:$O$86,15,0)),0,VLOOKUP($T$256,'TAR FIN'!$A$1:$O$86,15,0))</f>
        <v>430.35</v>
      </c>
      <c r="X256" s="4">
        <f>IF(ISERROR(VLOOKUP($U$256,'TAR FIN'!$A$1:$O$86,15,0)),0,VLOOKUP($U$256,'TAR FIN'!$A$1:$O$86,15,0))</f>
        <v>186.16</v>
      </c>
      <c r="Y256" s="4"/>
      <c r="Z256" s="4">
        <f ca="1">('TUSD BE'!$AM$33+'TUSD BF'!$AM$33+'TUSD CVA'!$AM$33)*(1-CUSTOS!$M$38)</f>
        <v>536.63434130853489</v>
      </c>
      <c r="AA256" s="4">
        <f>('TE BE'!$AB$24+'TE BF'!$AB$24+'TE CVA'!$AB$24)*(1-CUSTOS!$M$38)</f>
        <v>184.7746360391113</v>
      </c>
      <c r="AB256" s="4">
        <f t="shared" si="14"/>
        <v>0</v>
      </c>
      <c r="AC256" s="4">
        <f>(L256-M256)*(W256+X256)+($W$110+$X$110-$W$256-$X$256)*(L256)</f>
        <v>-534.28535999999951</v>
      </c>
      <c r="AD256" s="4">
        <f t="shared" si="15"/>
        <v>0</v>
      </c>
      <c r="AE256" s="4">
        <f ca="1">(L256-M256)*(Z256+AA256)+($Z$110+$AA$110-$Z$256-$AA$256)*(L256)</f>
        <v>-292.67715702265792</v>
      </c>
      <c r="AF256" s="3" t="s">
        <v>589</v>
      </c>
    </row>
    <row r="257" spans="1:32" ht="11.25" customHeight="1" x14ac:dyDescent="0.25">
      <c r="A257" s="3" t="s">
        <v>28</v>
      </c>
      <c r="B257" s="3" t="s">
        <v>41</v>
      </c>
      <c r="C257" s="3" t="s">
        <v>23</v>
      </c>
      <c r="D257" s="3" t="s">
        <v>42</v>
      </c>
      <c r="E257" s="3" t="s">
        <v>25</v>
      </c>
      <c r="F257" s="3" t="s">
        <v>25</v>
      </c>
      <c r="G257" s="3" t="s">
        <v>25</v>
      </c>
      <c r="H257" s="3" t="s">
        <v>25</v>
      </c>
      <c r="I257" s="6">
        <v>44682</v>
      </c>
      <c r="J257" s="4">
        <v>0</v>
      </c>
      <c r="K257" s="4">
        <v>0</v>
      </c>
      <c r="L257" s="4">
        <v>165.44300000000001</v>
      </c>
      <c r="M257" s="4">
        <v>165.44300000000001</v>
      </c>
      <c r="N257" s="4">
        <v>165.44300000000001</v>
      </c>
      <c r="O257" s="4">
        <v>165.44300000000001</v>
      </c>
      <c r="P257" s="4">
        <v>162</v>
      </c>
      <c r="Q257" s="3" t="s">
        <v>26</v>
      </c>
      <c r="R257" s="3">
        <v>0</v>
      </c>
      <c r="S257" s="3">
        <v>0</v>
      </c>
      <c r="T257" s="3">
        <v>42</v>
      </c>
      <c r="U257" s="3">
        <v>63</v>
      </c>
      <c r="V257" s="4">
        <f>IF(ISERROR(VLOOKUP($S$257,'TAR FIN'!$A$1:$O$86,15,0)),0,VLOOKUP($S$257,'TAR FIN'!$A$1:$O$86,15,0))</f>
        <v>0</v>
      </c>
      <c r="W257" s="4">
        <f>IF(ISERROR(VLOOKUP($T$257,'TAR FIN'!$A$1:$O$86,15,0)),0,VLOOKUP($T$257,'TAR FIN'!$A$1:$O$86,15,0))</f>
        <v>430.35</v>
      </c>
      <c r="X257" s="4">
        <f>IF(ISERROR(VLOOKUP($U$257,'TAR FIN'!$A$1:$O$86,15,0)),0,VLOOKUP($U$257,'TAR FIN'!$A$1:$O$86,15,0))</f>
        <v>186.16</v>
      </c>
      <c r="Y257" s="4"/>
      <c r="Z257" s="4">
        <f ca="1">('TUSD BE'!$AM$33+'TUSD BF'!$AM$33+'TUSD CVA'!$AM$33)*(1-CUSTOS!$M$38)</f>
        <v>536.63434130853489</v>
      </c>
      <c r="AA257" s="4">
        <f>('TE BE'!$AB$24+'TE BF'!$AB$24+'TE CVA'!$AB$24)*(1-CUSTOS!$M$38)</f>
        <v>184.7746360391113</v>
      </c>
      <c r="AB257" s="4">
        <f t="shared" si="14"/>
        <v>0</v>
      </c>
      <c r="AC257" s="4">
        <f>(L257-M257)*(W257+X257)+($W$110+$X$110-$W$257-$X$257)*(L257)</f>
        <v>13907.138579999988</v>
      </c>
      <c r="AD257" s="4">
        <f t="shared" si="15"/>
        <v>0</v>
      </c>
      <c r="AE257" s="4">
        <f ca="1">(L257-M257)*(Z257+AA257)+($Z$110+$AA$110-$Z$257-$AA$257)*(L257)</f>
        <v>7618.2169429357455</v>
      </c>
      <c r="AF257" s="3" t="s">
        <v>589</v>
      </c>
    </row>
    <row r="258" spans="1:32" ht="11.25" customHeight="1" x14ac:dyDescent="0.25">
      <c r="A258" s="3" t="s">
        <v>21</v>
      </c>
      <c r="B258" s="3" t="s">
        <v>41</v>
      </c>
      <c r="C258" s="3" t="s">
        <v>23</v>
      </c>
      <c r="D258" s="3" t="s">
        <v>42</v>
      </c>
      <c r="E258" s="3" t="s">
        <v>25</v>
      </c>
      <c r="F258" s="3" t="s">
        <v>25</v>
      </c>
      <c r="G258" s="3" t="s">
        <v>25</v>
      </c>
      <c r="H258" s="3" t="s">
        <v>25</v>
      </c>
      <c r="I258" s="6">
        <v>44713</v>
      </c>
      <c r="J258" s="4">
        <v>0</v>
      </c>
      <c r="K258" s="4">
        <v>0</v>
      </c>
      <c r="L258" s="4">
        <v>1487.491</v>
      </c>
      <c r="M258" s="4">
        <v>1487.491</v>
      </c>
      <c r="N258" s="4">
        <v>1487.491</v>
      </c>
      <c r="O258" s="4">
        <v>1487.491</v>
      </c>
      <c r="P258" s="4">
        <v>4523</v>
      </c>
      <c r="Q258" s="3" t="s">
        <v>26</v>
      </c>
      <c r="R258" s="3">
        <v>0</v>
      </c>
      <c r="S258" s="3">
        <v>0</v>
      </c>
      <c r="T258" s="3">
        <v>42</v>
      </c>
      <c r="U258" s="3">
        <v>63</v>
      </c>
      <c r="V258" s="4">
        <f>IF(ISERROR(VLOOKUP($S$258,'TAR FIN'!$A$1:$O$86,15,0)),0,VLOOKUP($S$258,'TAR FIN'!$A$1:$O$86,15,0))</f>
        <v>0</v>
      </c>
      <c r="W258" s="4">
        <f>IF(ISERROR(VLOOKUP($T$258,'TAR FIN'!$A$1:$O$86,15,0)),0,VLOOKUP($T$258,'TAR FIN'!$A$1:$O$86,15,0))</f>
        <v>430.35</v>
      </c>
      <c r="X258" s="4">
        <f>IF(ISERROR(VLOOKUP($U$258,'TAR FIN'!$A$1:$O$86,15,0)),0,VLOOKUP($U$258,'TAR FIN'!$A$1:$O$86,15,0))</f>
        <v>186.16</v>
      </c>
      <c r="Y258" s="4"/>
      <c r="Z258" s="4">
        <f ca="1">('TUSD BE'!$AM$33+'TUSD BF'!$AM$33+'TUSD CVA'!$AM$33)*(1-CUSTOS!$M$38)</f>
        <v>536.63434130853489</v>
      </c>
      <c r="AA258" s="4">
        <f>('TE BE'!$AB$24+'TE BF'!$AB$24+'TE CVA'!$AB$24)*(1-CUSTOS!$M$38)</f>
        <v>184.7746360391113</v>
      </c>
      <c r="AB258" s="4">
        <f t="shared" ref="AB258:AB260" si="16">(J258-K258)*V258</f>
        <v>0</v>
      </c>
      <c r="AC258" s="4">
        <f>(L258-M258)*(W258+X258)+($W$110+$X$110-$W$258-$X$258)*(L258)</f>
        <v>125038.49345999988</v>
      </c>
      <c r="AD258" s="4">
        <f t="shared" ref="AD258:AD260" si="17">(J258-K258)*Y258</f>
        <v>0</v>
      </c>
      <c r="AE258" s="4">
        <f ca="1">(L258-M258)*(Z258+AA258)+($Z$110+$AA$110-$Z$258-$AA$258)*(L258)</f>
        <v>68495.065603648589</v>
      </c>
      <c r="AF258" s="3" t="s">
        <v>589</v>
      </c>
    </row>
    <row r="259" spans="1:32" ht="11.25" customHeight="1" x14ac:dyDescent="0.25">
      <c r="A259" s="3" t="s">
        <v>27</v>
      </c>
      <c r="B259" s="3" t="s">
        <v>41</v>
      </c>
      <c r="C259" s="3" t="s">
        <v>23</v>
      </c>
      <c r="D259" s="3" t="s">
        <v>42</v>
      </c>
      <c r="E259" s="3" t="s">
        <v>25</v>
      </c>
      <c r="F259" s="3" t="s">
        <v>25</v>
      </c>
      <c r="G259" s="3" t="s">
        <v>25</v>
      </c>
      <c r="H259" s="3" t="s">
        <v>25</v>
      </c>
      <c r="I259" s="6">
        <v>44713</v>
      </c>
      <c r="J259" s="4">
        <v>0</v>
      </c>
      <c r="K259" s="4">
        <v>0</v>
      </c>
      <c r="L259" s="4">
        <v>-0.40400000000000003</v>
      </c>
      <c r="M259" s="4">
        <v>-0.40400000000000003</v>
      </c>
      <c r="N259" s="4">
        <v>-0.40400000000000003</v>
      </c>
      <c r="O259" s="4">
        <v>-0.40400000000000003</v>
      </c>
      <c r="P259" s="4">
        <v>0</v>
      </c>
      <c r="Q259" s="3" t="s">
        <v>26</v>
      </c>
      <c r="R259" s="3">
        <v>0</v>
      </c>
      <c r="S259" s="3">
        <v>0</v>
      </c>
      <c r="T259" s="3">
        <v>42</v>
      </c>
      <c r="U259" s="3">
        <v>63</v>
      </c>
      <c r="V259" s="4">
        <f>IF(ISERROR(VLOOKUP($S$259,'TAR FIN'!$A$1:$O$86,15,0)),0,VLOOKUP($S$259,'TAR FIN'!$A$1:$O$86,15,0))</f>
        <v>0</v>
      </c>
      <c r="W259" s="4">
        <f>IF(ISERROR(VLOOKUP($T$259,'TAR FIN'!$A$1:$O$86,15,0)),0,VLOOKUP($T$259,'TAR FIN'!$A$1:$O$86,15,0))</f>
        <v>430.35</v>
      </c>
      <c r="X259" s="4">
        <f>IF(ISERROR(VLOOKUP($U$259,'TAR FIN'!$A$1:$O$86,15,0)),0,VLOOKUP($U$259,'TAR FIN'!$A$1:$O$86,15,0))</f>
        <v>186.16</v>
      </c>
      <c r="Y259" s="4"/>
      <c r="Z259" s="4">
        <f ca="1">('TUSD BE'!$AM$33+'TUSD BF'!$AM$33+'TUSD CVA'!$AM$33)*(1-CUSTOS!$M$38)</f>
        <v>536.63434130853489</v>
      </c>
      <c r="AA259" s="4">
        <f>('TE BE'!$AB$24+'TE BF'!$AB$24+'TE CVA'!$AB$24)*(1-CUSTOS!$M$38)</f>
        <v>184.7746360391113</v>
      </c>
      <c r="AB259" s="4">
        <f t="shared" si="16"/>
        <v>0</v>
      </c>
      <c r="AC259" s="4">
        <f>(L259-M259)*(W259+X259)+($W$110+$X$110-$W$259-$X$259)*(L259)</f>
        <v>-33.96023999999997</v>
      </c>
      <c r="AD259" s="4">
        <f t="shared" si="17"/>
        <v>0</v>
      </c>
      <c r="AE259" s="4">
        <f ca="1">(L259-M259)*(Z259+AA259)+($Z$110+$AA$110-$Z$259-$AA$259)*(L259)</f>
        <v>-18.603142139262715</v>
      </c>
      <c r="AF259" s="3" t="s">
        <v>589</v>
      </c>
    </row>
    <row r="260" spans="1:32" ht="11.25" customHeight="1" x14ac:dyDescent="0.25">
      <c r="A260" s="3" t="s">
        <v>28</v>
      </c>
      <c r="B260" s="3" t="s">
        <v>41</v>
      </c>
      <c r="C260" s="3" t="s">
        <v>23</v>
      </c>
      <c r="D260" s="3" t="s">
        <v>42</v>
      </c>
      <c r="E260" s="3" t="s">
        <v>25</v>
      </c>
      <c r="F260" s="3" t="s">
        <v>25</v>
      </c>
      <c r="G260" s="3" t="s">
        <v>25</v>
      </c>
      <c r="H260" s="3" t="s">
        <v>25</v>
      </c>
      <c r="I260" s="6">
        <v>44713</v>
      </c>
      <c r="J260" s="4">
        <v>0</v>
      </c>
      <c r="K260" s="4">
        <v>0</v>
      </c>
      <c r="L260" s="4">
        <v>217.73599999999999</v>
      </c>
      <c r="M260" s="4">
        <v>217.73599999999999</v>
      </c>
      <c r="N260" s="4">
        <v>217.73599999999999</v>
      </c>
      <c r="O260" s="4">
        <v>217.73599999999999</v>
      </c>
      <c r="P260" s="4">
        <v>160</v>
      </c>
      <c r="Q260" s="3" t="s">
        <v>26</v>
      </c>
      <c r="R260" s="3">
        <v>0</v>
      </c>
      <c r="S260" s="3">
        <v>0</v>
      </c>
      <c r="T260" s="3">
        <v>42</v>
      </c>
      <c r="U260" s="3">
        <v>63</v>
      </c>
      <c r="V260" s="4">
        <f>IF(ISERROR(VLOOKUP($S$260,'TAR FIN'!$A$1:$O$86,15,0)),0,VLOOKUP($S$260,'TAR FIN'!$A$1:$O$86,15,0))</f>
        <v>0</v>
      </c>
      <c r="W260" s="4">
        <f>IF(ISERROR(VLOOKUP($T$260,'TAR FIN'!$A$1:$O$86,15,0)),0,VLOOKUP($T$260,'TAR FIN'!$A$1:$O$86,15,0))</f>
        <v>430.35</v>
      </c>
      <c r="X260" s="4">
        <f>IF(ISERROR(VLOOKUP($U$260,'TAR FIN'!$A$1:$O$86,15,0)),0,VLOOKUP($U$260,'TAR FIN'!$A$1:$O$86,15,0))</f>
        <v>186.16</v>
      </c>
      <c r="Y260" s="4"/>
      <c r="Z260" s="4">
        <f ca="1">('TUSD BE'!$AM$33+'TUSD BF'!$AM$33+'TUSD CVA'!$AM$33)*(1-CUSTOS!$M$38)</f>
        <v>536.63434130853489</v>
      </c>
      <c r="AA260" s="4">
        <f>('TE BE'!$AB$24+'TE BF'!$AB$24+'TE CVA'!$AB$24)*(1-CUSTOS!$M$38)</f>
        <v>184.7746360391113</v>
      </c>
      <c r="AB260" s="4">
        <f t="shared" si="16"/>
        <v>0</v>
      </c>
      <c r="AC260" s="4">
        <f>(L260-M260)*(W260+X260)+($W$110+$X$110-$W$260-$X$260)*(L260)</f>
        <v>18302.88815999998</v>
      </c>
      <c r="AD260" s="4">
        <f t="shared" si="17"/>
        <v>0</v>
      </c>
      <c r="AE260" s="4">
        <f ca="1">(L260-M260)*(Z260+AA260)+($Z$110+$AA$110-$Z$260-$AA$260)*(L260)</f>
        <v>10026.172665431945</v>
      </c>
      <c r="AF260" s="3" t="s">
        <v>589</v>
      </c>
    </row>
    <row r="261" spans="1:32" ht="11.25" customHeight="1" x14ac:dyDescent="0.25">
      <c r="A261" s="3" t="s">
        <v>21</v>
      </c>
      <c r="B261" s="3" t="s">
        <v>33</v>
      </c>
      <c r="C261" s="3" t="s">
        <v>23</v>
      </c>
      <c r="D261" s="3" t="s">
        <v>47</v>
      </c>
      <c r="E261" s="3" t="s">
        <v>48</v>
      </c>
      <c r="F261" s="3" t="s">
        <v>25</v>
      </c>
      <c r="G261" s="3" t="s">
        <v>25</v>
      </c>
      <c r="H261" s="3" t="s">
        <v>25</v>
      </c>
      <c r="I261" s="6">
        <v>44378</v>
      </c>
      <c r="J261" s="4">
        <v>0</v>
      </c>
      <c r="K261" s="58">
        <v>0</v>
      </c>
      <c r="L261" s="4">
        <v>15.597</v>
      </c>
      <c r="M261" s="58">
        <v>15.597</v>
      </c>
      <c r="N261" s="4">
        <v>15.597</v>
      </c>
      <c r="O261" s="58">
        <v>15.597</v>
      </c>
      <c r="P261" s="4">
        <v>10</v>
      </c>
      <c r="Q261" s="3" t="s">
        <v>26</v>
      </c>
      <c r="R261" s="3">
        <v>0</v>
      </c>
      <c r="S261" s="3">
        <v>0</v>
      </c>
      <c r="T261" s="3">
        <v>35</v>
      </c>
      <c r="U261" s="3">
        <v>83</v>
      </c>
      <c r="V261" s="58">
        <f>IF(ISERROR(VLOOKUP($S$261,'TAR FIN'!$A$1:$O$86,15,0)),0,VLOOKUP($S$261,'TAR FIN'!$A$1:$O$86,15,0))</f>
        <v>0</v>
      </c>
      <c r="W261" s="58">
        <f>IF(ISERROR(VLOOKUP($T$261,'TAR FIN'!$A$1:$O$86,15,0)),0,VLOOKUP($T$261,'TAR FIN'!$A$1:$O$86,15,0))*(1-0.06)</f>
        <v>459.68819999999994</v>
      </c>
      <c r="X261" s="58">
        <f>IF(ISERROR(VLOOKUP($U$261,'TAR FIN'!$A$1:$O$86,15,0)),0,VLOOKUP($U$261,'TAR FIN'!$A$1:$O$86,15,0))*(1-0.06)</f>
        <v>198.84759999999997</v>
      </c>
      <c r="Y261" s="58"/>
      <c r="Z261" s="58">
        <f ca="1">('TUSD BE'!$AM$48+'TUSD BF'!$AM$48+'TUSD CVA'!$AM$48)*1*(1-0.03)</f>
        <v>553.76096922263707</v>
      </c>
      <c r="AA261" s="58">
        <f>('TE BE'!$AB$39+'TE BF'!$AB$39+'TE CVA'!$AB$39)*1*(1-0.03)</f>
        <v>190.67169889142335</v>
      </c>
      <c r="AB261" s="58">
        <f>(SUBSIDIO!$J$261*SUBSIDIO!$V$261)*(0.06)/(1-0.06)</f>
        <v>0</v>
      </c>
      <c r="AC261" s="58">
        <f>((SUBSIDIO!$L$261*SUBSIDIO!$W$261)+(SUBSIDIO!$N$261*SUBSIDIO!$X$261))*(0.06)/(1-0.06)</f>
        <v>655.60741739999992</v>
      </c>
      <c r="AD261" s="58">
        <f>(SUBSIDIO!$J$261*SUBSIDIO!$Y$261)*(0.03)/(1-0.03)</f>
        <v>0</v>
      </c>
      <c r="AE261" s="58">
        <f ca="1">((SUBSIDIO!$L$261*SUBSIDIO!$Z$261)+(SUBSIDIO!$N$261*SUBSIDIO!$AA$261))*(0.03)/(1-0.03)</f>
        <v>359.10050488376282</v>
      </c>
      <c r="AF261" s="3" t="s">
        <v>592</v>
      </c>
    </row>
    <row r="262" spans="1:32" ht="11.25" customHeight="1" x14ac:dyDescent="0.25">
      <c r="A262" s="3" t="s">
        <v>21</v>
      </c>
      <c r="B262" s="3" t="s">
        <v>33</v>
      </c>
      <c r="C262" s="3" t="s">
        <v>23</v>
      </c>
      <c r="D262" s="3" t="s">
        <v>47</v>
      </c>
      <c r="E262" s="3" t="s">
        <v>48</v>
      </c>
      <c r="F262" s="3" t="s">
        <v>25</v>
      </c>
      <c r="G262" s="3" t="s">
        <v>25</v>
      </c>
      <c r="H262" s="3" t="s">
        <v>25</v>
      </c>
      <c r="I262" s="6">
        <v>44409</v>
      </c>
      <c r="J262" s="4">
        <v>0</v>
      </c>
      <c r="K262" s="58">
        <v>0</v>
      </c>
      <c r="L262" s="4">
        <v>21.338999999999999</v>
      </c>
      <c r="M262" s="58">
        <v>21.338999999999999</v>
      </c>
      <c r="N262" s="4">
        <v>21.338999999999999</v>
      </c>
      <c r="O262" s="58">
        <v>21.338999999999999</v>
      </c>
      <c r="P262" s="4">
        <v>11</v>
      </c>
      <c r="Q262" s="3" t="s">
        <v>26</v>
      </c>
      <c r="R262" s="3">
        <v>0</v>
      </c>
      <c r="S262" s="3">
        <v>0</v>
      </c>
      <c r="T262" s="3">
        <v>35</v>
      </c>
      <c r="U262" s="3">
        <v>83</v>
      </c>
      <c r="V262" s="58">
        <f>IF(ISERROR(VLOOKUP($S$262,'TAR FIN'!$A$1:$O$86,15,0)),0,VLOOKUP($S$262,'TAR FIN'!$A$1:$O$86,15,0))</f>
        <v>0</v>
      </c>
      <c r="W262" s="58">
        <f>IF(ISERROR(VLOOKUP($T$262,'TAR FIN'!$A$1:$O$86,15,0)),0,VLOOKUP($T$262,'TAR FIN'!$A$1:$O$86,15,0))*(1-0.06)</f>
        <v>459.68819999999994</v>
      </c>
      <c r="X262" s="58">
        <f>IF(ISERROR(VLOOKUP($U$262,'TAR FIN'!$A$1:$O$86,15,0)),0,VLOOKUP($U$262,'TAR FIN'!$A$1:$O$86,15,0))*(1-0.06)</f>
        <v>198.84759999999997</v>
      </c>
      <c r="Y262" s="58"/>
      <c r="Z262" s="58">
        <f ca="1">('TUSD BE'!$AM$48+'TUSD BF'!$AM$48+'TUSD CVA'!$AM$48)*1*(1-0.03)</f>
        <v>553.76096922263707</v>
      </c>
      <c r="AA262" s="58">
        <f>('TE BE'!$AB$39+'TE BF'!$AB$39+'TE CVA'!$AB$39)*1*(1-0.03)</f>
        <v>190.67169889142335</v>
      </c>
      <c r="AB262" s="58">
        <f>(SUBSIDIO!$J$262*SUBSIDIO!$V$262)*(0.06)/(1-0.06)</f>
        <v>0</v>
      </c>
      <c r="AC262" s="58">
        <f>((SUBSIDIO!$L$262*SUBSIDIO!$W$262)+(SUBSIDIO!$N$262*SUBSIDIO!$X$262))*(0.06)/(1-0.06)</f>
        <v>896.96779379999987</v>
      </c>
      <c r="AD262" s="58">
        <f>(SUBSIDIO!$J$262*SUBSIDIO!$Y$262)*(0.03)/(1-0.03)</f>
        <v>0</v>
      </c>
      <c r="AE262" s="58">
        <f ca="1">((SUBSIDIO!$L$262*SUBSIDIO!$Z$262)+(SUBSIDIO!$N$262*SUBSIDIO!$AA$262))*(0.03)/(1-0.03)</f>
        <v>491.30253726451349</v>
      </c>
      <c r="AF262" s="3" t="s">
        <v>592</v>
      </c>
    </row>
    <row r="263" spans="1:32" ht="11.25" customHeight="1" x14ac:dyDescent="0.25">
      <c r="A263" s="3" t="s">
        <v>21</v>
      </c>
      <c r="B263" s="3" t="s">
        <v>33</v>
      </c>
      <c r="C263" s="3" t="s">
        <v>23</v>
      </c>
      <c r="D263" s="3" t="s">
        <v>47</v>
      </c>
      <c r="E263" s="3" t="s">
        <v>48</v>
      </c>
      <c r="F263" s="3" t="s">
        <v>25</v>
      </c>
      <c r="G263" s="3" t="s">
        <v>25</v>
      </c>
      <c r="H263" s="3" t="s">
        <v>25</v>
      </c>
      <c r="I263" s="6">
        <v>44440</v>
      </c>
      <c r="J263" s="4">
        <v>0</v>
      </c>
      <c r="K263" s="58">
        <v>0</v>
      </c>
      <c r="L263" s="4">
        <v>21.638000000000002</v>
      </c>
      <c r="M263" s="58">
        <v>21.638000000000002</v>
      </c>
      <c r="N263" s="4">
        <v>21.638000000000002</v>
      </c>
      <c r="O263" s="58">
        <v>21.638000000000002</v>
      </c>
      <c r="P263" s="4">
        <v>11</v>
      </c>
      <c r="Q263" s="3" t="s">
        <v>26</v>
      </c>
      <c r="R263" s="3">
        <v>0</v>
      </c>
      <c r="S263" s="3">
        <v>0</v>
      </c>
      <c r="T263" s="3">
        <v>35</v>
      </c>
      <c r="U263" s="3">
        <v>83</v>
      </c>
      <c r="V263" s="58">
        <f>IF(ISERROR(VLOOKUP($S$263,'TAR FIN'!$A$1:$O$86,15,0)),0,VLOOKUP($S$263,'TAR FIN'!$A$1:$O$86,15,0))</f>
        <v>0</v>
      </c>
      <c r="W263" s="58">
        <f>IF(ISERROR(VLOOKUP($T$263,'TAR FIN'!$A$1:$O$86,15,0)),0,VLOOKUP($T$263,'TAR FIN'!$A$1:$O$86,15,0))*(1-0.06)</f>
        <v>459.68819999999994</v>
      </c>
      <c r="X263" s="58">
        <f>IF(ISERROR(VLOOKUP($U$263,'TAR FIN'!$A$1:$O$86,15,0)),0,VLOOKUP($U$263,'TAR FIN'!$A$1:$O$86,15,0))*(1-0.06)</f>
        <v>198.84759999999997</v>
      </c>
      <c r="Y263" s="58"/>
      <c r="Z263" s="58">
        <f ca="1">('TUSD BE'!$AM$48+'TUSD BF'!$AM$48+'TUSD CVA'!$AM$48)*1*(1-0.03)</f>
        <v>553.76096922263707</v>
      </c>
      <c r="AA263" s="58">
        <f>('TE BE'!$AB$39+'TE BF'!$AB$39+'TE CVA'!$AB$39)*1*(1-0.03)</f>
        <v>190.67169889142335</v>
      </c>
      <c r="AB263" s="58">
        <f>(SUBSIDIO!$J$263*SUBSIDIO!$V$263)*(0.06)/(1-0.06)</f>
        <v>0</v>
      </c>
      <c r="AC263" s="58">
        <f>((SUBSIDIO!$L$263*SUBSIDIO!$W$263)+(SUBSIDIO!$N$263*SUBSIDIO!$X$263))*(0.06)/(1-0.06)</f>
        <v>909.53601959999992</v>
      </c>
      <c r="AD263" s="58">
        <f>(SUBSIDIO!$J$263*SUBSIDIO!$Y$263)*(0.03)/(1-0.03)</f>
        <v>0</v>
      </c>
      <c r="AE263" s="58">
        <f ca="1">((SUBSIDIO!$L$263*SUBSIDIO!$Z$263)+(SUBSIDIO!$N$263*SUBSIDIO!$AA$263))*(0.03)/(1-0.03)</f>
        <v>498.18662080367136</v>
      </c>
      <c r="AF263" s="3" t="s">
        <v>592</v>
      </c>
    </row>
    <row r="264" spans="1:32" ht="11.25" customHeight="1" x14ac:dyDescent="0.25">
      <c r="A264" s="3" t="s">
        <v>21</v>
      </c>
      <c r="B264" s="3" t="s">
        <v>33</v>
      </c>
      <c r="C264" s="3" t="s">
        <v>23</v>
      </c>
      <c r="D264" s="3" t="s">
        <v>47</v>
      </c>
      <c r="E264" s="3" t="s">
        <v>48</v>
      </c>
      <c r="F264" s="3" t="s">
        <v>25</v>
      </c>
      <c r="G264" s="3" t="s">
        <v>25</v>
      </c>
      <c r="H264" s="3" t="s">
        <v>25</v>
      </c>
      <c r="I264" s="6">
        <v>44470</v>
      </c>
      <c r="J264" s="4">
        <v>0</v>
      </c>
      <c r="K264" s="58">
        <v>0</v>
      </c>
      <c r="L264" s="4">
        <v>20.704000000000001</v>
      </c>
      <c r="M264" s="58">
        <v>20.704000000000001</v>
      </c>
      <c r="N264" s="4">
        <v>20.704000000000001</v>
      </c>
      <c r="O264" s="58">
        <v>20.704000000000001</v>
      </c>
      <c r="P264" s="4">
        <v>11</v>
      </c>
      <c r="Q264" s="3" t="s">
        <v>26</v>
      </c>
      <c r="R264" s="3">
        <v>0</v>
      </c>
      <c r="S264" s="3">
        <v>0</v>
      </c>
      <c r="T264" s="3">
        <v>35</v>
      </c>
      <c r="U264" s="3">
        <v>83</v>
      </c>
      <c r="V264" s="58">
        <f>IF(ISERROR(VLOOKUP($S$264,'TAR FIN'!$A$1:$O$86,15,0)),0,VLOOKUP($S$264,'TAR FIN'!$A$1:$O$86,15,0))</f>
        <v>0</v>
      </c>
      <c r="W264" s="58">
        <f>IF(ISERROR(VLOOKUP($T$264,'TAR FIN'!$A$1:$O$86,15,0)),0,VLOOKUP($T$264,'TAR FIN'!$A$1:$O$86,15,0))*(1-0.06)</f>
        <v>459.68819999999994</v>
      </c>
      <c r="X264" s="58">
        <f>IF(ISERROR(VLOOKUP($U$264,'TAR FIN'!$A$1:$O$86,15,0)),0,VLOOKUP($U$264,'TAR FIN'!$A$1:$O$86,15,0))*(1-0.06)</f>
        <v>198.84759999999997</v>
      </c>
      <c r="Y264" s="58"/>
      <c r="Z264" s="58">
        <f ca="1">('TUSD BE'!$AM$48+'TUSD BF'!$AM$48+'TUSD CVA'!$AM$48)*1*(1-0.03)</f>
        <v>553.76096922263707</v>
      </c>
      <c r="AA264" s="58">
        <f>('TE BE'!$AB$39+'TE BF'!$AB$39+'TE CVA'!$AB$39)*1*(1-0.03)</f>
        <v>190.67169889142335</v>
      </c>
      <c r="AB264" s="58">
        <f>(SUBSIDIO!$J$264*SUBSIDIO!$V$264)*(0.06)/(1-0.06)</f>
        <v>0</v>
      </c>
      <c r="AC264" s="58">
        <f>((SUBSIDIO!$L$264*SUBSIDIO!$W$264)+(SUBSIDIO!$N$264*SUBSIDIO!$X$264))*(0.06)/(1-0.06)</f>
        <v>870.27607679999983</v>
      </c>
      <c r="AD264" s="58">
        <f>(SUBSIDIO!$J$264*SUBSIDIO!$Y$264)*(0.03)/(1-0.03)</f>
        <v>0</v>
      </c>
      <c r="AE264" s="58">
        <f ca="1">((SUBSIDIO!$L$264*SUBSIDIO!$Z$264)+(SUBSIDIO!$N$264*SUBSIDIO!$AA$264))*(0.03)/(1-0.03)</f>
        <v>476.68249362784047</v>
      </c>
      <c r="AF264" s="3" t="s">
        <v>592</v>
      </c>
    </row>
    <row r="265" spans="1:32" ht="11.25" customHeight="1" x14ac:dyDescent="0.25">
      <c r="A265" s="3" t="s">
        <v>21</v>
      </c>
      <c r="B265" s="3" t="s">
        <v>33</v>
      </c>
      <c r="C265" s="3" t="s">
        <v>23</v>
      </c>
      <c r="D265" s="3" t="s">
        <v>47</v>
      </c>
      <c r="E265" s="3" t="s">
        <v>48</v>
      </c>
      <c r="F265" s="3" t="s">
        <v>25</v>
      </c>
      <c r="G265" s="3" t="s">
        <v>25</v>
      </c>
      <c r="H265" s="3" t="s">
        <v>25</v>
      </c>
      <c r="I265" s="6">
        <v>44501</v>
      </c>
      <c r="J265" s="4">
        <v>0</v>
      </c>
      <c r="K265" s="58">
        <v>0</v>
      </c>
      <c r="L265" s="4">
        <v>22.2</v>
      </c>
      <c r="M265" s="58">
        <v>22.2</v>
      </c>
      <c r="N265" s="4">
        <v>22.2</v>
      </c>
      <c r="O265" s="58">
        <v>22.2</v>
      </c>
      <c r="P265" s="4">
        <v>11</v>
      </c>
      <c r="Q265" s="3" t="s">
        <v>26</v>
      </c>
      <c r="R265" s="3">
        <v>0</v>
      </c>
      <c r="S265" s="3">
        <v>0</v>
      </c>
      <c r="T265" s="3">
        <v>35</v>
      </c>
      <c r="U265" s="3">
        <v>83</v>
      </c>
      <c r="V265" s="58">
        <f>IF(ISERROR(VLOOKUP($S$265,'TAR FIN'!$A$1:$O$86,15,0)),0,VLOOKUP($S$265,'TAR FIN'!$A$1:$O$86,15,0))</f>
        <v>0</v>
      </c>
      <c r="W265" s="58">
        <f>IF(ISERROR(VLOOKUP($T$265,'TAR FIN'!$A$1:$O$86,15,0)),0,VLOOKUP($T$265,'TAR FIN'!$A$1:$O$86,15,0))*(1-0.06)</f>
        <v>459.68819999999994</v>
      </c>
      <c r="X265" s="58">
        <f>IF(ISERROR(VLOOKUP($U$265,'TAR FIN'!$A$1:$O$86,15,0)),0,VLOOKUP($U$265,'TAR FIN'!$A$1:$O$86,15,0))*(1-0.06)</f>
        <v>198.84759999999997</v>
      </c>
      <c r="Y265" s="58"/>
      <c r="Z265" s="58">
        <f ca="1">('TUSD BE'!$AM$48+'TUSD BF'!$AM$48+'TUSD CVA'!$AM$48)*1*(1-0.03)</f>
        <v>553.76096922263707</v>
      </c>
      <c r="AA265" s="58">
        <f>('TE BE'!$AB$39+'TE BF'!$AB$39+'TE CVA'!$AB$39)*1*(1-0.03)</f>
        <v>190.67169889142335</v>
      </c>
      <c r="AB265" s="58">
        <f>(SUBSIDIO!$J$265*SUBSIDIO!$V$265)*(0.06)/(1-0.06)</f>
        <v>0</v>
      </c>
      <c r="AC265" s="58">
        <f>((SUBSIDIO!$L$265*SUBSIDIO!$W$265)+(SUBSIDIO!$N$265*SUBSIDIO!$X$265))*(0.06)/(1-0.06)</f>
        <v>933.15923999999995</v>
      </c>
      <c r="AD265" s="58">
        <f>(SUBSIDIO!$J$265*SUBSIDIO!$Y$265)*(0.03)/(1-0.03)</f>
        <v>0</v>
      </c>
      <c r="AE265" s="58">
        <f ca="1">((SUBSIDIO!$L$265*SUBSIDIO!$Z$265)+(SUBSIDIO!$N$265*SUBSIDIO!$AA$265))*(0.03)/(1-0.03)</f>
        <v>511.12593501439613</v>
      </c>
      <c r="AF265" s="3" t="s">
        <v>592</v>
      </c>
    </row>
    <row r="266" spans="1:32" ht="11.25" customHeight="1" x14ac:dyDescent="0.25">
      <c r="A266" s="3" t="s">
        <v>21</v>
      </c>
      <c r="B266" s="3" t="s">
        <v>33</v>
      </c>
      <c r="C266" s="3" t="s">
        <v>23</v>
      </c>
      <c r="D266" s="3" t="s">
        <v>47</v>
      </c>
      <c r="E266" s="3" t="s">
        <v>48</v>
      </c>
      <c r="F266" s="3" t="s">
        <v>25</v>
      </c>
      <c r="G266" s="3" t="s">
        <v>25</v>
      </c>
      <c r="H266" s="3" t="s">
        <v>25</v>
      </c>
      <c r="I266" s="6">
        <v>44531</v>
      </c>
      <c r="J266" s="4">
        <v>0</v>
      </c>
      <c r="K266" s="58">
        <v>0</v>
      </c>
      <c r="L266" s="4">
        <v>18.004999999999999</v>
      </c>
      <c r="M266" s="58">
        <v>18.004999999999999</v>
      </c>
      <c r="N266" s="4">
        <v>18.004999999999999</v>
      </c>
      <c r="O266" s="58">
        <v>18.004999999999999</v>
      </c>
      <c r="P266" s="4">
        <v>11</v>
      </c>
      <c r="Q266" s="3" t="s">
        <v>26</v>
      </c>
      <c r="R266" s="3">
        <v>0</v>
      </c>
      <c r="S266" s="3">
        <v>0</v>
      </c>
      <c r="T266" s="3">
        <v>35</v>
      </c>
      <c r="U266" s="3">
        <v>83</v>
      </c>
      <c r="V266" s="58">
        <f>IF(ISERROR(VLOOKUP($S$266,'TAR FIN'!$A$1:$O$86,15,0)),0,VLOOKUP($S$266,'TAR FIN'!$A$1:$O$86,15,0))</f>
        <v>0</v>
      </c>
      <c r="W266" s="58">
        <f>IF(ISERROR(VLOOKUP($T$266,'TAR FIN'!$A$1:$O$86,15,0)),0,VLOOKUP($T$266,'TAR FIN'!$A$1:$O$86,15,0))*(1-0.06)</f>
        <v>459.68819999999994</v>
      </c>
      <c r="X266" s="58">
        <f>IF(ISERROR(VLOOKUP($U$266,'TAR FIN'!$A$1:$O$86,15,0)),0,VLOOKUP($U$266,'TAR FIN'!$A$1:$O$86,15,0))*(1-0.06)</f>
        <v>198.84759999999997</v>
      </c>
      <c r="Y266" s="58"/>
      <c r="Z266" s="58">
        <f ca="1">('TUSD BE'!$AM$48+'TUSD BF'!$AM$48+'TUSD CVA'!$AM$48)*1*(1-0.03)</f>
        <v>553.76096922263707</v>
      </c>
      <c r="AA266" s="58">
        <f>('TE BE'!$AB$39+'TE BF'!$AB$39+'TE CVA'!$AB$39)*1*(1-0.03)</f>
        <v>190.67169889142335</v>
      </c>
      <c r="AB266" s="58">
        <f>(SUBSIDIO!$J$266*SUBSIDIO!$V$266)*(0.06)/(1-0.06)</f>
        <v>0</v>
      </c>
      <c r="AC266" s="58">
        <f>((SUBSIDIO!$L$266*SUBSIDIO!$W$266)+(SUBSIDIO!$N$266*SUBSIDIO!$X$266))*(0.06)/(1-0.06)</f>
        <v>756.82577100000003</v>
      </c>
      <c r="AD266" s="58">
        <f>(SUBSIDIO!$J$266*SUBSIDIO!$Y$266)*(0.03)/(1-0.03)</f>
        <v>0</v>
      </c>
      <c r="AE266" s="58">
        <f ca="1">((SUBSIDIO!$L$266*SUBSIDIO!$Z$266)+(SUBSIDIO!$N$266*SUBSIDIO!$AA$266))*(0.03)/(1-0.03)</f>
        <v>414.54155224928832</v>
      </c>
      <c r="AF266" s="3" t="s">
        <v>592</v>
      </c>
    </row>
    <row r="267" spans="1:32" ht="11.25" customHeight="1" x14ac:dyDescent="0.25">
      <c r="A267" s="3" t="s">
        <v>21</v>
      </c>
      <c r="B267" s="3" t="s">
        <v>33</v>
      </c>
      <c r="C267" s="3" t="s">
        <v>23</v>
      </c>
      <c r="D267" s="3" t="s">
        <v>47</v>
      </c>
      <c r="E267" s="3" t="s">
        <v>48</v>
      </c>
      <c r="F267" s="3" t="s">
        <v>25</v>
      </c>
      <c r="G267" s="3" t="s">
        <v>25</v>
      </c>
      <c r="H267" s="3" t="s">
        <v>25</v>
      </c>
      <c r="I267" s="6">
        <v>44562</v>
      </c>
      <c r="J267" s="4">
        <v>0</v>
      </c>
      <c r="K267" s="58">
        <v>0</v>
      </c>
      <c r="L267" s="4">
        <v>22.184000000000001</v>
      </c>
      <c r="M267" s="58">
        <v>22.184000000000001</v>
      </c>
      <c r="N267" s="4">
        <v>22.184000000000001</v>
      </c>
      <c r="O267" s="58">
        <v>22.184000000000001</v>
      </c>
      <c r="P267" s="4">
        <v>11</v>
      </c>
      <c r="Q267" s="3" t="s">
        <v>26</v>
      </c>
      <c r="R267" s="3">
        <v>0</v>
      </c>
      <c r="S267" s="3">
        <v>0</v>
      </c>
      <c r="T267" s="3">
        <v>35</v>
      </c>
      <c r="U267" s="3">
        <v>83</v>
      </c>
      <c r="V267" s="58">
        <f>IF(ISERROR(VLOOKUP($S$267,'TAR FIN'!$A$1:$O$86,15,0)),0,VLOOKUP($S$267,'TAR FIN'!$A$1:$O$86,15,0))</f>
        <v>0</v>
      </c>
      <c r="W267" s="58">
        <f>IF(ISERROR(VLOOKUP($T$267,'TAR FIN'!$A$1:$O$86,15,0)),0,VLOOKUP($T$267,'TAR FIN'!$A$1:$O$86,15,0))*(1-0.06)</f>
        <v>459.68819999999994</v>
      </c>
      <c r="X267" s="58">
        <f>IF(ISERROR(VLOOKUP($U$267,'TAR FIN'!$A$1:$O$86,15,0)),0,VLOOKUP($U$267,'TAR FIN'!$A$1:$O$86,15,0))*(1-0.06)</f>
        <v>198.84759999999997</v>
      </c>
      <c r="Y267" s="58"/>
      <c r="Z267" s="58">
        <f ca="1">('TUSD BE'!$AM$48+'TUSD BF'!$AM$48+'TUSD CVA'!$AM$48)*1*(1-0.03)</f>
        <v>553.76096922263707</v>
      </c>
      <c r="AA267" s="58">
        <f>('TE BE'!$AB$39+'TE BF'!$AB$39+'TE CVA'!$AB$39)*1*(1-0.03)</f>
        <v>190.67169889142335</v>
      </c>
      <c r="AB267" s="58">
        <f>(SUBSIDIO!$J$267*SUBSIDIO!$V$267)*(0.06)/(1-0.06)</f>
        <v>0</v>
      </c>
      <c r="AC267" s="58">
        <f>((SUBSIDIO!$L$267*SUBSIDIO!$W$267)+(SUBSIDIO!$N$267*SUBSIDIO!$X$267))*(0.06)/(1-0.06)</f>
        <v>932.4866927999999</v>
      </c>
      <c r="AD267" s="58">
        <f>(SUBSIDIO!$J$267*SUBSIDIO!$Y$267)*(0.03)/(1-0.03)</f>
        <v>0</v>
      </c>
      <c r="AE267" s="58">
        <f ca="1">((SUBSIDIO!$L$267*SUBSIDIO!$Z$267)+(SUBSIDIO!$N$267*SUBSIDIO!$AA$267))*(0.03)/(1-0.03)</f>
        <v>510.75755596213349</v>
      </c>
      <c r="AF267" s="3" t="s">
        <v>592</v>
      </c>
    </row>
    <row r="268" spans="1:32" ht="11.25" customHeight="1" x14ac:dyDescent="0.25">
      <c r="A268" s="3" t="s">
        <v>21</v>
      </c>
      <c r="B268" s="3" t="s">
        <v>33</v>
      </c>
      <c r="C268" s="3" t="s">
        <v>23</v>
      </c>
      <c r="D268" s="3" t="s">
        <v>47</v>
      </c>
      <c r="E268" s="3" t="s">
        <v>48</v>
      </c>
      <c r="F268" s="3" t="s">
        <v>25</v>
      </c>
      <c r="G268" s="3" t="s">
        <v>25</v>
      </c>
      <c r="H268" s="3" t="s">
        <v>25</v>
      </c>
      <c r="I268" s="6">
        <v>44593</v>
      </c>
      <c r="J268" s="4">
        <v>0</v>
      </c>
      <c r="K268" s="58">
        <v>0</v>
      </c>
      <c r="L268" s="4">
        <v>21.664000000000001</v>
      </c>
      <c r="M268" s="58">
        <v>21.664000000000001</v>
      </c>
      <c r="N268" s="4">
        <v>21.664000000000001</v>
      </c>
      <c r="O268" s="58">
        <v>21.664000000000001</v>
      </c>
      <c r="P268" s="4">
        <v>11</v>
      </c>
      <c r="Q268" s="3" t="s">
        <v>26</v>
      </c>
      <c r="R268" s="3">
        <v>0</v>
      </c>
      <c r="S268" s="3">
        <v>0</v>
      </c>
      <c r="T268" s="3">
        <v>35</v>
      </c>
      <c r="U268" s="3">
        <v>83</v>
      </c>
      <c r="V268" s="58">
        <f>IF(ISERROR(VLOOKUP($S$268,'TAR FIN'!$A$1:$O$86,15,0)),0,VLOOKUP($S$268,'TAR FIN'!$A$1:$O$86,15,0))</f>
        <v>0</v>
      </c>
      <c r="W268" s="58">
        <f>IF(ISERROR(VLOOKUP($T$268,'TAR FIN'!$A$1:$O$86,15,0)),0,VLOOKUP($T$268,'TAR FIN'!$A$1:$O$86,15,0))*(1-0.06)</f>
        <v>459.68819999999994</v>
      </c>
      <c r="X268" s="58">
        <f>IF(ISERROR(VLOOKUP($U$268,'TAR FIN'!$A$1:$O$86,15,0)),0,VLOOKUP($U$268,'TAR FIN'!$A$1:$O$86,15,0))*(1-0.06)</f>
        <v>198.84759999999997</v>
      </c>
      <c r="Y268" s="58"/>
      <c r="Z268" s="58">
        <f ca="1">('TUSD BE'!$AM$48+'TUSD BF'!$AM$48+'TUSD CVA'!$AM$48)*1*(1-0.03)</f>
        <v>553.76096922263707</v>
      </c>
      <c r="AA268" s="58">
        <f>('TE BE'!$AB$39+'TE BF'!$AB$39+'TE CVA'!$AB$39)*1*(1-0.03)</f>
        <v>190.67169889142335</v>
      </c>
      <c r="AB268" s="58">
        <f>(SUBSIDIO!$J$268*SUBSIDIO!$V$268)*(0.06)/(1-0.06)</f>
        <v>0</v>
      </c>
      <c r="AC268" s="58">
        <f>((SUBSIDIO!$L$268*SUBSIDIO!$W$268)+(SUBSIDIO!$N$268*SUBSIDIO!$X$268))*(0.06)/(1-0.06)</f>
        <v>910.62890879999986</v>
      </c>
      <c r="AD268" s="58">
        <f>(SUBSIDIO!$J$268*SUBSIDIO!$Y$268)*(0.03)/(1-0.03)</f>
        <v>0</v>
      </c>
      <c r="AE268" s="58">
        <f ca="1">((SUBSIDIO!$L$268*SUBSIDIO!$Z$268)+(SUBSIDIO!$N$268*SUBSIDIO!$AA$268))*(0.03)/(1-0.03)</f>
        <v>498.78523676359811</v>
      </c>
      <c r="AF268" s="3" t="s">
        <v>592</v>
      </c>
    </row>
    <row r="269" spans="1:32" ht="11.25" customHeight="1" x14ac:dyDescent="0.25">
      <c r="A269" s="3" t="s">
        <v>21</v>
      </c>
      <c r="B269" s="3" t="s">
        <v>33</v>
      </c>
      <c r="C269" s="3" t="s">
        <v>23</v>
      </c>
      <c r="D269" s="3" t="s">
        <v>47</v>
      </c>
      <c r="E269" s="3" t="s">
        <v>48</v>
      </c>
      <c r="F269" s="3" t="s">
        <v>25</v>
      </c>
      <c r="G269" s="3" t="s">
        <v>25</v>
      </c>
      <c r="H269" s="3" t="s">
        <v>25</v>
      </c>
      <c r="I269" s="6">
        <v>44621</v>
      </c>
      <c r="J269" s="4">
        <v>0</v>
      </c>
      <c r="K269" s="58">
        <v>0</v>
      </c>
      <c r="L269" s="4">
        <v>22.236999999999998</v>
      </c>
      <c r="M269" s="58">
        <v>22.236999999999998</v>
      </c>
      <c r="N269" s="4">
        <v>22.236999999999998</v>
      </c>
      <c r="O269" s="58">
        <v>22.236999999999998</v>
      </c>
      <c r="P269" s="4">
        <v>11</v>
      </c>
      <c r="Q269" s="3" t="s">
        <v>26</v>
      </c>
      <c r="R269" s="3">
        <v>0</v>
      </c>
      <c r="S269" s="3">
        <v>0</v>
      </c>
      <c r="T269" s="3">
        <v>35</v>
      </c>
      <c r="U269" s="3">
        <v>83</v>
      </c>
      <c r="V269" s="58">
        <f>IF(ISERROR(VLOOKUP($S$269,'TAR FIN'!$A$1:$O$86,15,0)),0,VLOOKUP($S$269,'TAR FIN'!$A$1:$O$86,15,0))</f>
        <v>0</v>
      </c>
      <c r="W269" s="58">
        <f>IF(ISERROR(VLOOKUP($T$269,'TAR FIN'!$A$1:$O$86,15,0)),0,VLOOKUP($T$269,'TAR FIN'!$A$1:$O$86,15,0))*(1-0.06)</f>
        <v>459.68819999999994</v>
      </c>
      <c r="X269" s="58">
        <f>IF(ISERROR(VLOOKUP($U$269,'TAR FIN'!$A$1:$O$86,15,0)),0,VLOOKUP($U$269,'TAR FIN'!$A$1:$O$86,15,0))*(1-0.06)</f>
        <v>198.84759999999997</v>
      </c>
      <c r="Y269" s="58"/>
      <c r="Z269" s="58">
        <f ca="1">('TUSD BE'!$AM$48+'TUSD BF'!$AM$48+'TUSD CVA'!$AM$48)*1*(1-0.03)</f>
        <v>553.76096922263707</v>
      </c>
      <c r="AA269" s="58">
        <f>('TE BE'!$AB$39+'TE BF'!$AB$39+'TE CVA'!$AB$39)*1*(1-0.03)</f>
        <v>190.67169889142335</v>
      </c>
      <c r="AB269" s="58">
        <f>(SUBSIDIO!$J$269*SUBSIDIO!$V$269)*(0.06)/(1-0.06)</f>
        <v>0</v>
      </c>
      <c r="AC269" s="58">
        <f>((SUBSIDIO!$L$269*SUBSIDIO!$W$269)+(SUBSIDIO!$N$269*SUBSIDIO!$X$269))*(0.06)/(1-0.06)</f>
        <v>934.71450539999989</v>
      </c>
      <c r="AD269" s="58">
        <f>(SUBSIDIO!$J$269*SUBSIDIO!$Y$269)*(0.03)/(1-0.03)</f>
        <v>0</v>
      </c>
      <c r="AE269" s="58">
        <f ca="1">((SUBSIDIO!$L$269*SUBSIDIO!$Z$269)+(SUBSIDIO!$N$269*SUBSIDIO!$AA$269))*(0.03)/(1-0.03)</f>
        <v>511.97781157275335</v>
      </c>
      <c r="AF269" s="3" t="s">
        <v>592</v>
      </c>
    </row>
    <row r="270" spans="1:32" ht="11.25" customHeight="1" x14ac:dyDescent="0.25">
      <c r="A270" s="3" t="s">
        <v>21</v>
      </c>
      <c r="B270" s="3" t="s">
        <v>33</v>
      </c>
      <c r="C270" s="3" t="s">
        <v>23</v>
      </c>
      <c r="D270" s="3" t="s">
        <v>47</v>
      </c>
      <c r="E270" s="3" t="s">
        <v>48</v>
      </c>
      <c r="F270" s="3" t="s">
        <v>25</v>
      </c>
      <c r="G270" s="3" t="s">
        <v>25</v>
      </c>
      <c r="H270" s="3" t="s">
        <v>25</v>
      </c>
      <c r="I270" s="6">
        <v>44652</v>
      </c>
      <c r="J270" s="4">
        <v>0</v>
      </c>
      <c r="K270" s="58">
        <v>0</v>
      </c>
      <c r="L270" s="4">
        <v>22.102</v>
      </c>
      <c r="M270" s="58">
        <v>22.102</v>
      </c>
      <c r="N270" s="4">
        <v>22.102</v>
      </c>
      <c r="O270" s="58">
        <v>22.102</v>
      </c>
      <c r="P270" s="4">
        <v>11</v>
      </c>
      <c r="Q270" s="3" t="s">
        <v>26</v>
      </c>
      <c r="R270" s="3">
        <v>0</v>
      </c>
      <c r="S270" s="3">
        <v>0</v>
      </c>
      <c r="T270" s="3">
        <v>35</v>
      </c>
      <c r="U270" s="3">
        <v>83</v>
      </c>
      <c r="V270" s="58">
        <f>IF(ISERROR(VLOOKUP($S$270,'TAR FIN'!$A$1:$O$86,15,0)),0,VLOOKUP($S$270,'TAR FIN'!$A$1:$O$86,15,0))</f>
        <v>0</v>
      </c>
      <c r="W270" s="58">
        <f>IF(ISERROR(VLOOKUP($T$270,'TAR FIN'!$A$1:$O$86,15,0)),0,VLOOKUP($T$270,'TAR FIN'!$A$1:$O$86,15,0))*(1-0.06)</f>
        <v>459.68819999999994</v>
      </c>
      <c r="X270" s="58">
        <f>IF(ISERROR(VLOOKUP($U$270,'TAR FIN'!$A$1:$O$86,15,0)),0,VLOOKUP($U$270,'TAR FIN'!$A$1:$O$86,15,0))*(1-0.06)</f>
        <v>198.84759999999997</v>
      </c>
      <c r="Y270" s="58"/>
      <c r="Z270" s="58">
        <f ca="1">('TUSD BE'!$AM$48+'TUSD BF'!$AM$48+'TUSD CVA'!$AM$48)*1*(1-0.03)</f>
        <v>553.76096922263707</v>
      </c>
      <c r="AA270" s="58">
        <f>('TE BE'!$AB$39+'TE BF'!$AB$39+'TE CVA'!$AB$39)*1*(1-0.03)</f>
        <v>190.67169889142335</v>
      </c>
      <c r="AB270" s="58">
        <f>(SUBSIDIO!$J$270*SUBSIDIO!$V$270)*(0.06)/(1-0.06)</f>
        <v>0</v>
      </c>
      <c r="AC270" s="58">
        <f>((SUBSIDIO!$L$270*SUBSIDIO!$W$270)+(SUBSIDIO!$N$270*SUBSIDIO!$X$270))*(0.06)/(1-0.06)</f>
        <v>929.0398884</v>
      </c>
      <c r="AD270" s="58">
        <f>(SUBSIDIO!$J$270*SUBSIDIO!$Y$270)*(0.03)/(1-0.03)</f>
        <v>0</v>
      </c>
      <c r="AE270" s="58">
        <f ca="1">((SUBSIDIO!$L$270*SUBSIDIO!$Z$270)+(SUBSIDIO!$N$270*SUBSIDIO!$AA$270))*(0.03)/(1-0.03)</f>
        <v>508.86961331928745</v>
      </c>
      <c r="AF270" s="3" t="s">
        <v>592</v>
      </c>
    </row>
    <row r="271" spans="1:32" ht="11.25" customHeight="1" x14ac:dyDescent="0.25">
      <c r="A271" s="3" t="s">
        <v>21</v>
      </c>
      <c r="B271" s="3" t="s">
        <v>33</v>
      </c>
      <c r="C271" s="3" t="s">
        <v>23</v>
      </c>
      <c r="D271" s="3" t="s">
        <v>47</v>
      </c>
      <c r="E271" s="3" t="s">
        <v>48</v>
      </c>
      <c r="F271" s="3" t="s">
        <v>25</v>
      </c>
      <c r="G271" s="3" t="s">
        <v>25</v>
      </c>
      <c r="H271" s="3" t="s">
        <v>25</v>
      </c>
      <c r="I271" s="6">
        <v>44682</v>
      </c>
      <c r="J271" s="4">
        <v>0</v>
      </c>
      <c r="K271" s="58">
        <v>0</v>
      </c>
      <c r="L271" s="4">
        <v>21.713000000000001</v>
      </c>
      <c r="M271" s="58">
        <v>21.713000000000001</v>
      </c>
      <c r="N271" s="4">
        <v>21.713000000000001</v>
      </c>
      <c r="O271" s="58">
        <v>21.713000000000001</v>
      </c>
      <c r="P271" s="4">
        <v>11</v>
      </c>
      <c r="Q271" s="3" t="s">
        <v>26</v>
      </c>
      <c r="R271" s="3">
        <v>0</v>
      </c>
      <c r="S271" s="3">
        <v>0</v>
      </c>
      <c r="T271" s="3">
        <v>35</v>
      </c>
      <c r="U271" s="3">
        <v>83</v>
      </c>
      <c r="V271" s="58">
        <f>IF(ISERROR(VLOOKUP($S$271,'TAR FIN'!$A$1:$O$86,15,0)),0,VLOOKUP($S$271,'TAR FIN'!$A$1:$O$86,15,0))</f>
        <v>0</v>
      </c>
      <c r="W271" s="58">
        <f>IF(ISERROR(VLOOKUP($T$271,'TAR FIN'!$A$1:$O$86,15,0)),0,VLOOKUP($T$271,'TAR FIN'!$A$1:$O$86,15,0))*(1-0.06)</f>
        <v>459.68819999999994</v>
      </c>
      <c r="X271" s="58">
        <f>IF(ISERROR(VLOOKUP($U$271,'TAR FIN'!$A$1:$O$86,15,0)),0,VLOOKUP($U$271,'TAR FIN'!$A$1:$O$86,15,0))*(1-0.06)</f>
        <v>198.84759999999997</v>
      </c>
      <c r="Y271" s="58"/>
      <c r="Z271" s="58">
        <f ca="1">('TUSD BE'!$AM$48+'TUSD BF'!$AM$48+'TUSD CVA'!$AM$48)*1*(1-0.03)</f>
        <v>553.76096922263707</v>
      </c>
      <c r="AA271" s="58">
        <f>('TE BE'!$AB$39+'TE BF'!$AB$39+'TE CVA'!$AB$39)*1*(1-0.03)</f>
        <v>190.67169889142335</v>
      </c>
      <c r="AB271" s="58">
        <f>(SUBSIDIO!$J$271*SUBSIDIO!$V$271)*(0.06)/(1-0.06)</f>
        <v>0</v>
      </c>
      <c r="AC271" s="58">
        <f>((SUBSIDIO!$L$271*SUBSIDIO!$W$271)+(SUBSIDIO!$N$271*SUBSIDIO!$X$271))*(0.06)/(1-0.06)</f>
        <v>912.68858460000001</v>
      </c>
      <c r="AD271" s="58">
        <f>(SUBSIDIO!$J$271*SUBSIDIO!$Y$271)*(0.03)/(1-0.03)</f>
        <v>0</v>
      </c>
      <c r="AE271" s="58">
        <f ca="1">((SUBSIDIO!$L$271*SUBSIDIO!$Z$271)+(SUBSIDIO!$N$271*SUBSIDIO!$AA$271))*(0.03)/(1-0.03)</f>
        <v>499.91339761115239</v>
      </c>
      <c r="AF271" s="3" t="s">
        <v>592</v>
      </c>
    </row>
    <row r="272" spans="1:32" ht="11.25" customHeight="1" x14ac:dyDescent="0.25">
      <c r="A272" s="3" t="s">
        <v>21</v>
      </c>
      <c r="B272" s="3" t="s">
        <v>33</v>
      </c>
      <c r="C272" s="3" t="s">
        <v>23</v>
      </c>
      <c r="D272" s="3" t="s">
        <v>47</v>
      </c>
      <c r="E272" s="3" t="s">
        <v>48</v>
      </c>
      <c r="F272" s="3" t="s">
        <v>25</v>
      </c>
      <c r="G272" s="3" t="s">
        <v>25</v>
      </c>
      <c r="H272" s="3" t="s">
        <v>25</v>
      </c>
      <c r="I272" s="6">
        <v>44713</v>
      </c>
      <c r="J272" s="4">
        <v>0</v>
      </c>
      <c r="K272" s="58">
        <v>0</v>
      </c>
      <c r="L272" s="4">
        <v>22.547000000000001</v>
      </c>
      <c r="M272" s="58">
        <v>22.547000000000001</v>
      </c>
      <c r="N272" s="4">
        <v>22.547000000000001</v>
      </c>
      <c r="O272" s="58">
        <v>22.547000000000001</v>
      </c>
      <c r="P272" s="4">
        <v>11</v>
      </c>
      <c r="Q272" s="3" t="s">
        <v>26</v>
      </c>
      <c r="R272" s="3">
        <v>0</v>
      </c>
      <c r="S272" s="3">
        <v>0</v>
      </c>
      <c r="T272" s="3">
        <v>35</v>
      </c>
      <c r="U272" s="3">
        <v>83</v>
      </c>
      <c r="V272" s="58">
        <f>IF(ISERROR(VLOOKUP($S$272,'TAR FIN'!$A$1:$O$86,15,0)),0,VLOOKUP($S$272,'TAR FIN'!$A$1:$O$86,15,0))</f>
        <v>0</v>
      </c>
      <c r="W272" s="58">
        <f>IF(ISERROR(VLOOKUP($T$272,'TAR FIN'!$A$1:$O$86,15,0)),0,VLOOKUP($T$272,'TAR FIN'!$A$1:$O$86,15,0))*(1-0.06)</f>
        <v>459.68819999999994</v>
      </c>
      <c r="X272" s="58">
        <f>IF(ISERROR(VLOOKUP($U$272,'TAR FIN'!$A$1:$O$86,15,0)),0,VLOOKUP($U$272,'TAR FIN'!$A$1:$O$86,15,0))*(1-0.06)</f>
        <v>198.84759999999997</v>
      </c>
      <c r="Y272" s="58"/>
      <c r="Z272" s="58">
        <f ca="1">('TUSD BE'!$AM$48+'TUSD BF'!$AM$48+'TUSD CVA'!$AM$48)*1*(1-0.03)</f>
        <v>553.76096922263707</v>
      </c>
      <c r="AA272" s="58">
        <f>('TE BE'!$AB$39+'TE BF'!$AB$39+'TE CVA'!$AB$39)*1*(1-0.03)</f>
        <v>190.67169889142335</v>
      </c>
      <c r="AB272" s="58">
        <f>(SUBSIDIO!$J$272*SUBSIDIO!$V$272)*(0.06)/(1-0.06)</f>
        <v>0</v>
      </c>
      <c r="AC272" s="58">
        <f>((SUBSIDIO!$L$272*SUBSIDIO!$W$272)+(SUBSIDIO!$N$272*SUBSIDIO!$X$272))*(0.06)/(1-0.06)</f>
        <v>947.74510739999982</v>
      </c>
      <c r="AD272" s="58">
        <f>(SUBSIDIO!$J$272*SUBSIDIO!$Y$272)*(0.03)/(1-0.03)</f>
        <v>0</v>
      </c>
      <c r="AE272" s="58">
        <f ca="1">((SUBSIDIO!$L$272*SUBSIDIO!$Z$272)+(SUBSIDIO!$N$272*SUBSIDIO!$AA$272))*(0.03)/(1-0.03)</f>
        <v>519.11515571034192</v>
      </c>
      <c r="AF272" s="3" t="s">
        <v>592</v>
      </c>
    </row>
    <row r="273" spans="22:31" ht="11.25" customHeight="1" x14ac:dyDescent="0.25"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22:31" ht="11.25" customHeight="1" x14ac:dyDescent="0.25"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22:31" ht="11.25" customHeight="1" x14ac:dyDescent="0.25"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22:31" ht="11.25" customHeight="1" x14ac:dyDescent="0.25"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22:31" ht="11.25" customHeight="1" x14ac:dyDescent="0.25"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22:31" ht="11.25" customHeight="1" x14ac:dyDescent="0.25"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22:31" ht="11.25" customHeight="1" x14ac:dyDescent="0.25"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22:31" ht="11.25" customHeight="1" x14ac:dyDescent="0.25"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22:31" ht="11.25" customHeight="1" x14ac:dyDescent="0.25"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22:31" ht="11.25" customHeight="1" x14ac:dyDescent="0.25"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22:31" ht="11.25" customHeight="1" x14ac:dyDescent="0.25"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22:31" ht="11.25" customHeight="1" x14ac:dyDescent="0.25"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22:31" ht="11.25" customHeight="1" x14ac:dyDescent="0.25"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22:31" ht="11.25" customHeight="1" x14ac:dyDescent="0.25"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22:31" ht="11.25" customHeight="1" x14ac:dyDescent="0.25"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22:31" ht="11.25" customHeight="1" x14ac:dyDescent="0.25"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22:31" ht="11.25" customHeight="1" x14ac:dyDescent="0.25"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22:31" ht="11.25" customHeight="1" x14ac:dyDescent="0.25"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22:31" ht="11.25" customHeight="1" x14ac:dyDescent="0.25"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22:31" ht="11.25" customHeight="1" x14ac:dyDescent="0.25"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22:31" ht="11.25" customHeight="1" x14ac:dyDescent="0.25"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22:31" ht="11.25" customHeight="1" x14ac:dyDescent="0.25"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22:31" ht="11.25" customHeight="1" x14ac:dyDescent="0.25"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22:31" ht="11.25" customHeight="1" x14ac:dyDescent="0.25"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22:31" ht="11.25" customHeight="1" x14ac:dyDescent="0.25"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22:31" ht="11.25" customHeight="1" x14ac:dyDescent="0.25"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22:31" ht="11.25" customHeight="1" x14ac:dyDescent="0.25"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22:31" ht="11.25" customHeight="1" x14ac:dyDescent="0.25"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22:31" ht="11.25" customHeight="1" x14ac:dyDescent="0.25"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22:31" ht="11.25" customHeight="1" x14ac:dyDescent="0.25"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22:31" ht="11.25" customHeight="1" x14ac:dyDescent="0.25"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22:31" ht="11.25" customHeight="1" x14ac:dyDescent="0.25"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22:31" ht="11.25" customHeight="1" x14ac:dyDescent="0.25"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22:31" ht="11.25" customHeight="1" x14ac:dyDescent="0.25"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22:31" ht="11.25" customHeight="1" x14ac:dyDescent="0.25"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22:31" ht="11.25" customHeight="1" x14ac:dyDescent="0.25"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22:31" ht="11.25" customHeight="1" x14ac:dyDescent="0.25"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22:31" ht="11.25" customHeight="1" x14ac:dyDescent="0.25"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22:31" ht="11.25" customHeight="1" x14ac:dyDescent="0.25"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22:31" ht="11.25" customHeight="1" x14ac:dyDescent="0.25"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22:31" ht="11.25" customHeight="1" x14ac:dyDescent="0.25"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22:31" ht="11.25" customHeight="1" x14ac:dyDescent="0.25"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22:31" ht="11.25" customHeight="1" x14ac:dyDescent="0.25"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22:31" ht="11.25" customHeight="1" x14ac:dyDescent="0.25"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22:31" ht="11.25" customHeight="1" x14ac:dyDescent="0.25"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22:31" ht="11.25" customHeight="1" x14ac:dyDescent="0.25"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22:31" ht="11.25" customHeight="1" x14ac:dyDescent="0.25"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22:31" ht="11.25" customHeight="1" x14ac:dyDescent="0.25"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22:31" ht="11.25" customHeight="1" x14ac:dyDescent="0.25"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22:31" ht="11.25" customHeight="1" x14ac:dyDescent="0.25"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22:31" ht="11.25" customHeight="1" x14ac:dyDescent="0.25"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22:31" ht="11.25" customHeight="1" x14ac:dyDescent="0.25"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22:31" ht="11.25" customHeight="1" x14ac:dyDescent="0.25"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22:31" ht="11.25" customHeight="1" x14ac:dyDescent="0.25"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22:31" ht="11.25" customHeight="1" x14ac:dyDescent="0.25"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22:31" ht="11.25" customHeight="1" x14ac:dyDescent="0.25"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22:31" ht="11.25" customHeight="1" x14ac:dyDescent="0.25"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22:31" ht="11.25" customHeight="1" x14ac:dyDescent="0.25"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22:31" ht="11.25" customHeight="1" x14ac:dyDescent="0.25"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22:31" ht="11.25" customHeight="1" x14ac:dyDescent="0.25"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22:31" ht="11.25" customHeight="1" x14ac:dyDescent="0.25"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22:31" ht="11.25" customHeight="1" x14ac:dyDescent="0.25"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22:31" ht="11.25" customHeight="1" x14ac:dyDescent="0.25"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22:31" ht="11.25" customHeight="1" x14ac:dyDescent="0.25"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22:31" ht="11.25" customHeight="1" x14ac:dyDescent="0.25"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22:31" ht="11.25" customHeight="1" x14ac:dyDescent="0.25"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22:31" ht="11.25" customHeight="1" x14ac:dyDescent="0.25"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22:31" ht="11.25" customHeight="1" x14ac:dyDescent="0.25"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22:31" ht="11.25" customHeight="1" x14ac:dyDescent="0.25"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22:31" ht="11.25" customHeight="1" x14ac:dyDescent="0.25"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22:31" ht="11.25" customHeight="1" x14ac:dyDescent="0.25"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22:31" ht="11.25" customHeight="1" x14ac:dyDescent="0.25"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22:31" ht="11.25" customHeight="1" x14ac:dyDescent="0.25"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22:31" ht="11.25" customHeight="1" x14ac:dyDescent="0.25"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22:31" ht="11.25" customHeight="1" x14ac:dyDescent="0.25"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22:31" ht="11.25" customHeight="1" x14ac:dyDescent="0.25"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22:31" ht="11.25" customHeight="1" x14ac:dyDescent="0.25"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22:31" ht="11.25" customHeight="1" x14ac:dyDescent="0.25"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22:31" ht="11.25" customHeight="1" x14ac:dyDescent="0.25"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22:31" ht="11.25" customHeight="1" x14ac:dyDescent="0.25"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22:31" ht="11.25" customHeight="1" x14ac:dyDescent="0.25"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22:31" ht="11.25" customHeight="1" x14ac:dyDescent="0.25"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22:31" ht="11.25" customHeight="1" x14ac:dyDescent="0.25"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22:31" ht="11.25" customHeight="1" x14ac:dyDescent="0.25"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22:31" ht="11.25" customHeight="1" x14ac:dyDescent="0.25"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22:31" ht="11.25" customHeight="1" x14ac:dyDescent="0.25"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22:31" ht="11.25" customHeight="1" x14ac:dyDescent="0.25"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22:31" ht="11.25" customHeight="1" x14ac:dyDescent="0.25"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22:31" ht="11.25" customHeight="1" x14ac:dyDescent="0.25"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22:31" ht="11.25" customHeight="1" x14ac:dyDescent="0.25"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22:31" ht="11.25" customHeight="1" x14ac:dyDescent="0.25"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22:31" ht="11.25" customHeight="1" x14ac:dyDescent="0.25"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22:31" ht="11.25" customHeight="1" x14ac:dyDescent="0.25"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22:31" ht="11.25" customHeight="1" x14ac:dyDescent="0.25"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22:31" ht="11.25" customHeight="1" x14ac:dyDescent="0.25"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22:31" ht="11.25" customHeight="1" x14ac:dyDescent="0.25"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22:31" ht="11.25" customHeight="1" x14ac:dyDescent="0.25"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22:31" ht="11.25" customHeight="1" x14ac:dyDescent="0.25"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22:31" ht="11.25" customHeight="1" x14ac:dyDescent="0.25"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22:31" ht="11.25" customHeight="1" x14ac:dyDescent="0.25"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22:31" ht="11.25" customHeight="1" x14ac:dyDescent="0.25"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22:31" ht="11.25" customHeight="1" x14ac:dyDescent="0.25"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22:31" ht="11.25" customHeight="1" x14ac:dyDescent="0.25"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22:31" ht="11.25" customHeight="1" x14ac:dyDescent="0.25"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22:31" ht="11.25" customHeight="1" x14ac:dyDescent="0.25"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22:31" ht="11.25" customHeight="1" x14ac:dyDescent="0.25"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22:31" ht="11.25" customHeight="1" x14ac:dyDescent="0.25"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22:31" ht="11.25" customHeight="1" x14ac:dyDescent="0.25"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22:31" ht="11.25" customHeight="1" x14ac:dyDescent="0.25"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22:31" ht="11.25" customHeight="1" x14ac:dyDescent="0.25"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22:31" ht="11.25" customHeight="1" x14ac:dyDescent="0.25"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22:31" ht="11.25" customHeight="1" x14ac:dyDescent="0.25"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22:31" ht="11.25" customHeight="1" x14ac:dyDescent="0.25"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22:31" ht="11.25" customHeight="1" x14ac:dyDescent="0.25"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22:31" ht="11.25" customHeight="1" x14ac:dyDescent="0.25"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22:31" ht="11.25" customHeight="1" x14ac:dyDescent="0.25"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22:31" ht="11.25" customHeight="1" x14ac:dyDescent="0.25"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22:31" ht="11.25" customHeight="1" x14ac:dyDescent="0.25"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22:31" ht="11.25" customHeight="1" x14ac:dyDescent="0.25"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22:31" ht="11.25" customHeight="1" x14ac:dyDescent="0.25"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22:31" ht="11.25" customHeight="1" x14ac:dyDescent="0.25"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22:31" ht="11.25" customHeight="1" x14ac:dyDescent="0.25"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22:31" ht="11.25" customHeight="1" x14ac:dyDescent="0.25"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22:31" ht="11.25" customHeight="1" x14ac:dyDescent="0.25"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22:31" ht="11.25" customHeight="1" x14ac:dyDescent="0.25"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22:31" ht="11.25" customHeight="1" x14ac:dyDescent="0.25"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22:31" ht="11.25" customHeight="1" x14ac:dyDescent="0.25"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22:31" ht="11.25" customHeight="1" x14ac:dyDescent="0.25"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22:31" ht="11.25" customHeight="1" x14ac:dyDescent="0.25"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22:31" ht="11.25" customHeight="1" x14ac:dyDescent="0.25"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22:31" ht="11.25" customHeight="1" x14ac:dyDescent="0.25"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22:31" ht="11.25" customHeight="1" x14ac:dyDescent="0.25"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22:31" ht="11.25" customHeight="1" x14ac:dyDescent="0.25"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22:31" ht="11.25" customHeight="1" x14ac:dyDescent="0.25"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22:31" ht="11.25" customHeight="1" x14ac:dyDescent="0.25"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22:31" ht="11.25" customHeight="1" x14ac:dyDescent="0.25"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22:31" ht="11.25" customHeight="1" x14ac:dyDescent="0.25"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22:31" ht="11.25" customHeight="1" x14ac:dyDescent="0.25"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22:31" ht="11.25" customHeight="1" x14ac:dyDescent="0.25"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22:31" ht="11.25" customHeight="1" x14ac:dyDescent="0.25"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22:31" ht="11.25" customHeight="1" x14ac:dyDescent="0.25"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22:31" ht="11.25" customHeight="1" x14ac:dyDescent="0.25"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22:31" ht="11.25" customHeight="1" x14ac:dyDescent="0.25"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22:31" ht="11.25" customHeight="1" x14ac:dyDescent="0.25"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22:31" ht="11.25" customHeight="1" x14ac:dyDescent="0.25"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22:31" ht="11.25" customHeight="1" x14ac:dyDescent="0.25"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22:31" ht="11.25" customHeight="1" x14ac:dyDescent="0.25"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22:31" ht="11.25" customHeight="1" x14ac:dyDescent="0.25"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22:31" ht="11.25" customHeight="1" x14ac:dyDescent="0.25"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22:31" ht="11.25" customHeight="1" x14ac:dyDescent="0.25"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22:31" ht="11.25" customHeight="1" x14ac:dyDescent="0.25"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22:31" ht="11.25" customHeight="1" x14ac:dyDescent="0.25"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22:31" ht="11.25" customHeight="1" x14ac:dyDescent="0.25"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22:31" ht="11.25" customHeight="1" x14ac:dyDescent="0.25"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22:31" ht="11.25" customHeight="1" x14ac:dyDescent="0.25"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22:31" ht="11.25" customHeight="1" x14ac:dyDescent="0.25"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22:31" ht="11.25" customHeight="1" x14ac:dyDescent="0.25"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22:31" ht="11.25" customHeight="1" x14ac:dyDescent="0.25"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22:31" ht="11.25" customHeight="1" x14ac:dyDescent="0.25"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22:31" ht="11.25" customHeight="1" x14ac:dyDescent="0.25"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22:31" ht="11.25" customHeight="1" x14ac:dyDescent="0.25"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22:31" ht="11.25" customHeight="1" x14ac:dyDescent="0.25"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22:31" ht="11.25" customHeight="1" x14ac:dyDescent="0.25"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22:31" ht="11.25" customHeight="1" x14ac:dyDescent="0.25"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22:31" ht="11.25" customHeight="1" x14ac:dyDescent="0.25"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22:31" ht="11.25" customHeight="1" x14ac:dyDescent="0.25"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22:31" ht="11.25" customHeight="1" x14ac:dyDescent="0.25"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22:31" ht="11.25" customHeight="1" x14ac:dyDescent="0.25"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22:31" ht="11.25" customHeight="1" x14ac:dyDescent="0.25"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22:31" ht="11.25" customHeight="1" x14ac:dyDescent="0.25"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22:31" ht="11.25" customHeight="1" x14ac:dyDescent="0.25"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22:31" ht="11.25" customHeight="1" x14ac:dyDescent="0.25"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22:31" ht="11.25" customHeight="1" x14ac:dyDescent="0.25"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22:31" ht="11.25" customHeight="1" x14ac:dyDescent="0.25"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22:31" ht="11.25" customHeight="1" x14ac:dyDescent="0.25"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22:31" ht="11.25" customHeight="1" x14ac:dyDescent="0.25"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22:31" ht="11.25" customHeight="1" x14ac:dyDescent="0.25"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22:31" ht="11.25" customHeight="1" x14ac:dyDescent="0.25"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22:31" ht="11.25" customHeight="1" x14ac:dyDescent="0.25"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22:31" ht="11.25" customHeight="1" x14ac:dyDescent="0.25"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22:31" ht="11.25" customHeight="1" x14ac:dyDescent="0.25"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22:31" ht="11.25" customHeight="1" x14ac:dyDescent="0.25"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22:31" ht="11.25" customHeight="1" x14ac:dyDescent="0.25"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22:31" ht="11.25" customHeight="1" x14ac:dyDescent="0.25"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22:31" ht="11.25" customHeight="1" x14ac:dyDescent="0.25"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22:31" ht="11.25" customHeight="1" x14ac:dyDescent="0.25"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22:31" ht="11.25" customHeight="1" x14ac:dyDescent="0.25"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22:31" ht="11.25" customHeight="1" x14ac:dyDescent="0.25"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22:31" ht="11.25" customHeight="1" x14ac:dyDescent="0.25"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22:31" ht="11.25" customHeight="1" x14ac:dyDescent="0.25"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22:31" ht="11.25" customHeight="1" x14ac:dyDescent="0.25"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22:31" ht="11.25" customHeight="1" x14ac:dyDescent="0.25"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22:31" ht="11.25" customHeight="1" x14ac:dyDescent="0.25"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22:31" ht="11.25" customHeight="1" x14ac:dyDescent="0.25"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22:31" ht="11.25" customHeight="1" x14ac:dyDescent="0.25"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22:31" ht="11.25" customHeight="1" x14ac:dyDescent="0.25"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22:31" ht="11.25" customHeight="1" x14ac:dyDescent="0.25"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22:31" ht="11.25" customHeight="1" x14ac:dyDescent="0.25"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22:31" ht="11.25" customHeight="1" x14ac:dyDescent="0.25"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22:31" ht="11.25" customHeight="1" x14ac:dyDescent="0.25"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22:31" ht="11.25" customHeight="1" x14ac:dyDescent="0.25"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22:31" ht="11.25" customHeight="1" x14ac:dyDescent="0.25"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22:31" ht="11.25" customHeight="1" x14ac:dyDescent="0.25"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22:31" ht="11.25" customHeight="1" x14ac:dyDescent="0.25"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22:31" ht="11.25" customHeight="1" x14ac:dyDescent="0.25"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22:31" ht="11.25" customHeight="1" x14ac:dyDescent="0.25"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22:31" ht="11.25" customHeight="1" x14ac:dyDescent="0.25"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22:31" ht="11.25" customHeight="1" x14ac:dyDescent="0.25"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22:31" ht="11.25" customHeight="1" x14ac:dyDescent="0.25"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22:31" ht="11.25" customHeight="1" x14ac:dyDescent="0.25"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22:31" ht="11.25" customHeight="1" x14ac:dyDescent="0.25"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22:31" ht="11.25" customHeight="1" x14ac:dyDescent="0.25"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22:31" ht="11.25" customHeight="1" x14ac:dyDescent="0.25"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22:31" ht="11.25" customHeight="1" x14ac:dyDescent="0.25"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22:31" ht="11.25" customHeight="1" x14ac:dyDescent="0.25"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22:31" ht="11.25" customHeight="1" x14ac:dyDescent="0.25"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22:31" ht="11.25" customHeight="1" x14ac:dyDescent="0.25"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22:31" ht="11.25" customHeight="1" x14ac:dyDescent="0.25"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22:31" ht="11.25" customHeight="1" x14ac:dyDescent="0.25"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22:31" ht="11.25" customHeight="1" x14ac:dyDescent="0.25"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22:31" ht="11.25" customHeight="1" x14ac:dyDescent="0.25"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22:31" ht="11.25" customHeight="1" x14ac:dyDescent="0.25"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22:31" ht="11.25" customHeight="1" x14ac:dyDescent="0.25"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22:31" ht="11.25" customHeight="1" x14ac:dyDescent="0.25"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22:31" ht="11.25" customHeight="1" x14ac:dyDescent="0.25"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22:31" ht="11.25" customHeight="1" x14ac:dyDescent="0.25"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22:31" ht="11.25" customHeight="1" x14ac:dyDescent="0.25"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22:31" ht="11.25" customHeight="1" x14ac:dyDescent="0.25"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22:31" ht="11.25" customHeight="1" x14ac:dyDescent="0.25"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22:31" ht="11.25" customHeight="1" x14ac:dyDescent="0.25"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22:31" ht="11.25" customHeight="1" x14ac:dyDescent="0.25"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22:31" ht="11.25" customHeight="1" x14ac:dyDescent="0.25"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22:31" ht="11.25" customHeight="1" x14ac:dyDescent="0.25"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22:31" ht="11.25" customHeight="1" x14ac:dyDescent="0.25"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22:31" ht="11.25" customHeight="1" x14ac:dyDescent="0.25"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22:31" ht="11.25" customHeight="1" x14ac:dyDescent="0.25"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22:31" ht="11.25" customHeight="1" x14ac:dyDescent="0.25"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22:31" ht="11.25" customHeight="1" x14ac:dyDescent="0.25"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22:31" ht="11.25" customHeight="1" x14ac:dyDescent="0.25"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22:31" ht="11.25" customHeight="1" x14ac:dyDescent="0.25"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22:31" ht="11.25" customHeight="1" x14ac:dyDescent="0.25"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22:31" ht="11.25" customHeight="1" x14ac:dyDescent="0.25"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22:31" ht="11.25" customHeight="1" x14ac:dyDescent="0.25"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22:31" ht="11.25" customHeight="1" x14ac:dyDescent="0.25"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22:31" ht="11.25" customHeight="1" x14ac:dyDescent="0.25"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22:31" ht="11.25" customHeight="1" x14ac:dyDescent="0.25"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22:31" ht="11.25" customHeight="1" x14ac:dyDescent="0.25"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22:31" ht="11.25" customHeight="1" x14ac:dyDescent="0.25"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22:31" ht="11.25" customHeight="1" x14ac:dyDescent="0.25"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22:31" ht="11.25" customHeight="1" x14ac:dyDescent="0.25"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22:31" ht="11.25" customHeight="1" x14ac:dyDescent="0.25"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22:31" ht="11.25" customHeight="1" x14ac:dyDescent="0.25"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22:31" ht="11.25" customHeight="1" x14ac:dyDescent="0.25"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22:31" ht="11.25" customHeight="1" x14ac:dyDescent="0.25"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22:31" ht="11.25" customHeight="1" x14ac:dyDescent="0.25"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22:31" ht="11.25" customHeight="1" x14ac:dyDescent="0.25"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22:31" ht="11.25" customHeight="1" x14ac:dyDescent="0.25"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22:31" ht="11.25" customHeight="1" x14ac:dyDescent="0.25"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22:31" ht="11.25" customHeight="1" x14ac:dyDescent="0.25"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22:31" ht="11.25" customHeight="1" x14ac:dyDescent="0.25"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22:31" ht="11.25" customHeight="1" x14ac:dyDescent="0.25"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22:31" ht="11.25" customHeight="1" x14ac:dyDescent="0.25"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22:31" ht="11.25" customHeight="1" x14ac:dyDescent="0.25"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22:31" ht="11.25" customHeight="1" x14ac:dyDescent="0.25"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22:31" ht="11.25" customHeight="1" x14ac:dyDescent="0.25"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22:31" ht="11.25" customHeight="1" x14ac:dyDescent="0.25"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22:31" ht="11.25" customHeight="1" x14ac:dyDescent="0.25"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22:31" ht="11.25" customHeight="1" x14ac:dyDescent="0.25"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22:31" ht="11.25" customHeight="1" x14ac:dyDescent="0.25"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22:31" ht="11.25" customHeight="1" x14ac:dyDescent="0.25"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22:31" ht="11.25" customHeight="1" x14ac:dyDescent="0.25"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22:31" ht="11.25" customHeight="1" x14ac:dyDescent="0.25"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22:31" ht="11.25" customHeight="1" x14ac:dyDescent="0.25"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22:31" ht="11.25" customHeight="1" x14ac:dyDescent="0.25"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7CD2-12F7-4447-BC74-93DE5705A9F4}">
  <dimension ref="A1:J550"/>
  <sheetViews>
    <sheetView showGridLines="0" topLeftCell="C1" workbookViewId="0">
      <selection activeCell="G10" sqref="G10"/>
    </sheetView>
  </sheetViews>
  <sheetFormatPr defaultRowHeight="11.25" customHeight="1" x14ac:dyDescent="0.2"/>
  <cols>
    <col min="1" max="1" width="15.85546875" style="14" bestFit="1" customWidth="1"/>
    <col min="2" max="2" width="24.5703125" style="45" bestFit="1" customWidth="1"/>
    <col min="3" max="3" width="25.5703125" style="45" bestFit="1" customWidth="1"/>
    <col min="4" max="4" width="26" style="45" bestFit="1" customWidth="1"/>
    <col min="5" max="5" width="26.85546875" style="45" bestFit="1" customWidth="1"/>
    <col min="6" max="6" width="23.7109375" style="45" bestFit="1" customWidth="1"/>
    <col min="7" max="7" width="24.5703125" style="45" bestFit="1" customWidth="1"/>
    <col min="8" max="8" width="18.28515625" style="46" bestFit="1" customWidth="1"/>
    <col min="9" max="9" width="16" style="46" bestFit="1" customWidth="1"/>
    <col min="10" max="10" width="13.85546875" style="46" bestFit="1" customWidth="1"/>
    <col min="11" max="16384" width="9.140625" style="14"/>
  </cols>
  <sheetData>
    <row r="1" spans="1:10" ht="11.25" customHeight="1" x14ac:dyDescent="0.2">
      <c r="A1" s="65" t="s">
        <v>573</v>
      </c>
      <c r="B1" s="66" t="s">
        <v>574</v>
      </c>
      <c r="C1" s="66" t="s">
        <v>575</v>
      </c>
      <c r="D1" s="66" t="s">
        <v>576</v>
      </c>
      <c r="E1" s="66" t="s">
        <v>577</v>
      </c>
      <c r="F1" s="66" t="s">
        <v>578</v>
      </c>
      <c r="G1" s="66" t="s">
        <v>579</v>
      </c>
      <c r="H1" s="67" t="s">
        <v>580</v>
      </c>
      <c r="I1" s="67" t="s">
        <v>581</v>
      </c>
      <c r="J1" s="67" t="s">
        <v>582</v>
      </c>
    </row>
    <row r="2" spans="1:10" ht="11.25" customHeight="1" x14ac:dyDescent="0.2">
      <c r="A2" s="68" t="s">
        <v>26</v>
      </c>
      <c r="B2" s="66">
        <v>10420170.063599998</v>
      </c>
      <c r="C2" s="66">
        <v>11567461.310578499</v>
      </c>
      <c r="D2" s="66">
        <v>16835687.040744998</v>
      </c>
      <c r="E2" s="66">
        <v>21003918.887513153</v>
      </c>
      <c r="F2" s="66">
        <v>14494334.198627597</v>
      </c>
      <c r="G2" s="66">
        <v>13722231.048402516</v>
      </c>
      <c r="H2" s="67">
        <v>0.19502314946093935</v>
      </c>
      <c r="I2" s="67">
        <v>-5.3269307830518198E-2</v>
      </c>
      <c r="J2" s="67">
        <v>0.10882393114203737</v>
      </c>
    </row>
    <row r="3" spans="1:10" ht="11.25" customHeight="1" x14ac:dyDescent="0.2">
      <c r="A3" s="69" t="s">
        <v>35</v>
      </c>
      <c r="B3" s="66">
        <v>10420170.063599998</v>
      </c>
      <c r="C3" s="66">
        <v>11567461.310578499</v>
      </c>
      <c r="D3" s="66">
        <v>3556239.2144449991</v>
      </c>
      <c r="E3" s="66">
        <v>4771975.9103930863</v>
      </c>
      <c r="F3" s="66">
        <v>8746634.5679635964</v>
      </c>
      <c r="G3" s="66">
        <v>8130163.6393145323</v>
      </c>
      <c r="H3" s="67">
        <v>0.16907260626937837</v>
      </c>
      <c r="I3" s="67">
        <v>-7.0480928848567381E-2</v>
      </c>
      <c r="J3" s="67">
        <v>7.686281055098676E-2</v>
      </c>
    </row>
    <row r="4" spans="1:10" ht="11.25" customHeight="1" x14ac:dyDescent="0.2">
      <c r="A4" s="70" t="s">
        <v>36</v>
      </c>
      <c r="B4" s="66">
        <v>7679176.2300000014</v>
      </c>
      <c r="C4" s="66">
        <v>8410544.8606880065</v>
      </c>
      <c r="D4" s="66">
        <v>1780923.1046999998</v>
      </c>
      <c r="E4" s="66">
        <v>2512093.5579445316</v>
      </c>
      <c r="F4" s="66">
        <v>5495791.0075599989</v>
      </c>
      <c r="G4" s="66">
        <v>5106839.5251887375</v>
      </c>
      <c r="H4" s="67">
        <v>0.1546008167766153</v>
      </c>
      <c r="I4" s="67">
        <v>-7.077261159243875E-2</v>
      </c>
      <c r="J4" s="67">
        <v>7.1783596763056012E-2</v>
      </c>
    </row>
    <row r="5" spans="1:10" ht="11.25" customHeight="1" x14ac:dyDescent="0.2">
      <c r="A5" s="70" t="s">
        <v>39</v>
      </c>
      <c r="B5" s="66">
        <v>2740993.8335999972</v>
      </c>
      <c r="C5" s="66">
        <v>3156916.4498904916</v>
      </c>
      <c r="D5" s="66">
        <v>1775316.1097449993</v>
      </c>
      <c r="E5" s="66">
        <v>2259882.3524485547</v>
      </c>
      <c r="F5" s="66">
        <v>3250843.5604035975</v>
      </c>
      <c r="G5" s="66">
        <v>3023324.1141257947</v>
      </c>
      <c r="H5" s="67">
        <v>0.19938597445486761</v>
      </c>
      <c r="I5" s="67">
        <v>-6.9987817638802574E-2</v>
      </c>
      <c r="J5" s="67">
        <v>8.6642991205395647E-2</v>
      </c>
    </row>
    <row r="6" spans="1:10" ht="11.25" customHeight="1" x14ac:dyDescent="0.2">
      <c r="A6" s="69" t="s">
        <v>22</v>
      </c>
      <c r="B6" s="66">
        <v>0</v>
      </c>
      <c r="C6" s="66">
        <v>0</v>
      </c>
      <c r="D6" s="66">
        <v>2385396.0525099984</v>
      </c>
      <c r="E6" s="66">
        <v>2782362.5170904687</v>
      </c>
      <c r="F6" s="66">
        <v>1034290.2021900001</v>
      </c>
      <c r="G6" s="66">
        <v>961090.33013154496</v>
      </c>
      <c r="H6" s="67">
        <v>0.16641532720018049</v>
      </c>
      <c r="I6" s="67">
        <v>-7.0773049868849358E-2</v>
      </c>
      <c r="J6" s="67">
        <v>9.46772798460771E-2</v>
      </c>
    </row>
    <row r="7" spans="1:10" ht="11.25" customHeight="1" x14ac:dyDescent="0.2">
      <c r="A7" s="70" t="s">
        <v>23</v>
      </c>
      <c r="B7" s="66">
        <v>0</v>
      </c>
      <c r="C7" s="66">
        <v>0</v>
      </c>
      <c r="D7" s="66">
        <v>2385396.0525099984</v>
      </c>
      <c r="E7" s="66">
        <v>2782362.5170904687</v>
      </c>
      <c r="F7" s="66">
        <v>1034290.2021900001</v>
      </c>
      <c r="G7" s="66">
        <v>961090.33013154496</v>
      </c>
      <c r="H7" s="67">
        <v>0.16641532720018049</v>
      </c>
      <c r="I7" s="67">
        <v>-7.0773049868849358E-2</v>
      </c>
      <c r="J7" s="67">
        <v>9.46772798460771E-2</v>
      </c>
    </row>
    <row r="8" spans="1:10" ht="11.25" customHeight="1" x14ac:dyDescent="0.2">
      <c r="A8" s="69" t="s">
        <v>41</v>
      </c>
      <c r="B8" s="66">
        <v>0</v>
      </c>
      <c r="C8" s="66">
        <v>0</v>
      </c>
      <c r="D8" s="66">
        <v>9111278.1238139998</v>
      </c>
      <c r="E8" s="66">
        <v>11364081.454716783</v>
      </c>
      <c r="F8" s="66">
        <v>3942232.6168160005</v>
      </c>
      <c r="G8" s="66">
        <v>3912895.3424671777</v>
      </c>
      <c r="H8" s="67">
        <v>0.24725436983584848</v>
      </c>
      <c r="I8" s="67">
        <v>-7.4417917967807279E-3</v>
      </c>
      <c r="J8" s="67">
        <v>0.17033471689981905</v>
      </c>
    </row>
    <row r="9" spans="1:10" ht="11.25" customHeight="1" x14ac:dyDescent="0.2">
      <c r="A9" s="70" t="s">
        <v>23</v>
      </c>
      <c r="B9" s="66">
        <v>0</v>
      </c>
      <c r="C9" s="66">
        <v>0</v>
      </c>
      <c r="D9" s="66">
        <v>9111278.1238139998</v>
      </c>
      <c r="E9" s="66">
        <v>11364081.454716783</v>
      </c>
      <c r="F9" s="66">
        <v>3942232.6168160005</v>
      </c>
      <c r="G9" s="66">
        <v>3912895.3424671777</v>
      </c>
      <c r="H9" s="67">
        <v>0.24725436983584848</v>
      </c>
      <c r="I9" s="67">
        <v>-7.4417917967807279E-3</v>
      </c>
      <c r="J9" s="67">
        <v>0.17033471689981905</v>
      </c>
    </row>
    <row r="10" spans="1:10" ht="11.25" customHeight="1" x14ac:dyDescent="0.2">
      <c r="A10" s="69" t="s">
        <v>33</v>
      </c>
      <c r="B10" s="66">
        <v>0</v>
      </c>
      <c r="C10" s="66">
        <v>0</v>
      </c>
      <c r="D10" s="66">
        <v>1539124.2168060001</v>
      </c>
      <c r="E10" s="66">
        <v>1801069.3600163786</v>
      </c>
      <c r="F10" s="66">
        <v>665779.88430799998</v>
      </c>
      <c r="G10" s="66">
        <v>620146.55019419349</v>
      </c>
      <c r="H10" s="67">
        <v>0.17019103484315812</v>
      </c>
      <c r="I10" s="67">
        <v>-6.8541172825065111E-2</v>
      </c>
      <c r="J10" s="67">
        <v>9.8104860427844942E-2</v>
      </c>
    </row>
    <row r="11" spans="1:10" ht="11.25" customHeight="1" x14ac:dyDescent="0.2">
      <c r="A11" s="70" t="s">
        <v>23</v>
      </c>
      <c r="B11" s="66">
        <v>0</v>
      </c>
      <c r="C11" s="66">
        <v>0</v>
      </c>
      <c r="D11" s="66">
        <v>1539124.2168060001</v>
      </c>
      <c r="E11" s="66">
        <v>1801069.3600163786</v>
      </c>
      <c r="F11" s="66">
        <v>665779.88430799998</v>
      </c>
      <c r="G11" s="66">
        <v>620146.55019419349</v>
      </c>
      <c r="H11" s="67">
        <v>0.17019103484315812</v>
      </c>
      <c r="I11" s="67">
        <v>-6.8541172825065111E-2</v>
      </c>
      <c r="J11" s="67">
        <v>9.8104860427844942E-2</v>
      </c>
    </row>
    <row r="12" spans="1:10" ht="11.25" customHeight="1" x14ac:dyDescent="0.2">
      <c r="A12" s="69" t="s">
        <v>44</v>
      </c>
      <c r="B12" s="66">
        <v>0</v>
      </c>
      <c r="C12" s="66">
        <v>0</v>
      </c>
      <c r="D12" s="66">
        <v>243649.43316999997</v>
      </c>
      <c r="E12" s="66">
        <v>284429.64529643609</v>
      </c>
      <c r="F12" s="66">
        <v>105396.92734999998</v>
      </c>
      <c r="G12" s="66">
        <v>97935.186295068081</v>
      </c>
      <c r="H12" s="67">
        <v>0.1673724892188968</v>
      </c>
      <c r="I12" s="67">
        <v>-7.0796571043794332E-2</v>
      </c>
      <c r="J12" s="67">
        <v>9.5455718323111061E-2</v>
      </c>
    </row>
    <row r="13" spans="1:10" ht="11.25" customHeight="1" x14ac:dyDescent="0.2">
      <c r="A13" s="70" t="s">
        <v>23</v>
      </c>
      <c r="B13" s="66">
        <v>0</v>
      </c>
      <c r="C13" s="66">
        <v>0</v>
      </c>
      <c r="D13" s="66">
        <v>243649.43316999997</v>
      </c>
      <c r="E13" s="66">
        <v>284429.64529643609</v>
      </c>
      <c r="F13" s="66">
        <v>105396.92734999998</v>
      </c>
      <c r="G13" s="66">
        <v>97935.186295068081</v>
      </c>
      <c r="H13" s="67">
        <v>0.1673724892188968</v>
      </c>
      <c r="I13" s="67">
        <v>-7.0796571043794332E-2</v>
      </c>
      <c r="J13" s="67">
        <v>9.5455718323111061E-2</v>
      </c>
    </row>
    <row r="14" spans="1:10" ht="11.25" customHeight="1" x14ac:dyDescent="0.2">
      <c r="A14" s="68" t="s">
        <v>55</v>
      </c>
      <c r="B14" s="66">
        <v>93912</v>
      </c>
      <c r="C14" s="66">
        <v>124786.94849672315</v>
      </c>
      <c r="D14" s="66">
        <v>0</v>
      </c>
      <c r="E14" s="66">
        <v>0</v>
      </c>
      <c r="F14" s="66">
        <v>0</v>
      </c>
      <c r="G14" s="66">
        <v>0</v>
      </c>
      <c r="H14" s="67">
        <v>0.32876467860042546</v>
      </c>
      <c r="I14" s="67">
        <v>0</v>
      </c>
      <c r="J14" s="67">
        <v>0.32876467860042546</v>
      </c>
    </row>
    <row r="15" spans="1:10" ht="11.25" customHeight="1" x14ac:dyDescent="0.2">
      <c r="A15" s="69" t="s">
        <v>35</v>
      </c>
      <c r="B15" s="66">
        <v>93912</v>
      </c>
      <c r="C15" s="66">
        <v>124786.94849672315</v>
      </c>
      <c r="D15" s="66">
        <v>0</v>
      </c>
      <c r="E15" s="66">
        <v>0</v>
      </c>
      <c r="F15" s="66">
        <v>0</v>
      </c>
      <c r="G15" s="66">
        <v>0</v>
      </c>
      <c r="H15" s="67">
        <v>0.32876467860042546</v>
      </c>
      <c r="I15" s="67">
        <v>0</v>
      </c>
      <c r="J15" s="67">
        <v>0.32876467860042546</v>
      </c>
    </row>
    <row r="16" spans="1:10" ht="11.25" customHeight="1" x14ac:dyDescent="0.2">
      <c r="A16" s="70" t="s">
        <v>53</v>
      </c>
      <c r="B16" s="66">
        <v>93912</v>
      </c>
      <c r="C16" s="66">
        <v>124786.94849672315</v>
      </c>
      <c r="D16" s="66">
        <v>0</v>
      </c>
      <c r="E16" s="66">
        <v>0</v>
      </c>
      <c r="F16" s="66">
        <v>0</v>
      </c>
      <c r="G16" s="66">
        <v>0</v>
      </c>
      <c r="H16" s="67">
        <v>0.32876467860042546</v>
      </c>
      <c r="I16" s="67">
        <v>0</v>
      </c>
      <c r="J16" s="67">
        <v>0.32876467860042546</v>
      </c>
    </row>
    <row r="17" spans="1:10" ht="11.25" customHeight="1" x14ac:dyDescent="0.25">
      <c r="A17"/>
      <c r="B17"/>
      <c r="C17"/>
      <c r="D17"/>
      <c r="E17"/>
      <c r="F17"/>
      <c r="G17"/>
      <c r="H17"/>
      <c r="I17"/>
      <c r="J17"/>
    </row>
    <row r="18" spans="1:10" ht="11.25" customHeight="1" x14ac:dyDescent="0.25">
      <c r="A18"/>
      <c r="B18"/>
      <c r="C18"/>
      <c r="D18"/>
      <c r="E18"/>
      <c r="F18"/>
      <c r="G18"/>
      <c r="H18"/>
      <c r="I18"/>
      <c r="J18"/>
    </row>
    <row r="19" spans="1:10" ht="11.25" customHeight="1" x14ac:dyDescent="0.25">
      <c r="A19"/>
      <c r="B19"/>
      <c r="C19"/>
      <c r="D19"/>
      <c r="E19"/>
      <c r="F19"/>
      <c r="G19"/>
      <c r="H19"/>
      <c r="I19"/>
      <c r="J19"/>
    </row>
    <row r="20" spans="1:10" ht="11.25" customHeight="1" x14ac:dyDescent="0.25">
      <c r="A20"/>
      <c r="B20"/>
      <c r="C20"/>
      <c r="D20"/>
      <c r="E20"/>
      <c r="F20"/>
      <c r="G20"/>
      <c r="H20"/>
      <c r="I20"/>
      <c r="J20"/>
    </row>
    <row r="21" spans="1:10" ht="11.25" customHeight="1" x14ac:dyDescent="0.25">
      <c r="A21"/>
      <c r="B21"/>
      <c r="C21"/>
      <c r="D21"/>
      <c r="E21"/>
      <c r="F21"/>
      <c r="G21"/>
      <c r="H21"/>
      <c r="I21"/>
      <c r="J21"/>
    </row>
    <row r="22" spans="1:10" ht="11.25" customHeight="1" x14ac:dyDescent="0.25">
      <c r="A22"/>
      <c r="B22"/>
      <c r="C22"/>
      <c r="D22"/>
      <c r="E22"/>
      <c r="F22"/>
      <c r="G22"/>
      <c r="H22"/>
      <c r="I22"/>
      <c r="J22"/>
    </row>
    <row r="23" spans="1:10" ht="11.25" customHeight="1" x14ac:dyDescent="0.25">
      <c r="A23"/>
      <c r="B23"/>
      <c r="C23"/>
      <c r="D23"/>
      <c r="E23"/>
      <c r="F23"/>
      <c r="G23"/>
      <c r="H23"/>
      <c r="I23"/>
      <c r="J23"/>
    </row>
    <row r="24" spans="1:10" ht="11.25" customHeight="1" x14ac:dyDescent="0.25">
      <c r="A24"/>
      <c r="B24"/>
      <c r="C24"/>
      <c r="D24"/>
      <c r="E24"/>
      <c r="F24"/>
      <c r="G24"/>
      <c r="H24"/>
      <c r="I24"/>
      <c r="J24"/>
    </row>
    <row r="25" spans="1:10" ht="11.25" customHeight="1" x14ac:dyDescent="0.25">
      <c r="A25"/>
      <c r="B25"/>
      <c r="C25"/>
      <c r="D25"/>
      <c r="E25"/>
      <c r="F25"/>
      <c r="G25"/>
      <c r="H25"/>
      <c r="I25"/>
      <c r="J25"/>
    </row>
    <row r="26" spans="1:10" ht="11.25" customHeight="1" x14ac:dyDescent="0.25">
      <c r="A26"/>
      <c r="B26"/>
      <c r="C26"/>
      <c r="D26"/>
      <c r="E26"/>
      <c r="F26"/>
      <c r="G26"/>
      <c r="H26"/>
      <c r="I26"/>
      <c r="J26"/>
    </row>
    <row r="27" spans="1:10" ht="11.25" customHeight="1" x14ac:dyDescent="0.25">
      <c r="A27"/>
      <c r="B27"/>
      <c r="C27"/>
      <c r="D27"/>
      <c r="E27"/>
      <c r="F27"/>
      <c r="G27"/>
      <c r="H27"/>
      <c r="I27"/>
      <c r="J27"/>
    </row>
    <row r="28" spans="1:10" ht="11.25" customHeight="1" x14ac:dyDescent="0.25">
      <c r="A28"/>
      <c r="B28"/>
      <c r="C28"/>
      <c r="D28"/>
      <c r="E28"/>
      <c r="F28"/>
      <c r="G28"/>
      <c r="H28"/>
      <c r="I28"/>
      <c r="J28"/>
    </row>
    <row r="29" spans="1:10" ht="11.25" customHeight="1" x14ac:dyDescent="0.25">
      <c r="A29"/>
      <c r="B29"/>
      <c r="C29"/>
      <c r="D29"/>
      <c r="E29"/>
      <c r="F29"/>
      <c r="G29"/>
      <c r="H29"/>
      <c r="I29"/>
      <c r="J29"/>
    </row>
    <row r="30" spans="1:10" ht="11.25" customHeight="1" x14ac:dyDescent="0.25">
      <c r="A30"/>
      <c r="B30"/>
      <c r="C30"/>
      <c r="D30"/>
      <c r="E30"/>
      <c r="F30"/>
      <c r="G30"/>
      <c r="H30"/>
      <c r="I30"/>
      <c r="J30"/>
    </row>
    <row r="31" spans="1:10" ht="11.25" customHeight="1" x14ac:dyDescent="0.25">
      <c r="A31"/>
      <c r="B31"/>
      <c r="C31"/>
      <c r="D31"/>
      <c r="E31"/>
      <c r="F31"/>
      <c r="G31"/>
      <c r="H31"/>
      <c r="I31"/>
      <c r="J31"/>
    </row>
    <row r="32" spans="1:10" ht="11.25" customHeight="1" x14ac:dyDescent="0.25">
      <c r="A32"/>
      <c r="B32"/>
      <c r="C32"/>
      <c r="D32"/>
      <c r="E32"/>
      <c r="F32"/>
      <c r="G32"/>
      <c r="H32"/>
      <c r="I32"/>
      <c r="J32"/>
    </row>
    <row r="33" spans="1:10" ht="11.25" customHeight="1" x14ac:dyDescent="0.25">
      <c r="A33"/>
      <c r="B33"/>
      <c r="C33"/>
      <c r="D33"/>
      <c r="E33"/>
      <c r="F33"/>
      <c r="G33"/>
      <c r="H33"/>
      <c r="I33"/>
      <c r="J33"/>
    </row>
    <row r="34" spans="1:10" ht="11.25" customHeight="1" x14ac:dyDescent="0.25">
      <c r="A34"/>
      <c r="B34"/>
      <c r="C34"/>
      <c r="D34"/>
      <c r="E34"/>
      <c r="F34"/>
      <c r="G34"/>
      <c r="H34"/>
      <c r="I34"/>
      <c r="J34"/>
    </row>
    <row r="35" spans="1:10" ht="11.25" customHeight="1" x14ac:dyDescent="0.25">
      <c r="A35"/>
      <c r="B35"/>
      <c r="C35"/>
      <c r="D35"/>
      <c r="E35"/>
      <c r="F35"/>
      <c r="G35"/>
      <c r="H35"/>
      <c r="I35"/>
      <c r="J35"/>
    </row>
    <row r="36" spans="1:10" ht="11.25" customHeight="1" x14ac:dyDescent="0.25">
      <c r="A36"/>
      <c r="B36"/>
      <c r="C36"/>
      <c r="D36"/>
      <c r="E36"/>
      <c r="F36"/>
      <c r="G36"/>
      <c r="H36"/>
      <c r="I36"/>
      <c r="J36"/>
    </row>
    <row r="37" spans="1:10" ht="11.25" customHeight="1" x14ac:dyDescent="0.25">
      <c r="A37"/>
      <c r="B37"/>
      <c r="C37"/>
      <c r="D37"/>
      <c r="E37"/>
      <c r="F37"/>
      <c r="G37"/>
      <c r="H37"/>
      <c r="I37"/>
      <c r="J37"/>
    </row>
    <row r="38" spans="1:10" ht="11.25" customHeight="1" x14ac:dyDescent="0.25">
      <c r="A38"/>
      <c r="B38"/>
      <c r="C38"/>
      <c r="D38"/>
      <c r="E38"/>
      <c r="F38"/>
      <c r="G38"/>
      <c r="H38"/>
      <c r="I38"/>
      <c r="J38"/>
    </row>
    <row r="39" spans="1:10" ht="11.25" customHeight="1" x14ac:dyDescent="0.25">
      <c r="A39"/>
      <c r="B39"/>
      <c r="C39"/>
      <c r="D39"/>
      <c r="E39"/>
      <c r="F39"/>
      <c r="G39"/>
      <c r="H39"/>
      <c r="I39"/>
      <c r="J39"/>
    </row>
    <row r="40" spans="1:10" ht="11.25" customHeight="1" x14ac:dyDescent="0.25">
      <c r="A40"/>
      <c r="B40"/>
      <c r="C40"/>
      <c r="D40"/>
      <c r="E40"/>
      <c r="F40"/>
      <c r="G40"/>
      <c r="H40"/>
      <c r="I40"/>
      <c r="J40"/>
    </row>
    <row r="41" spans="1:10" ht="11.25" customHeight="1" x14ac:dyDescent="0.25">
      <c r="A41"/>
      <c r="B41"/>
      <c r="C41"/>
      <c r="D41"/>
      <c r="E41"/>
      <c r="F41"/>
      <c r="G41"/>
      <c r="H41"/>
      <c r="I41"/>
      <c r="J41"/>
    </row>
    <row r="42" spans="1:10" ht="11.25" customHeight="1" x14ac:dyDescent="0.25">
      <c r="A42"/>
      <c r="B42"/>
      <c r="C42"/>
      <c r="D42"/>
      <c r="E42"/>
      <c r="F42"/>
      <c r="G42"/>
      <c r="H42"/>
      <c r="I42"/>
      <c r="J42"/>
    </row>
    <row r="43" spans="1:10" ht="11.25" customHeight="1" x14ac:dyDescent="0.25">
      <c r="A43"/>
      <c r="B43"/>
      <c r="C43"/>
      <c r="D43"/>
      <c r="E43"/>
      <c r="F43"/>
      <c r="G43"/>
      <c r="H43"/>
      <c r="I43"/>
      <c r="J43"/>
    </row>
    <row r="44" spans="1:10" ht="11.25" customHeight="1" x14ac:dyDescent="0.25">
      <c r="A44"/>
      <c r="B44"/>
      <c r="C44"/>
      <c r="D44"/>
      <c r="E44"/>
      <c r="F44"/>
      <c r="G44"/>
      <c r="H44"/>
      <c r="I44"/>
      <c r="J44"/>
    </row>
    <row r="45" spans="1:10" ht="11.25" customHeight="1" x14ac:dyDescent="0.25">
      <c r="A45"/>
      <c r="B45"/>
      <c r="C45"/>
      <c r="D45"/>
      <c r="E45"/>
      <c r="F45"/>
      <c r="G45"/>
      <c r="H45"/>
      <c r="I45"/>
      <c r="J45"/>
    </row>
    <row r="46" spans="1:10" ht="11.25" customHeight="1" x14ac:dyDescent="0.25">
      <c r="A46"/>
      <c r="B46"/>
      <c r="C46"/>
      <c r="D46"/>
      <c r="E46"/>
      <c r="F46"/>
      <c r="G46"/>
      <c r="H46"/>
      <c r="I46"/>
      <c r="J46"/>
    </row>
    <row r="47" spans="1:10" ht="11.25" customHeight="1" x14ac:dyDescent="0.25">
      <c r="A47"/>
      <c r="B47"/>
      <c r="C47"/>
      <c r="D47"/>
      <c r="E47"/>
      <c r="F47"/>
      <c r="G47"/>
      <c r="H47"/>
      <c r="I47"/>
      <c r="J47"/>
    </row>
    <row r="48" spans="1:10" ht="11.25" customHeight="1" x14ac:dyDescent="0.25">
      <c r="A48"/>
      <c r="B48"/>
      <c r="C48"/>
      <c r="D48"/>
      <c r="E48"/>
      <c r="F48"/>
      <c r="G48"/>
      <c r="H48"/>
      <c r="I48"/>
      <c r="J48"/>
    </row>
    <row r="49" spans="1:10" ht="11.25" customHeight="1" x14ac:dyDescent="0.25">
      <c r="A49"/>
      <c r="B49"/>
      <c r="C49"/>
      <c r="D49"/>
      <c r="E49"/>
      <c r="F49"/>
      <c r="G49"/>
      <c r="H49"/>
      <c r="I49"/>
      <c r="J49"/>
    </row>
    <row r="50" spans="1:10" ht="11.25" customHeight="1" x14ac:dyDescent="0.25">
      <c r="A50"/>
      <c r="B50"/>
      <c r="C50"/>
      <c r="D50"/>
      <c r="E50"/>
      <c r="F50"/>
      <c r="G50"/>
      <c r="H50"/>
      <c r="I50"/>
      <c r="J50"/>
    </row>
    <row r="51" spans="1:10" ht="11.25" customHeight="1" x14ac:dyDescent="0.25">
      <c r="A51"/>
      <c r="B51"/>
      <c r="C51"/>
      <c r="D51"/>
      <c r="E51"/>
      <c r="F51"/>
      <c r="G51"/>
      <c r="H51"/>
      <c r="I51"/>
      <c r="J51"/>
    </row>
    <row r="52" spans="1:10" ht="11.25" customHeight="1" x14ac:dyDescent="0.25">
      <c r="A52"/>
      <c r="B52"/>
      <c r="C52"/>
      <c r="D52"/>
      <c r="E52"/>
      <c r="F52"/>
      <c r="G52"/>
      <c r="H52"/>
      <c r="I52"/>
      <c r="J52"/>
    </row>
    <row r="53" spans="1:10" ht="11.25" customHeight="1" x14ac:dyDescent="0.25">
      <c r="A53"/>
      <c r="B53"/>
      <c r="C53"/>
      <c r="D53"/>
      <c r="E53"/>
      <c r="F53"/>
      <c r="G53"/>
      <c r="H53"/>
      <c r="I53"/>
      <c r="J53"/>
    </row>
    <row r="54" spans="1:10" ht="11.25" customHeight="1" x14ac:dyDescent="0.25">
      <c r="A54"/>
      <c r="B54"/>
      <c r="C54"/>
      <c r="D54"/>
      <c r="E54"/>
      <c r="F54"/>
      <c r="G54"/>
      <c r="H54"/>
      <c r="I54"/>
      <c r="J54"/>
    </row>
    <row r="55" spans="1:10" ht="11.25" customHeight="1" x14ac:dyDescent="0.25">
      <c r="A55"/>
      <c r="B55"/>
      <c r="C55"/>
      <c r="D55"/>
      <c r="E55"/>
      <c r="F55"/>
      <c r="G55"/>
      <c r="H55"/>
      <c r="I55"/>
      <c r="J55"/>
    </row>
    <row r="56" spans="1:10" ht="11.25" customHeight="1" x14ac:dyDescent="0.25">
      <c r="A56"/>
      <c r="B56"/>
      <c r="C56"/>
      <c r="D56"/>
      <c r="E56"/>
      <c r="F56"/>
      <c r="G56"/>
      <c r="H56"/>
      <c r="I56"/>
      <c r="J56"/>
    </row>
    <row r="57" spans="1:10" ht="11.25" customHeight="1" x14ac:dyDescent="0.25">
      <c r="A57"/>
      <c r="B57"/>
      <c r="C57"/>
      <c r="D57"/>
      <c r="E57"/>
      <c r="F57"/>
      <c r="G57"/>
      <c r="H57"/>
      <c r="I57"/>
      <c r="J57"/>
    </row>
    <row r="58" spans="1:10" ht="11.25" customHeight="1" x14ac:dyDescent="0.25">
      <c r="A58"/>
      <c r="B58"/>
      <c r="C58"/>
      <c r="D58"/>
      <c r="E58"/>
      <c r="F58"/>
      <c r="G58"/>
      <c r="H58"/>
      <c r="I58"/>
      <c r="J58"/>
    </row>
    <row r="59" spans="1:10" ht="11.25" customHeight="1" x14ac:dyDescent="0.25">
      <c r="A59"/>
      <c r="B59"/>
      <c r="C59"/>
      <c r="D59"/>
      <c r="E59"/>
      <c r="F59"/>
      <c r="G59"/>
      <c r="H59"/>
      <c r="I59"/>
      <c r="J59"/>
    </row>
    <row r="60" spans="1:10" ht="11.25" customHeight="1" x14ac:dyDescent="0.25">
      <c r="A60"/>
      <c r="B60"/>
      <c r="C60"/>
      <c r="D60"/>
      <c r="E60"/>
      <c r="F60"/>
      <c r="G60"/>
      <c r="H60"/>
      <c r="I60"/>
      <c r="J60"/>
    </row>
    <row r="61" spans="1:10" ht="11.25" customHeight="1" x14ac:dyDescent="0.25">
      <c r="A61"/>
      <c r="B61"/>
      <c r="C61"/>
      <c r="D61"/>
      <c r="E61"/>
      <c r="F61"/>
      <c r="G61"/>
      <c r="H61"/>
      <c r="I61"/>
      <c r="J61"/>
    </row>
    <row r="62" spans="1:10" ht="11.25" customHeight="1" x14ac:dyDescent="0.25">
      <c r="A62"/>
      <c r="B62"/>
      <c r="C62"/>
      <c r="D62"/>
      <c r="E62"/>
      <c r="F62"/>
      <c r="G62"/>
      <c r="H62"/>
      <c r="I62"/>
      <c r="J62"/>
    </row>
    <row r="63" spans="1:10" ht="11.25" customHeight="1" x14ac:dyDescent="0.25">
      <c r="A63"/>
      <c r="B63"/>
      <c r="C63"/>
      <c r="D63"/>
      <c r="E63"/>
      <c r="F63"/>
      <c r="G63"/>
      <c r="H63"/>
      <c r="I63"/>
      <c r="J63"/>
    </row>
    <row r="64" spans="1:10" ht="11.25" customHeight="1" x14ac:dyDescent="0.25">
      <c r="A64"/>
      <c r="B64"/>
      <c r="C64"/>
      <c r="D64"/>
      <c r="E64"/>
      <c r="F64"/>
      <c r="G64"/>
      <c r="H64"/>
      <c r="I64"/>
      <c r="J64"/>
    </row>
    <row r="65" spans="1:10" ht="11.25" customHeight="1" x14ac:dyDescent="0.25">
      <c r="A65"/>
      <c r="B65"/>
      <c r="C65"/>
      <c r="D65"/>
      <c r="E65"/>
      <c r="F65"/>
      <c r="G65"/>
      <c r="H65"/>
      <c r="I65"/>
      <c r="J65"/>
    </row>
    <row r="66" spans="1:10" ht="11.25" customHeight="1" x14ac:dyDescent="0.25">
      <c r="A66"/>
      <c r="B66"/>
      <c r="C66"/>
      <c r="D66"/>
      <c r="E66"/>
      <c r="F66"/>
      <c r="G66"/>
      <c r="H66"/>
      <c r="I66"/>
      <c r="J66"/>
    </row>
    <row r="67" spans="1:10" ht="11.25" customHeight="1" x14ac:dyDescent="0.25">
      <c r="A67"/>
      <c r="B67"/>
      <c r="C67"/>
      <c r="D67"/>
      <c r="E67"/>
      <c r="F67"/>
      <c r="G67"/>
      <c r="H67"/>
      <c r="I67"/>
      <c r="J67"/>
    </row>
    <row r="68" spans="1:10" ht="11.25" customHeight="1" x14ac:dyDescent="0.25">
      <c r="A68"/>
      <c r="B68"/>
      <c r="C68"/>
      <c r="D68"/>
      <c r="E68"/>
      <c r="F68"/>
      <c r="G68"/>
      <c r="H68"/>
      <c r="I68"/>
      <c r="J68"/>
    </row>
    <row r="69" spans="1:10" ht="11.25" customHeight="1" x14ac:dyDescent="0.25">
      <c r="A69"/>
      <c r="B69"/>
      <c r="C69"/>
      <c r="D69"/>
      <c r="E69"/>
      <c r="F69"/>
      <c r="G69"/>
      <c r="H69"/>
      <c r="I69"/>
      <c r="J69"/>
    </row>
    <row r="70" spans="1:10" ht="11.25" customHeight="1" x14ac:dyDescent="0.25">
      <c r="A70"/>
      <c r="B70"/>
      <c r="C70"/>
      <c r="D70"/>
      <c r="E70"/>
      <c r="F70"/>
      <c r="G70"/>
      <c r="H70"/>
      <c r="I70"/>
      <c r="J70"/>
    </row>
    <row r="71" spans="1:10" ht="11.25" customHeight="1" x14ac:dyDescent="0.25">
      <c r="A71"/>
      <c r="B71"/>
      <c r="C71"/>
      <c r="D71"/>
      <c r="E71"/>
      <c r="F71"/>
      <c r="G71"/>
      <c r="H71"/>
      <c r="I71"/>
      <c r="J71"/>
    </row>
    <row r="72" spans="1:10" ht="11.25" customHeight="1" x14ac:dyDescent="0.25">
      <c r="A72"/>
      <c r="B72"/>
      <c r="C72"/>
      <c r="D72"/>
      <c r="E72"/>
      <c r="F72"/>
      <c r="G72"/>
      <c r="H72"/>
      <c r="I72"/>
      <c r="J72"/>
    </row>
    <row r="73" spans="1:10" ht="11.25" customHeight="1" x14ac:dyDescent="0.25">
      <c r="A73"/>
      <c r="B73"/>
      <c r="C73"/>
      <c r="D73"/>
      <c r="E73"/>
      <c r="F73"/>
      <c r="G73"/>
      <c r="H73"/>
      <c r="I73"/>
      <c r="J73"/>
    </row>
    <row r="74" spans="1:10" ht="11.25" customHeight="1" x14ac:dyDescent="0.25">
      <c r="A74"/>
      <c r="B74"/>
      <c r="C74"/>
      <c r="D74"/>
      <c r="E74"/>
      <c r="F74"/>
      <c r="G74"/>
      <c r="H74"/>
      <c r="I74"/>
      <c r="J74"/>
    </row>
    <row r="75" spans="1:10" ht="11.25" customHeight="1" x14ac:dyDescent="0.25">
      <c r="A75"/>
      <c r="B75"/>
      <c r="C75"/>
      <c r="D75"/>
      <c r="E75"/>
      <c r="F75"/>
      <c r="G75"/>
      <c r="H75"/>
      <c r="I75"/>
      <c r="J75"/>
    </row>
    <row r="76" spans="1:10" ht="11.25" customHeight="1" x14ac:dyDescent="0.25">
      <c r="A76"/>
      <c r="B76"/>
      <c r="C76"/>
      <c r="D76"/>
      <c r="E76"/>
      <c r="F76"/>
      <c r="G76"/>
      <c r="H76"/>
      <c r="I76"/>
      <c r="J76"/>
    </row>
    <row r="77" spans="1:10" ht="11.25" customHeight="1" x14ac:dyDescent="0.25">
      <c r="A77"/>
      <c r="B77"/>
      <c r="C77"/>
      <c r="D77"/>
      <c r="E77"/>
      <c r="F77"/>
      <c r="G77"/>
      <c r="H77"/>
      <c r="I77"/>
      <c r="J77"/>
    </row>
    <row r="78" spans="1:10" ht="11.25" customHeight="1" x14ac:dyDescent="0.25">
      <c r="A78"/>
      <c r="B78"/>
      <c r="C78"/>
      <c r="D78"/>
      <c r="E78"/>
      <c r="F78"/>
      <c r="G78"/>
      <c r="H78"/>
      <c r="I78"/>
      <c r="J78"/>
    </row>
    <row r="79" spans="1:10" ht="11.25" customHeight="1" x14ac:dyDescent="0.25">
      <c r="A79"/>
      <c r="B79"/>
      <c r="C79"/>
      <c r="D79"/>
      <c r="E79"/>
      <c r="F79"/>
      <c r="G79"/>
      <c r="H79"/>
      <c r="I79"/>
      <c r="J79"/>
    </row>
    <row r="80" spans="1:10" ht="11.25" customHeight="1" x14ac:dyDescent="0.25">
      <c r="A80"/>
      <c r="B80"/>
      <c r="C80"/>
      <c r="D80"/>
      <c r="E80"/>
      <c r="F80"/>
      <c r="G80"/>
      <c r="H80"/>
      <c r="I80"/>
      <c r="J80"/>
    </row>
    <row r="81" spans="1:10" ht="11.25" customHeight="1" x14ac:dyDescent="0.25">
      <c r="A81"/>
      <c r="B81"/>
      <c r="C81"/>
      <c r="D81"/>
      <c r="E81"/>
      <c r="F81"/>
      <c r="G81"/>
      <c r="H81"/>
      <c r="I81"/>
      <c r="J81"/>
    </row>
    <row r="82" spans="1:10" ht="11.25" customHeight="1" x14ac:dyDescent="0.25">
      <c r="A82"/>
      <c r="B82"/>
      <c r="C82"/>
      <c r="D82"/>
      <c r="E82"/>
      <c r="F82"/>
      <c r="G82"/>
      <c r="H82"/>
      <c r="I82"/>
      <c r="J82"/>
    </row>
    <row r="83" spans="1:10" ht="11.25" customHeight="1" x14ac:dyDescent="0.25">
      <c r="A83"/>
      <c r="B83"/>
      <c r="C83"/>
      <c r="D83"/>
      <c r="E83"/>
      <c r="F83"/>
      <c r="G83"/>
      <c r="H83"/>
      <c r="I83"/>
      <c r="J83"/>
    </row>
    <row r="84" spans="1:10" ht="11.25" customHeight="1" x14ac:dyDescent="0.25">
      <c r="A84"/>
      <c r="B84"/>
      <c r="C84"/>
      <c r="D84"/>
      <c r="E84"/>
      <c r="F84"/>
      <c r="G84"/>
      <c r="H84"/>
      <c r="I84"/>
      <c r="J84"/>
    </row>
    <row r="85" spans="1:10" ht="11.25" customHeight="1" x14ac:dyDescent="0.25">
      <c r="A85"/>
      <c r="B85"/>
      <c r="C85"/>
      <c r="D85"/>
      <c r="E85"/>
      <c r="F85"/>
      <c r="G85"/>
      <c r="H85"/>
      <c r="I85"/>
      <c r="J85"/>
    </row>
    <row r="86" spans="1:10" ht="11.25" customHeight="1" x14ac:dyDescent="0.25">
      <c r="A86"/>
      <c r="B86"/>
      <c r="C86"/>
      <c r="D86"/>
      <c r="E86"/>
      <c r="F86"/>
      <c r="G86"/>
      <c r="H86"/>
      <c r="I86"/>
      <c r="J86"/>
    </row>
    <row r="87" spans="1:10" ht="11.25" customHeight="1" x14ac:dyDescent="0.25">
      <c r="A87"/>
      <c r="B87"/>
      <c r="C87"/>
      <c r="D87"/>
      <c r="E87"/>
      <c r="F87"/>
      <c r="G87"/>
      <c r="H87"/>
      <c r="I87"/>
      <c r="J87"/>
    </row>
    <row r="88" spans="1:10" ht="11.25" customHeight="1" x14ac:dyDescent="0.25">
      <c r="A88"/>
      <c r="B88"/>
      <c r="C88"/>
      <c r="D88"/>
      <c r="E88"/>
      <c r="F88"/>
      <c r="G88"/>
      <c r="H88"/>
      <c r="I88"/>
      <c r="J88"/>
    </row>
    <row r="89" spans="1:10" ht="11.25" customHeight="1" x14ac:dyDescent="0.25">
      <c r="A89"/>
      <c r="B89"/>
      <c r="C89"/>
      <c r="D89"/>
      <c r="E89"/>
      <c r="F89"/>
      <c r="G89"/>
      <c r="H89"/>
      <c r="I89"/>
      <c r="J89"/>
    </row>
    <row r="90" spans="1:10" ht="11.25" customHeight="1" x14ac:dyDescent="0.25">
      <c r="A90"/>
      <c r="B90"/>
      <c r="C90"/>
      <c r="D90"/>
      <c r="E90"/>
      <c r="F90"/>
      <c r="G90"/>
      <c r="H90"/>
      <c r="I90"/>
      <c r="J90"/>
    </row>
    <row r="91" spans="1:10" ht="11.25" customHeight="1" x14ac:dyDescent="0.25">
      <c r="A91"/>
      <c r="B91"/>
      <c r="C91"/>
      <c r="D91"/>
      <c r="E91"/>
      <c r="F91"/>
      <c r="G91"/>
      <c r="H91"/>
      <c r="I91"/>
      <c r="J91"/>
    </row>
    <row r="92" spans="1:10" ht="11.25" customHeight="1" x14ac:dyDescent="0.25">
      <c r="A92"/>
      <c r="B92"/>
      <c r="C92"/>
      <c r="D92"/>
      <c r="E92"/>
      <c r="F92"/>
      <c r="G92"/>
      <c r="H92"/>
      <c r="I92"/>
      <c r="J92"/>
    </row>
    <row r="93" spans="1:10" ht="11.25" customHeight="1" x14ac:dyDescent="0.25">
      <c r="A93"/>
      <c r="B93"/>
      <c r="C93"/>
      <c r="D93"/>
      <c r="E93"/>
      <c r="F93"/>
      <c r="G93"/>
      <c r="H93"/>
      <c r="I93"/>
      <c r="J93"/>
    </row>
    <row r="94" spans="1:10" ht="11.25" customHeight="1" x14ac:dyDescent="0.25">
      <c r="A94"/>
      <c r="B94"/>
      <c r="C94"/>
      <c r="D94"/>
      <c r="E94"/>
      <c r="F94"/>
      <c r="G94"/>
      <c r="H94"/>
      <c r="I94"/>
      <c r="J94"/>
    </row>
    <row r="95" spans="1:10" ht="11.25" customHeight="1" x14ac:dyDescent="0.25">
      <c r="A95"/>
      <c r="B95"/>
      <c r="C95"/>
      <c r="D95"/>
      <c r="E95"/>
      <c r="F95"/>
      <c r="G95"/>
      <c r="H95"/>
      <c r="I95"/>
      <c r="J95"/>
    </row>
    <row r="96" spans="1:10" ht="11.25" customHeight="1" x14ac:dyDescent="0.25">
      <c r="A96"/>
      <c r="B96"/>
      <c r="C96"/>
      <c r="D96"/>
      <c r="E96"/>
      <c r="F96"/>
      <c r="G96"/>
      <c r="H96"/>
      <c r="I96"/>
      <c r="J96"/>
    </row>
    <row r="97" spans="1:10" ht="11.25" customHeight="1" x14ac:dyDescent="0.25">
      <c r="A97"/>
      <c r="B97"/>
      <c r="C97"/>
      <c r="D97"/>
      <c r="E97"/>
      <c r="F97"/>
      <c r="G97"/>
      <c r="H97"/>
      <c r="I97"/>
      <c r="J97"/>
    </row>
    <row r="98" spans="1:10" ht="11.25" customHeight="1" x14ac:dyDescent="0.25">
      <c r="A98"/>
      <c r="B98"/>
      <c r="C98"/>
      <c r="D98"/>
      <c r="E98"/>
      <c r="F98"/>
      <c r="G98"/>
      <c r="H98"/>
      <c r="I98"/>
      <c r="J98"/>
    </row>
    <row r="99" spans="1:10" ht="11.25" customHeight="1" x14ac:dyDescent="0.25">
      <c r="A99"/>
      <c r="B99"/>
      <c r="C99"/>
      <c r="D99"/>
      <c r="E99"/>
      <c r="F99"/>
      <c r="G99"/>
      <c r="H99"/>
      <c r="I99"/>
      <c r="J99"/>
    </row>
    <row r="100" spans="1:10" ht="11.25" customHeight="1" x14ac:dyDescent="0.25">
      <c r="A100"/>
      <c r="B100"/>
      <c r="C100"/>
      <c r="D100"/>
      <c r="E100"/>
      <c r="F100"/>
      <c r="G100"/>
      <c r="H100"/>
      <c r="I100"/>
      <c r="J100"/>
    </row>
    <row r="101" spans="1:10" ht="11.25" customHeight="1" x14ac:dyDescent="0.25">
      <c r="A101"/>
      <c r="B101"/>
      <c r="C101"/>
      <c r="D101"/>
      <c r="E101"/>
      <c r="F101"/>
      <c r="G101"/>
      <c r="H101"/>
      <c r="I101"/>
      <c r="J101"/>
    </row>
    <row r="102" spans="1:10" ht="11.25" customHeight="1" x14ac:dyDescent="0.25">
      <c r="A102"/>
      <c r="B102"/>
      <c r="C102"/>
      <c r="D102"/>
      <c r="E102"/>
      <c r="F102"/>
      <c r="G102"/>
      <c r="H102"/>
      <c r="I102"/>
      <c r="J102"/>
    </row>
    <row r="103" spans="1:10" ht="11.25" customHeight="1" x14ac:dyDescent="0.25">
      <c r="A103"/>
      <c r="B103"/>
      <c r="C103"/>
      <c r="D103"/>
      <c r="E103"/>
      <c r="F103"/>
      <c r="G103"/>
      <c r="H103"/>
      <c r="I103"/>
      <c r="J103"/>
    </row>
    <row r="104" spans="1:10" ht="11.25" customHeight="1" x14ac:dyDescent="0.25">
      <c r="A104"/>
      <c r="B104"/>
      <c r="C104"/>
      <c r="D104"/>
      <c r="E104"/>
      <c r="F104"/>
      <c r="G104"/>
      <c r="H104"/>
      <c r="I104"/>
      <c r="J104"/>
    </row>
    <row r="105" spans="1:10" ht="11.25" customHeight="1" x14ac:dyDescent="0.25">
      <c r="A105"/>
      <c r="B105"/>
      <c r="C105"/>
      <c r="D105"/>
      <c r="E105"/>
      <c r="F105"/>
      <c r="G105"/>
      <c r="H105"/>
      <c r="I105"/>
      <c r="J105"/>
    </row>
    <row r="106" spans="1:10" ht="11.25" customHeight="1" x14ac:dyDescent="0.25">
      <c r="A106"/>
      <c r="B106"/>
      <c r="C106"/>
      <c r="D106"/>
      <c r="E106"/>
      <c r="F106"/>
      <c r="G106"/>
      <c r="H106"/>
      <c r="I106"/>
      <c r="J106"/>
    </row>
    <row r="107" spans="1:10" ht="11.25" customHeight="1" x14ac:dyDescent="0.25">
      <c r="A107"/>
      <c r="B107"/>
      <c r="C107"/>
      <c r="D107"/>
      <c r="E107"/>
      <c r="F107"/>
      <c r="G107"/>
      <c r="H107"/>
      <c r="I107"/>
      <c r="J107"/>
    </row>
    <row r="108" spans="1:10" ht="11.25" customHeight="1" x14ac:dyDescent="0.25">
      <c r="A108"/>
      <c r="B108"/>
      <c r="C108"/>
      <c r="D108"/>
      <c r="E108"/>
      <c r="F108"/>
      <c r="G108"/>
      <c r="H108"/>
      <c r="I108"/>
      <c r="J108"/>
    </row>
    <row r="109" spans="1:10" ht="11.25" customHeight="1" x14ac:dyDescent="0.25">
      <c r="A109"/>
      <c r="B109"/>
      <c r="C109"/>
      <c r="D109"/>
      <c r="E109"/>
      <c r="F109"/>
      <c r="G109"/>
      <c r="H109"/>
      <c r="I109"/>
      <c r="J109"/>
    </row>
    <row r="110" spans="1:10" ht="11.25" customHeight="1" x14ac:dyDescent="0.25">
      <c r="A110"/>
      <c r="B110"/>
      <c r="C110"/>
      <c r="D110"/>
      <c r="E110"/>
      <c r="F110"/>
      <c r="G110"/>
      <c r="H110"/>
      <c r="I110"/>
      <c r="J110"/>
    </row>
    <row r="111" spans="1:10" ht="11.25" customHeight="1" x14ac:dyDescent="0.25">
      <c r="A111"/>
      <c r="B111"/>
      <c r="C111"/>
      <c r="D111"/>
      <c r="E111"/>
      <c r="F111"/>
      <c r="G111"/>
      <c r="H111"/>
      <c r="I111"/>
      <c r="J111"/>
    </row>
    <row r="112" spans="1:10" ht="11.25" customHeight="1" x14ac:dyDescent="0.25">
      <c r="A112"/>
      <c r="B112"/>
      <c r="C112"/>
      <c r="D112"/>
      <c r="E112"/>
      <c r="F112"/>
      <c r="G112"/>
      <c r="H112"/>
      <c r="I112"/>
      <c r="J112"/>
    </row>
    <row r="113" spans="1:10" ht="11.25" customHeight="1" x14ac:dyDescent="0.25">
      <c r="A113"/>
      <c r="B113"/>
      <c r="C113"/>
      <c r="D113"/>
      <c r="E113"/>
      <c r="F113"/>
      <c r="G113"/>
      <c r="H113"/>
      <c r="I113"/>
      <c r="J113"/>
    </row>
    <row r="114" spans="1:10" ht="11.25" customHeight="1" x14ac:dyDescent="0.25">
      <c r="A114"/>
      <c r="B114"/>
      <c r="C114"/>
      <c r="D114"/>
      <c r="E114"/>
      <c r="F114"/>
      <c r="G114"/>
      <c r="H114"/>
      <c r="I114"/>
      <c r="J114"/>
    </row>
    <row r="115" spans="1:10" ht="11.25" customHeight="1" x14ac:dyDescent="0.25">
      <c r="A115"/>
      <c r="B115"/>
      <c r="C115"/>
      <c r="D115"/>
      <c r="E115"/>
      <c r="F115"/>
      <c r="G115"/>
      <c r="H115"/>
      <c r="I115"/>
      <c r="J115"/>
    </row>
    <row r="116" spans="1:10" ht="11.25" customHeight="1" x14ac:dyDescent="0.25">
      <c r="A116"/>
      <c r="B116"/>
      <c r="C116"/>
      <c r="D116"/>
      <c r="E116"/>
      <c r="F116"/>
      <c r="G116"/>
      <c r="H116"/>
      <c r="I116"/>
      <c r="J116"/>
    </row>
    <row r="117" spans="1:10" ht="11.25" customHeight="1" x14ac:dyDescent="0.25">
      <c r="A117"/>
      <c r="B117"/>
      <c r="C117"/>
      <c r="D117"/>
      <c r="E117"/>
      <c r="F117"/>
      <c r="G117"/>
      <c r="H117"/>
      <c r="I117"/>
      <c r="J117"/>
    </row>
    <row r="118" spans="1:10" ht="11.25" customHeight="1" x14ac:dyDescent="0.25">
      <c r="A118"/>
      <c r="B118"/>
      <c r="C118"/>
      <c r="D118"/>
      <c r="E118"/>
      <c r="F118"/>
      <c r="G118"/>
      <c r="H118"/>
      <c r="I118"/>
      <c r="J118"/>
    </row>
    <row r="119" spans="1:10" ht="11.25" customHeight="1" x14ac:dyDescent="0.25">
      <c r="A119"/>
      <c r="B119"/>
      <c r="C119"/>
      <c r="D119"/>
      <c r="E119"/>
      <c r="F119"/>
      <c r="G119"/>
      <c r="H119"/>
      <c r="I119"/>
      <c r="J119"/>
    </row>
    <row r="120" spans="1:10" ht="11.25" customHeight="1" x14ac:dyDescent="0.25">
      <c r="A120"/>
      <c r="B120"/>
      <c r="C120"/>
      <c r="D120"/>
      <c r="E120"/>
      <c r="F120"/>
      <c r="G120"/>
      <c r="H120"/>
      <c r="I120"/>
      <c r="J120"/>
    </row>
    <row r="121" spans="1:10" ht="11.25" customHeight="1" x14ac:dyDescent="0.25">
      <c r="A121"/>
      <c r="B121"/>
      <c r="C121"/>
      <c r="D121"/>
      <c r="E121"/>
      <c r="F121"/>
      <c r="G121"/>
      <c r="H121"/>
      <c r="I121"/>
      <c r="J121"/>
    </row>
    <row r="122" spans="1:10" ht="11.25" customHeight="1" x14ac:dyDescent="0.25">
      <c r="A122"/>
      <c r="B122"/>
      <c r="C122"/>
      <c r="D122"/>
      <c r="E122"/>
      <c r="F122"/>
      <c r="G122"/>
      <c r="H122"/>
      <c r="I122"/>
      <c r="J122"/>
    </row>
    <row r="123" spans="1:10" ht="11.25" customHeight="1" x14ac:dyDescent="0.25">
      <c r="A123"/>
      <c r="B123"/>
      <c r="C123"/>
      <c r="D123"/>
      <c r="E123"/>
      <c r="F123"/>
      <c r="G123"/>
      <c r="H123"/>
      <c r="I123"/>
      <c r="J123"/>
    </row>
    <row r="124" spans="1:10" ht="11.25" customHeight="1" x14ac:dyDescent="0.25">
      <c r="A124"/>
      <c r="B124"/>
      <c r="C124"/>
      <c r="D124"/>
      <c r="E124"/>
      <c r="F124"/>
      <c r="G124"/>
      <c r="H124"/>
      <c r="I124"/>
      <c r="J124"/>
    </row>
    <row r="125" spans="1:10" ht="11.25" customHeight="1" x14ac:dyDescent="0.25">
      <c r="A125"/>
      <c r="B125"/>
      <c r="C125"/>
      <c r="D125"/>
      <c r="E125"/>
      <c r="F125"/>
      <c r="G125"/>
      <c r="H125"/>
      <c r="I125"/>
      <c r="J125"/>
    </row>
    <row r="126" spans="1:10" ht="11.25" customHeight="1" x14ac:dyDescent="0.25">
      <c r="A126"/>
      <c r="B126"/>
      <c r="C126"/>
      <c r="D126"/>
      <c r="E126"/>
      <c r="F126"/>
      <c r="G126"/>
      <c r="H126"/>
      <c r="I126"/>
      <c r="J126"/>
    </row>
    <row r="127" spans="1:10" ht="11.25" customHeight="1" x14ac:dyDescent="0.25">
      <c r="A127"/>
      <c r="B127"/>
      <c r="C127"/>
      <c r="D127"/>
      <c r="E127"/>
      <c r="F127"/>
      <c r="G127"/>
      <c r="H127"/>
      <c r="I127"/>
      <c r="J127"/>
    </row>
    <row r="128" spans="1:10" ht="11.25" customHeight="1" x14ac:dyDescent="0.25">
      <c r="A128"/>
      <c r="B128"/>
      <c r="C128"/>
      <c r="D128"/>
      <c r="E128"/>
      <c r="F128"/>
      <c r="G128"/>
      <c r="H128"/>
      <c r="I128"/>
      <c r="J128"/>
    </row>
    <row r="129" spans="1:10" ht="11.25" customHeight="1" x14ac:dyDescent="0.25">
      <c r="A129"/>
      <c r="B129"/>
      <c r="C129"/>
      <c r="D129"/>
      <c r="E129"/>
      <c r="F129"/>
      <c r="G129"/>
      <c r="H129"/>
      <c r="I129"/>
      <c r="J129"/>
    </row>
    <row r="130" spans="1:10" ht="11.25" customHeight="1" x14ac:dyDescent="0.25">
      <c r="A130"/>
      <c r="B130"/>
      <c r="C130"/>
      <c r="D130"/>
      <c r="E130"/>
      <c r="F130"/>
      <c r="G130"/>
      <c r="H130"/>
      <c r="I130"/>
      <c r="J130"/>
    </row>
    <row r="131" spans="1:10" ht="11.25" customHeight="1" x14ac:dyDescent="0.25">
      <c r="A131"/>
      <c r="B131"/>
      <c r="C131"/>
      <c r="D131"/>
      <c r="E131"/>
      <c r="F131"/>
      <c r="G131"/>
      <c r="H131"/>
      <c r="I131"/>
      <c r="J131"/>
    </row>
    <row r="132" spans="1:10" ht="11.25" customHeight="1" x14ac:dyDescent="0.25">
      <c r="A132"/>
      <c r="B132"/>
      <c r="C132"/>
      <c r="D132"/>
      <c r="E132"/>
      <c r="F132"/>
      <c r="G132"/>
      <c r="H132"/>
      <c r="I132"/>
      <c r="J132"/>
    </row>
    <row r="133" spans="1:10" ht="11.25" customHeight="1" x14ac:dyDescent="0.25">
      <c r="A133"/>
      <c r="B133"/>
      <c r="C133"/>
      <c r="D133"/>
      <c r="E133"/>
      <c r="F133"/>
      <c r="G133"/>
      <c r="H133"/>
      <c r="I133"/>
      <c r="J133"/>
    </row>
    <row r="134" spans="1:10" ht="11.25" customHeight="1" x14ac:dyDescent="0.25">
      <c r="A134"/>
      <c r="B134"/>
      <c r="C134"/>
      <c r="D134"/>
      <c r="E134"/>
      <c r="F134"/>
      <c r="G134"/>
      <c r="H134"/>
      <c r="I134"/>
      <c r="J134"/>
    </row>
    <row r="135" spans="1:10" ht="11.25" customHeight="1" x14ac:dyDescent="0.25">
      <c r="A135"/>
      <c r="B135"/>
      <c r="C135"/>
      <c r="D135"/>
      <c r="E135"/>
      <c r="F135"/>
      <c r="G135"/>
      <c r="H135"/>
      <c r="I135"/>
      <c r="J135"/>
    </row>
    <row r="136" spans="1:10" ht="11.25" customHeight="1" x14ac:dyDescent="0.25">
      <c r="A136"/>
      <c r="B136"/>
      <c r="C136"/>
      <c r="D136"/>
      <c r="E136"/>
      <c r="F136"/>
      <c r="G136"/>
      <c r="H136"/>
      <c r="I136"/>
      <c r="J136"/>
    </row>
    <row r="137" spans="1:10" ht="11.25" customHeight="1" x14ac:dyDescent="0.25">
      <c r="A137"/>
      <c r="B137"/>
      <c r="C137"/>
      <c r="D137"/>
      <c r="E137"/>
      <c r="F137"/>
      <c r="G137"/>
      <c r="H137"/>
      <c r="I137"/>
      <c r="J137"/>
    </row>
    <row r="138" spans="1:10" ht="11.25" customHeight="1" x14ac:dyDescent="0.25">
      <c r="A138"/>
      <c r="B138"/>
      <c r="C138"/>
      <c r="D138"/>
      <c r="E138"/>
      <c r="F138"/>
      <c r="G138"/>
      <c r="H138"/>
      <c r="I138"/>
      <c r="J138"/>
    </row>
    <row r="139" spans="1:10" ht="11.25" customHeight="1" x14ac:dyDescent="0.25">
      <c r="A139"/>
      <c r="B139"/>
      <c r="C139"/>
      <c r="D139"/>
      <c r="E139"/>
      <c r="F139"/>
      <c r="G139"/>
      <c r="H139"/>
      <c r="I139"/>
      <c r="J139"/>
    </row>
    <row r="140" spans="1:10" ht="11.25" customHeight="1" x14ac:dyDescent="0.25">
      <c r="A140"/>
      <c r="B140"/>
      <c r="C140"/>
      <c r="D140"/>
      <c r="E140"/>
      <c r="F140"/>
      <c r="G140"/>
      <c r="H140"/>
      <c r="I140"/>
      <c r="J140"/>
    </row>
    <row r="141" spans="1:10" ht="11.25" customHeight="1" x14ac:dyDescent="0.25">
      <c r="A141"/>
      <c r="B141"/>
      <c r="C141"/>
      <c r="D141"/>
      <c r="E141"/>
      <c r="F141"/>
      <c r="G141"/>
      <c r="H141"/>
      <c r="I141"/>
      <c r="J141"/>
    </row>
    <row r="142" spans="1:10" ht="11.25" customHeight="1" x14ac:dyDescent="0.25">
      <c r="A142"/>
      <c r="B142"/>
      <c r="C142"/>
      <c r="D142"/>
      <c r="E142"/>
      <c r="F142"/>
      <c r="G142"/>
      <c r="H142"/>
      <c r="I142"/>
      <c r="J142"/>
    </row>
    <row r="143" spans="1:10" ht="11.25" customHeight="1" x14ac:dyDescent="0.25">
      <c r="A143"/>
      <c r="B143"/>
      <c r="C143"/>
      <c r="D143"/>
      <c r="E143"/>
      <c r="F143"/>
      <c r="G143"/>
      <c r="H143"/>
      <c r="I143"/>
      <c r="J143"/>
    </row>
    <row r="144" spans="1:10" ht="11.25" customHeight="1" x14ac:dyDescent="0.25">
      <c r="A144"/>
      <c r="B144"/>
      <c r="C144"/>
      <c r="D144"/>
      <c r="E144"/>
      <c r="F144"/>
      <c r="G144"/>
      <c r="H144"/>
      <c r="I144"/>
      <c r="J144"/>
    </row>
    <row r="145" spans="1:10" ht="11.25" customHeight="1" x14ac:dyDescent="0.25">
      <c r="A145"/>
      <c r="B145"/>
      <c r="C145"/>
      <c r="D145"/>
      <c r="E145"/>
      <c r="F145"/>
      <c r="G145"/>
      <c r="H145"/>
      <c r="I145"/>
      <c r="J145"/>
    </row>
    <row r="146" spans="1:10" ht="11.25" customHeight="1" x14ac:dyDescent="0.25">
      <c r="A146"/>
      <c r="B146"/>
      <c r="C146"/>
      <c r="D146"/>
      <c r="E146"/>
      <c r="F146"/>
      <c r="G146"/>
      <c r="H146"/>
      <c r="I146"/>
      <c r="J146"/>
    </row>
    <row r="147" spans="1:10" ht="11.25" customHeight="1" x14ac:dyDescent="0.25">
      <c r="A147"/>
      <c r="B147"/>
      <c r="C147"/>
      <c r="D147"/>
      <c r="E147"/>
      <c r="F147"/>
      <c r="G147"/>
      <c r="H147"/>
      <c r="I147"/>
      <c r="J147"/>
    </row>
    <row r="148" spans="1:10" ht="11.25" customHeight="1" x14ac:dyDescent="0.25">
      <c r="A148"/>
      <c r="B148"/>
      <c r="C148"/>
      <c r="D148"/>
      <c r="E148"/>
      <c r="F148"/>
      <c r="G148"/>
      <c r="H148"/>
      <c r="I148"/>
      <c r="J148"/>
    </row>
    <row r="149" spans="1:10" ht="11.25" customHeight="1" x14ac:dyDescent="0.25">
      <c r="A149"/>
      <c r="B149"/>
      <c r="C149"/>
      <c r="D149"/>
      <c r="E149"/>
      <c r="F149"/>
      <c r="G149"/>
      <c r="H149"/>
      <c r="I149"/>
      <c r="J149"/>
    </row>
    <row r="150" spans="1:10" ht="11.25" customHeight="1" x14ac:dyDescent="0.25">
      <c r="A150"/>
      <c r="B150"/>
      <c r="C150"/>
      <c r="D150"/>
      <c r="E150"/>
      <c r="F150"/>
      <c r="G150"/>
      <c r="H150"/>
      <c r="I150"/>
      <c r="J150"/>
    </row>
    <row r="151" spans="1:10" ht="11.25" customHeight="1" x14ac:dyDescent="0.25">
      <c r="A151"/>
      <c r="B151"/>
      <c r="C151"/>
      <c r="D151"/>
      <c r="E151"/>
      <c r="F151"/>
      <c r="G151"/>
      <c r="H151"/>
      <c r="I151"/>
      <c r="J151"/>
    </row>
    <row r="152" spans="1:10" ht="11.25" customHeight="1" x14ac:dyDescent="0.25">
      <c r="A152"/>
      <c r="B152"/>
      <c r="C152"/>
      <c r="D152"/>
      <c r="E152"/>
      <c r="F152"/>
      <c r="G152"/>
      <c r="H152"/>
      <c r="I152"/>
      <c r="J152"/>
    </row>
    <row r="153" spans="1:10" ht="11.25" customHeight="1" x14ac:dyDescent="0.25">
      <c r="A153"/>
      <c r="B153"/>
      <c r="C153"/>
      <c r="D153"/>
      <c r="E153"/>
      <c r="F153"/>
      <c r="G153"/>
      <c r="H153"/>
      <c r="I153"/>
      <c r="J153"/>
    </row>
    <row r="154" spans="1:10" ht="11.25" customHeight="1" x14ac:dyDescent="0.25">
      <c r="A154"/>
      <c r="B154"/>
      <c r="C154"/>
      <c r="D154"/>
      <c r="E154"/>
      <c r="F154"/>
      <c r="G154"/>
      <c r="H154"/>
      <c r="I154"/>
      <c r="J154"/>
    </row>
    <row r="155" spans="1:10" ht="11.25" customHeight="1" x14ac:dyDescent="0.25">
      <c r="A155"/>
      <c r="B155"/>
      <c r="C155"/>
      <c r="D155"/>
      <c r="E155"/>
      <c r="F155"/>
      <c r="G155"/>
      <c r="H155"/>
      <c r="I155"/>
      <c r="J155"/>
    </row>
    <row r="156" spans="1:10" ht="11.25" customHeight="1" x14ac:dyDescent="0.25">
      <c r="A156"/>
      <c r="B156"/>
      <c r="C156"/>
      <c r="D156"/>
      <c r="E156"/>
      <c r="F156"/>
      <c r="G156"/>
      <c r="H156"/>
      <c r="I156"/>
      <c r="J156"/>
    </row>
    <row r="157" spans="1:10" ht="11.25" customHeight="1" x14ac:dyDescent="0.25">
      <c r="A157"/>
      <c r="B157"/>
      <c r="C157"/>
      <c r="D157"/>
      <c r="E157"/>
      <c r="F157"/>
      <c r="G157"/>
      <c r="H157"/>
      <c r="I157"/>
      <c r="J157"/>
    </row>
    <row r="158" spans="1:10" ht="11.25" customHeight="1" x14ac:dyDescent="0.25">
      <c r="A158"/>
      <c r="B158"/>
      <c r="C158"/>
      <c r="D158"/>
      <c r="E158"/>
      <c r="F158"/>
      <c r="G158"/>
      <c r="H158"/>
      <c r="I158"/>
      <c r="J158"/>
    </row>
    <row r="159" spans="1:10" ht="11.25" customHeight="1" x14ac:dyDescent="0.25">
      <c r="A159"/>
      <c r="B159"/>
      <c r="C159"/>
      <c r="D159"/>
      <c r="E159"/>
      <c r="F159"/>
      <c r="G159"/>
      <c r="H159"/>
      <c r="I159"/>
      <c r="J159"/>
    </row>
    <row r="160" spans="1:10" ht="11.25" customHeight="1" x14ac:dyDescent="0.25">
      <c r="A160"/>
      <c r="B160"/>
      <c r="C160"/>
      <c r="D160"/>
      <c r="E160"/>
      <c r="F160"/>
      <c r="G160"/>
      <c r="H160"/>
      <c r="I160"/>
      <c r="J160"/>
    </row>
    <row r="161" spans="1:10" ht="11.25" customHeight="1" x14ac:dyDescent="0.25">
      <c r="A161"/>
      <c r="B161"/>
      <c r="C161"/>
      <c r="D161"/>
      <c r="E161"/>
      <c r="F161"/>
      <c r="G161"/>
      <c r="H161"/>
      <c r="I161"/>
      <c r="J161"/>
    </row>
    <row r="162" spans="1:10" ht="11.25" customHeight="1" x14ac:dyDescent="0.25">
      <c r="A162"/>
      <c r="B162"/>
      <c r="C162"/>
      <c r="D162"/>
      <c r="E162"/>
      <c r="F162"/>
      <c r="G162"/>
      <c r="H162"/>
      <c r="I162"/>
      <c r="J162"/>
    </row>
    <row r="163" spans="1:10" ht="11.25" customHeight="1" x14ac:dyDescent="0.25">
      <c r="A163"/>
      <c r="B163"/>
      <c r="C163"/>
      <c r="D163"/>
      <c r="E163"/>
      <c r="F163"/>
      <c r="G163"/>
      <c r="H163"/>
      <c r="I163"/>
      <c r="J163"/>
    </row>
    <row r="164" spans="1:10" ht="11.25" customHeight="1" x14ac:dyDescent="0.25">
      <c r="A164"/>
      <c r="B164"/>
      <c r="C164"/>
      <c r="D164"/>
      <c r="E164"/>
      <c r="F164"/>
      <c r="G164"/>
      <c r="H164"/>
      <c r="I164"/>
      <c r="J164"/>
    </row>
    <row r="165" spans="1:10" ht="11.25" customHeight="1" x14ac:dyDescent="0.25">
      <c r="A165"/>
      <c r="B165"/>
      <c r="C165"/>
      <c r="D165"/>
      <c r="E165"/>
      <c r="F165"/>
      <c r="G165"/>
      <c r="H165"/>
      <c r="I165"/>
      <c r="J165"/>
    </row>
    <row r="166" spans="1:10" ht="11.25" customHeight="1" x14ac:dyDescent="0.25">
      <c r="A166"/>
      <c r="B166"/>
      <c r="C166"/>
      <c r="D166"/>
      <c r="E166"/>
      <c r="F166"/>
      <c r="G166"/>
      <c r="H166"/>
      <c r="I166"/>
      <c r="J166"/>
    </row>
    <row r="167" spans="1:10" ht="11.25" customHeight="1" x14ac:dyDescent="0.25">
      <c r="A167"/>
      <c r="B167"/>
      <c r="C167"/>
      <c r="D167"/>
      <c r="E167"/>
      <c r="F167"/>
      <c r="G167"/>
      <c r="H167"/>
      <c r="I167"/>
      <c r="J167"/>
    </row>
    <row r="168" spans="1:10" ht="11.25" customHeight="1" x14ac:dyDescent="0.25">
      <c r="A168"/>
      <c r="B168"/>
      <c r="C168"/>
      <c r="D168"/>
      <c r="E168"/>
      <c r="F168"/>
      <c r="G168"/>
      <c r="H168"/>
      <c r="I168"/>
      <c r="J168"/>
    </row>
    <row r="169" spans="1:10" ht="11.25" customHeight="1" x14ac:dyDescent="0.25">
      <c r="A169"/>
      <c r="B169"/>
      <c r="C169"/>
      <c r="D169"/>
      <c r="E169"/>
      <c r="F169"/>
      <c r="G169"/>
      <c r="H169"/>
      <c r="I169"/>
      <c r="J169"/>
    </row>
    <row r="170" spans="1:10" ht="11.25" customHeight="1" x14ac:dyDescent="0.25">
      <c r="A170"/>
      <c r="B170"/>
      <c r="C170"/>
      <c r="D170"/>
      <c r="E170"/>
      <c r="F170"/>
      <c r="G170"/>
      <c r="H170"/>
      <c r="I170"/>
      <c r="J170"/>
    </row>
    <row r="171" spans="1:10" ht="11.25" customHeight="1" x14ac:dyDescent="0.25">
      <c r="A171"/>
      <c r="B171"/>
      <c r="C171"/>
      <c r="D171"/>
      <c r="E171"/>
      <c r="F171"/>
      <c r="G171"/>
      <c r="H171"/>
      <c r="I171"/>
      <c r="J171"/>
    </row>
    <row r="172" spans="1:10" ht="11.25" customHeight="1" x14ac:dyDescent="0.25">
      <c r="A172"/>
      <c r="B172"/>
      <c r="C172"/>
      <c r="D172"/>
      <c r="E172"/>
      <c r="F172"/>
      <c r="G172"/>
      <c r="H172"/>
      <c r="I172"/>
      <c r="J172"/>
    </row>
    <row r="173" spans="1:10" ht="11.25" customHeight="1" x14ac:dyDescent="0.25">
      <c r="A173"/>
      <c r="B173"/>
      <c r="C173"/>
      <c r="D173"/>
      <c r="E173"/>
      <c r="F173"/>
      <c r="G173"/>
      <c r="H173"/>
      <c r="I173"/>
      <c r="J173"/>
    </row>
    <row r="174" spans="1:10" ht="11.25" customHeight="1" x14ac:dyDescent="0.25">
      <c r="A174"/>
      <c r="B174"/>
      <c r="C174"/>
      <c r="D174"/>
      <c r="E174"/>
      <c r="F174"/>
      <c r="G174"/>
      <c r="H174"/>
      <c r="I174"/>
      <c r="J174"/>
    </row>
    <row r="175" spans="1:10" ht="11.25" customHeight="1" x14ac:dyDescent="0.25">
      <c r="A175"/>
      <c r="B175"/>
      <c r="C175"/>
      <c r="D175"/>
      <c r="E175"/>
      <c r="F175"/>
      <c r="G175"/>
      <c r="H175"/>
      <c r="I175"/>
      <c r="J175"/>
    </row>
    <row r="176" spans="1:10" ht="11.25" customHeight="1" x14ac:dyDescent="0.25">
      <c r="A176"/>
      <c r="B176"/>
      <c r="C176"/>
      <c r="D176"/>
      <c r="E176"/>
      <c r="F176"/>
      <c r="G176"/>
      <c r="H176"/>
      <c r="I176"/>
      <c r="J176"/>
    </row>
    <row r="177" spans="1:10" ht="11.25" customHeight="1" x14ac:dyDescent="0.25">
      <c r="A177"/>
      <c r="B177"/>
      <c r="C177"/>
      <c r="D177"/>
      <c r="E177"/>
      <c r="F177"/>
      <c r="G177"/>
      <c r="H177"/>
      <c r="I177"/>
      <c r="J177"/>
    </row>
    <row r="178" spans="1:10" ht="11.25" customHeight="1" x14ac:dyDescent="0.25">
      <c r="A178"/>
      <c r="B178"/>
      <c r="C178"/>
      <c r="D178"/>
      <c r="E178"/>
      <c r="F178"/>
      <c r="G178"/>
      <c r="H178"/>
      <c r="I178"/>
      <c r="J178"/>
    </row>
    <row r="179" spans="1:10" ht="11.25" customHeight="1" x14ac:dyDescent="0.25">
      <c r="A179"/>
      <c r="B179"/>
      <c r="C179"/>
      <c r="D179"/>
      <c r="E179"/>
      <c r="F179"/>
      <c r="G179"/>
      <c r="H179"/>
      <c r="I179"/>
      <c r="J179"/>
    </row>
    <row r="180" spans="1:10" ht="11.25" customHeight="1" x14ac:dyDescent="0.25">
      <c r="A180"/>
      <c r="B180"/>
      <c r="C180"/>
      <c r="D180"/>
      <c r="E180"/>
      <c r="F180"/>
      <c r="G180"/>
      <c r="H180"/>
      <c r="I180"/>
      <c r="J180"/>
    </row>
    <row r="181" spans="1:10" ht="11.25" customHeight="1" x14ac:dyDescent="0.25">
      <c r="A181"/>
      <c r="B181"/>
      <c r="C181"/>
      <c r="D181"/>
      <c r="E181"/>
      <c r="F181"/>
      <c r="G181"/>
      <c r="H181"/>
      <c r="I181"/>
      <c r="J181"/>
    </row>
    <row r="182" spans="1:10" ht="11.25" customHeight="1" x14ac:dyDescent="0.25">
      <c r="A182"/>
      <c r="B182"/>
      <c r="C182"/>
      <c r="D182"/>
      <c r="E182"/>
      <c r="F182"/>
      <c r="G182"/>
      <c r="H182"/>
      <c r="I182"/>
      <c r="J182"/>
    </row>
    <row r="183" spans="1:10" ht="11.25" customHeight="1" x14ac:dyDescent="0.25">
      <c r="A183"/>
      <c r="B183"/>
      <c r="C183"/>
      <c r="D183"/>
      <c r="E183"/>
      <c r="F183"/>
      <c r="G183"/>
      <c r="H183"/>
      <c r="I183"/>
      <c r="J183"/>
    </row>
    <row r="184" spans="1:10" ht="11.25" customHeight="1" x14ac:dyDescent="0.25">
      <c r="A184"/>
      <c r="B184"/>
      <c r="C184"/>
      <c r="D184"/>
      <c r="E184"/>
      <c r="F184"/>
      <c r="G184"/>
      <c r="H184"/>
      <c r="I184"/>
      <c r="J184"/>
    </row>
    <row r="185" spans="1:10" ht="11.25" customHeight="1" x14ac:dyDescent="0.25">
      <c r="A185"/>
      <c r="B185"/>
      <c r="C185"/>
      <c r="D185"/>
      <c r="E185"/>
      <c r="F185"/>
      <c r="G185"/>
      <c r="H185"/>
      <c r="I185"/>
      <c r="J185"/>
    </row>
    <row r="186" spans="1:10" ht="11.25" customHeight="1" x14ac:dyDescent="0.25">
      <c r="A186"/>
      <c r="B186"/>
      <c r="C186"/>
      <c r="D186"/>
      <c r="E186"/>
      <c r="F186"/>
      <c r="G186"/>
      <c r="H186"/>
      <c r="I186"/>
      <c r="J186"/>
    </row>
    <row r="187" spans="1:10" ht="11.25" customHeight="1" x14ac:dyDescent="0.25">
      <c r="A187"/>
      <c r="B187"/>
      <c r="C187"/>
      <c r="D187"/>
      <c r="E187"/>
      <c r="F187"/>
      <c r="G187"/>
      <c r="H187"/>
      <c r="I187"/>
      <c r="J187"/>
    </row>
    <row r="188" spans="1:10" ht="11.25" customHeight="1" x14ac:dyDescent="0.25">
      <c r="A188"/>
      <c r="B188"/>
      <c r="C188"/>
      <c r="D188"/>
      <c r="E188"/>
      <c r="F188"/>
      <c r="G188"/>
      <c r="H188"/>
      <c r="I188"/>
      <c r="J188"/>
    </row>
    <row r="189" spans="1:10" ht="11.25" customHeight="1" x14ac:dyDescent="0.25">
      <c r="A189"/>
      <c r="B189"/>
      <c r="C189"/>
      <c r="D189"/>
      <c r="E189"/>
      <c r="F189"/>
      <c r="G189"/>
      <c r="H189"/>
      <c r="I189"/>
      <c r="J189"/>
    </row>
    <row r="190" spans="1:10" ht="11.25" customHeight="1" x14ac:dyDescent="0.25">
      <c r="A190"/>
      <c r="B190"/>
      <c r="C190"/>
      <c r="D190"/>
      <c r="E190"/>
      <c r="F190"/>
      <c r="G190"/>
      <c r="H190"/>
      <c r="I190"/>
      <c r="J190"/>
    </row>
    <row r="191" spans="1:10" ht="11.25" customHeight="1" x14ac:dyDescent="0.25">
      <c r="A191"/>
      <c r="B191"/>
      <c r="C191"/>
      <c r="D191"/>
      <c r="E191"/>
      <c r="F191"/>
      <c r="G191"/>
      <c r="H191"/>
      <c r="I191"/>
      <c r="J191"/>
    </row>
    <row r="192" spans="1:10" ht="11.25" customHeight="1" x14ac:dyDescent="0.25">
      <c r="A192"/>
      <c r="B192"/>
      <c r="C192"/>
      <c r="D192"/>
      <c r="E192"/>
      <c r="F192"/>
      <c r="G192"/>
      <c r="H192"/>
      <c r="I192"/>
      <c r="J192"/>
    </row>
    <row r="193" spans="1:10" ht="11.25" customHeight="1" x14ac:dyDescent="0.25">
      <c r="A193"/>
      <c r="B193"/>
      <c r="C193"/>
      <c r="D193"/>
      <c r="E193"/>
      <c r="F193"/>
      <c r="G193"/>
      <c r="H193"/>
      <c r="I193"/>
      <c r="J193"/>
    </row>
    <row r="194" spans="1:10" ht="11.25" customHeight="1" x14ac:dyDescent="0.25">
      <c r="A194"/>
      <c r="B194"/>
      <c r="C194"/>
      <c r="D194"/>
      <c r="E194"/>
      <c r="F194"/>
      <c r="G194"/>
      <c r="H194"/>
      <c r="I194"/>
      <c r="J194"/>
    </row>
    <row r="195" spans="1:10" ht="11.25" customHeight="1" x14ac:dyDescent="0.25">
      <c r="A195"/>
      <c r="B195"/>
      <c r="C195"/>
      <c r="D195"/>
      <c r="E195"/>
      <c r="F195"/>
      <c r="G195"/>
      <c r="H195"/>
      <c r="I195"/>
      <c r="J195"/>
    </row>
    <row r="196" spans="1:10" ht="11.25" customHeight="1" x14ac:dyDescent="0.25">
      <c r="A196"/>
      <c r="B196"/>
      <c r="C196"/>
      <c r="D196"/>
      <c r="E196"/>
      <c r="F196"/>
      <c r="G196"/>
      <c r="H196"/>
      <c r="I196"/>
      <c r="J196"/>
    </row>
    <row r="197" spans="1:10" ht="11.25" customHeight="1" x14ac:dyDescent="0.25">
      <c r="A197"/>
      <c r="B197"/>
      <c r="C197"/>
      <c r="D197"/>
      <c r="E197"/>
      <c r="F197"/>
      <c r="G197"/>
      <c r="H197"/>
      <c r="I197"/>
      <c r="J197"/>
    </row>
    <row r="198" spans="1:10" ht="11.25" customHeight="1" x14ac:dyDescent="0.25">
      <c r="A198"/>
      <c r="B198"/>
      <c r="C198"/>
      <c r="D198"/>
      <c r="E198"/>
      <c r="F198"/>
      <c r="G198"/>
      <c r="H198"/>
      <c r="I198"/>
      <c r="J198"/>
    </row>
    <row r="199" spans="1:10" ht="11.25" customHeight="1" x14ac:dyDescent="0.25">
      <c r="A199"/>
      <c r="B199"/>
      <c r="C199"/>
      <c r="D199"/>
      <c r="E199"/>
      <c r="F199"/>
      <c r="G199"/>
      <c r="H199"/>
      <c r="I199"/>
      <c r="J199"/>
    </row>
    <row r="200" spans="1:10" ht="11.25" customHeight="1" x14ac:dyDescent="0.25">
      <c r="A200"/>
      <c r="B200"/>
      <c r="C200"/>
      <c r="D200"/>
      <c r="E200"/>
      <c r="F200"/>
      <c r="G200"/>
      <c r="H200"/>
      <c r="I200"/>
      <c r="J200"/>
    </row>
    <row r="201" spans="1:10" ht="11.25" customHeight="1" x14ac:dyDescent="0.25">
      <c r="A201"/>
      <c r="B201"/>
      <c r="C201"/>
      <c r="D201"/>
      <c r="E201"/>
      <c r="F201"/>
      <c r="G201"/>
      <c r="H201"/>
      <c r="I201"/>
      <c r="J201"/>
    </row>
    <row r="202" spans="1:10" ht="11.25" customHeight="1" x14ac:dyDescent="0.25">
      <c r="A202"/>
      <c r="B202"/>
      <c r="C202"/>
      <c r="D202"/>
      <c r="E202"/>
      <c r="F202"/>
      <c r="G202"/>
      <c r="H202"/>
      <c r="I202"/>
      <c r="J202"/>
    </row>
    <row r="203" spans="1:10" ht="11.25" customHeight="1" x14ac:dyDescent="0.25">
      <c r="A203"/>
      <c r="B203"/>
      <c r="C203"/>
      <c r="D203"/>
      <c r="E203"/>
      <c r="F203"/>
      <c r="G203"/>
      <c r="H203"/>
      <c r="I203"/>
      <c r="J203"/>
    </row>
    <row r="204" spans="1:10" ht="11.25" customHeight="1" x14ac:dyDescent="0.25">
      <c r="A204"/>
      <c r="B204"/>
      <c r="C204"/>
      <c r="D204"/>
      <c r="E204"/>
      <c r="F204"/>
      <c r="G204"/>
      <c r="H204"/>
      <c r="I204"/>
      <c r="J204"/>
    </row>
    <row r="205" spans="1:10" ht="11.25" customHeight="1" x14ac:dyDescent="0.25">
      <c r="A205"/>
      <c r="B205"/>
      <c r="C205"/>
      <c r="D205"/>
      <c r="E205"/>
      <c r="F205"/>
      <c r="G205"/>
      <c r="H205"/>
      <c r="I205"/>
      <c r="J205"/>
    </row>
    <row r="206" spans="1:10" ht="11.25" customHeight="1" x14ac:dyDescent="0.25">
      <c r="A206"/>
      <c r="B206"/>
      <c r="C206"/>
      <c r="D206"/>
      <c r="E206"/>
      <c r="F206"/>
      <c r="G206"/>
      <c r="H206"/>
      <c r="I206"/>
      <c r="J206"/>
    </row>
    <row r="207" spans="1:10" ht="11.25" customHeight="1" x14ac:dyDescent="0.25">
      <c r="A207"/>
      <c r="B207"/>
      <c r="C207"/>
      <c r="D207"/>
      <c r="E207"/>
      <c r="F207"/>
      <c r="G207"/>
      <c r="H207"/>
      <c r="I207"/>
      <c r="J207"/>
    </row>
    <row r="208" spans="1:10" ht="11.25" customHeight="1" x14ac:dyDescent="0.25">
      <c r="A208"/>
      <c r="B208"/>
      <c r="C208"/>
      <c r="D208"/>
      <c r="E208"/>
      <c r="F208"/>
      <c r="G208"/>
      <c r="H208"/>
      <c r="I208"/>
      <c r="J208"/>
    </row>
    <row r="209" spans="1:10" ht="11.25" customHeight="1" x14ac:dyDescent="0.25">
      <c r="A209"/>
      <c r="B209"/>
      <c r="C209"/>
      <c r="D209"/>
      <c r="E209"/>
      <c r="F209"/>
      <c r="G209"/>
      <c r="H209"/>
      <c r="I209"/>
      <c r="J209"/>
    </row>
    <row r="210" spans="1:10" ht="11.25" customHeight="1" x14ac:dyDescent="0.25">
      <c r="A210"/>
      <c r="B210"/>
      <c r="C210"/>
      <c r="D210"/>
      <c r="E210"/>
      <c r="F210"/>
      <c r="G210"/>
      <c r="H210"/>
      <c r="I210"/>
      <c r="J210"/>
    </row>
    <row r="211" spans="1:10" ht="11.25" customHeight="1" x14ac:dyDescent="0.25">
      <c r="A211"/>
      <c r="B211"/>
      <c r="C211"/>
      <c r="D211"/>
      <c r="E211"/>
      <c r="F211"/>
      <c r="G211"/>
      <c r="H211"/>
      <c r="I211"/>
      <c r="J211"/>
    </row>
    <row r="212" spans="1:10" ht="11.25" customHeight="1" x14ac:dyDescent="0.25">
      <c r="A212"/>
      <c r="B212"/>
      <c r="C212"/>
      <c r="D212"/>
      <c r="E212"/>
      <c r="F212"/>
      <c r="G212"/>
      <c r="H212"/>
      <c r="I212"/>
      <c r="J212"/>
    </row>
    <row r="213" spans="1:10" ht="11.25" customHeight="1" x14ac:dyDescent="0.25">
      <c r="A213"/>
      <c r="B213"/>
      <c r="C213"/>
      <c r="D213"/>
      <c r="E213"/>
      <c r="F213"/>
      <c r="G213"/>
      <c r="H213"/>
      <c r="I213"/>
      <c r="J213"/>
    </row>
    <row r="214" spans="1:10" ht="11.25" customHeight="1" x14ac:dyDescent="0.25">
      <c r="A214"/>
      <c r="B214"/>
      <c r="C214"/>
      <c r="D214"/>
      <c r="E214"/>
      <c r="F214"/>
      <c r="G214"/>
      <c r="H214"/>
      <c r="I214"/>
      <c r="J214"/>
    </row>
    <row r="215" spans="1:10" ht="11.25" customHeight="1" x14ac:dyDescent="0.25">
      <c r="A215"/>
      <c r="B215"/>
      <c r="C215"/>
      <c r="D215"/>
      <c r="E215"/>
      <c r="F215"/>
      <c r="G215"/>
      <c r="H215"/>
      <c r="I215"/>
      <c r="J215"/>
    </row>
    <row r="216" spans="1:10" ht="11.25" customHeight="1" x14ac:dyDescent="0.25">
      <c r="A216"/>
      <c r="B216"/>
      <c r="C216"/>
      <c r="D216"/>
      <c r="E216"/>
      <c r="F216"/>
      <c r="G216"/>
      <c r="H216"/>
      <c r="I216"/>
      <c r="J216"/>
    </row>
    <row r="217" spans="1:10" ht="11.25" customHeight="1" x14ac:dyDescent="0.25">
      <c r="A217"/>
      <c r="B217"/>
      <c r="C217"/>
      <c r="D217"/>
      <c r="E217"/>
      <c r="F217"/>
      <c r="G217"/>
      <c r="H217"/>
      <c r="I217"/>
      <c r="J217"/>
    </row>
    <row r="218" spans="1:10" ht="11.25" customHeight="1" x14ac:dyDescent="0.25">
      <c r="A218"/>
      <c r="B218"/>
      <c r="C218"/>
      <c r="D218"/>
      <c r="E218"/>
      <c r="F218"/>
      <c r="G218"/>
      <c r="H218"/>
      <c r="I218"/>
      <c r="J218"/>
    </row>
    <row r="219" spans="1:10" ht="11.25" customHeight="1" x14ac:dyDescent="0.25">
      <c r="A219"/>
      <c r="B219"/>
      <c r="C219"/>
      <c r="D219"/>
      <c r="E219"/>
      <c r="F219"/>
      <c r="G219"/>
      <c r="H219"/>
      <c r="I219"/>
      <c r="J219"/>
    </row>
    <row r="220" spans="1:10" ht="11.25" customHeight="1" x14ac:dyDescent="0.25">
      <c r="A220"/>
      <c r="B220"/>
      <c r="C220"/>
      <c r="D220"/>
      <c r="E220"/>
      <c r="F220"/>
      <c r="G220"/>
      <c r="H220"/>
      <c r="I220"/>
      <c r="J220"/>
    </row>
    <row r="221" spans="1:10" ht="11.25" customHeight="1" x14ac:dyDescent="0.25">
      <c r="A221"/>
      <c r="B221"/>
      <c r="C221"/>
      <c r="D221"/>
      <c r="E221"/>
      <c r="F221"/>
      <c r="G221"/>
      <c r="H221"/>
      <c r="I221"/>
      <c r="J221"/>
    </row>
    <row r="222" spans="1:10" ht="11.25" customHeight="1" x14ac:dyDescent="0.25">
      <c r="A222"/>
      <c r="B222"/>
      <c r="C222"/>
      <c r="D222"/>
      <c r="E222"/>
      <c r="F222"/>
      <c r="G222"/>
      <c r="H222"/>
      <c r="I222"/>
      <c r="J222"/>
    </row>
    <row r="223" spans="1:10" ht="11.25" customHeight="1" x14ac:dyDescent="0.25">
      <c r="A223"/>
      <c r="B223"/>
      <c r="C223"/>
      <c r="D223"/>
      <c r="E223"/>
      <c r="F223"/>
      <c r="G223"/>
      <c r="H223"/>
      <c r="I223"/>
      <c r="J223"/>
    </row>
    <row r="224" spans="1:10" ht="11.25" customHeight="1" x14ac:dyDescent="0.25">
      <c r="A224"/>
      <c r="B224"/>
      <c r="C224"/>
      <c r="D224"/>
      <c r="E224"/>
      <c r="F224"/>
      <c r="G224"/>
      <c r="H224"/>
      <c r="I224"/>
      <c r="J224"/>
    </row>
    <row r="225" spans="1:10" ht="11.25" customHeight="1" x14ac:dyDescent="0.25">
      <c r="A225"/>
      <c r="B225"/>
      <c r="C225"/>
      <c r="D225"/>
      <c r="E225"/>
      <c r="F225"/>
      <c r="G225"/>
      <c r="H225"/>
      <c r="I225"/>
      <c r="J225"/>
    </row>
    <row r="226" spans="1:10" ht="11.25" customHeight="1" x14ac:dyDescent="0.25">
      <c r="A226"/>
      <c r="B226"/>
      <c r="C226"/>
      <c r="D226"/>
      <c r="E226"/>
      <c r="F226"/>
      <c r="G226"/>
      <c r="H226"/>
      <c r="I226"/>
      <c r="J226"/>
    </row>
    <row r="227" spans="1:10" ht="11.25" customHeight="1" x14ac:dyDescent="0.25">
      <c r="A227"/>
      <c r="B227"/>
      <c r="C227"/>
      <c r="D227"/>
      <c r="E227"/>
      <c r="F227"/>
      <c r="G227"/>
      <c r="H227"/>
      <c r="I227"/>
      <c r="J227"/>
    </row>
    <row r="228" spans="1:10" ht="11.25" customHeight="1" x14ac:dyDescent="0.25">
      <c r="A228"/>
      <c r="B228"/>
      <c r="C228"/>
      <c r="D228"/>
      <c r="E228"/>
      <c r="F228"/>
      <c r="G228"/>
      <c r="H228"/>
      <c r="I228"/>
      <c r="J228"/>
    </row>
    <row r="229" spans="1:10" ht="11.25" customHeight="1" x14ac:dyDescent="0.25">
      <c r="A229"/>
      <c r="B229"/>
      <c r="C229"/>
      <c r="D229"/>
      <c r="E229"/>
      <c r="F229"/>
      <c r="G229"/>
      <c r="H229"/>
      <c r="I229"/>
      <c r="J229"/>
    </row>
    <row r="230" spans="1:10" ht="11.25" customHeight="1" x14ac:dyDescent="0.25">
      <c r="A230"/>
      <c r="B230"/>
      <c r="C230"/>
      <c r="D230"/>
      <c r="E230"/>
      <c r="F230"/>
      <c r="G230"/>
      <c r="H230"/>
      <c r="I230"/>
      <c r="J230"/>
    </row>
    <row r="231" spans="1:10" ht="11.25" customHeight="1" x14ac:dyDescent="0.25">
      <c r="A231"/>
      <c r="B231"/>
      <c r="C231"/>
      <c r="D231"/>
      <c r="E231"/>
      <c r="F231"/>
      <c r="G231"/>
      <c r="H231"/>
      <c r="I231"/>
      <c r="J231"/>
    </row>
    <row r="232" spans="1:10" ht="11.25" customHeight="1" x14ac:dyDescent="0.25">
      <c r="A232"/>
      <c r="B232"/>
      <c r="C232"/>
      <c r="D232"/>
      <c r="E232"/>
      <c r="F232"/>
      <c r="G232"/>
      <c r="H232"/>
      <c r="I232"/>
      <c r="J232"/>
    </row>
    <row r="233" spans="1:10" ht="11.25" customHeight="1" x14ac:dyDescent="0.25">
      <c r="A233"/>
      <c r="B233"/>
      <c r="C233"/>
      <c r="D233"/>
      <c r="E233"/>
      <c r="F233"/>
      <c r="G233"/>
      <c r="H233"/>
      <c r="I233"/>
      <c r="J233"/>
    </row>
    <row r="234" spans="1:10" ht="11.25" customHeight="1" x14ac:dyDescent="0.25">
      <c r="A234"/>
      <c r="B234"/>
      <c r="C234"/>
      <c r="D234"/>
      <c r="E234"/>
      <c r="F234"/>
      <c r="G234"/>
      <c r="H234"/>
      <c r="I234"/>
      <c r="J234"/>
    </row>
    <row r="235" spans="1:10" ht="11.25" customHeight="1" x14ac:dyDescent="0.25">
      <c r="A235"/>
      <c r="B235"/>
      <c r="C235"/>
      <c r="D235"/>
      <c r="E235"/>
      <c r="F235"/>
      <c r="G235"/>
      <c r="H235"/>
      <c r="I235"/>
      <c r="J235"/>
    </row>
    <row r="236" spans="1:10" ht="11.25" customHeight="1" x14ac:dyDescent="0.25">
      <c r="A236"/>
      <c r="B236"/>
      <c r="C236"/>
      <c r="D236"/>
      <c r="E236"/>
      <c r="F236"/>
      <c r="G236"/>
      <c r="H236"/>
      <c r="I236"/>
      <c r="J236"/>
    </row>
    <row r="237" spans="1:10" ht="11.25" customHeight="1" x14ac:dyDescent="0.25">
      <c r="A237"/>
      <c r="B237"/>
      <c r="C237"/>
      <c r="D237"/>
      <c r="E237"/>
      <c r="F237"/>
      <c r="G237"/>
      <c r="H237"/>
      <c r="I237"/>
      <c r="J237"/>
    </row>
    <row r="238" spans="1:10" ht="11.25" customHeight="1" x14ac:dyDescent="0.25">
      <c r="A238"/>
      <c r="B238"/>
      <c r="C238"/>
      <c r="D238"/>
      <c r="E238"/>
      <c r="F238"/>
      <c r="G238"/>
      <c r="H238"/>
      <c r="I238"/>
      <c r="J238"/>
    </row>
    <row r="239" spans="1:10" ht="11.25" customHeight="1" x14ac:dyDescent="0.25">
      <c r="A239"/>
      <c r="B239"/>
      <c r="C239"/>
      <c r="D239"/>
      <c r="E239"/>
      <c r="F239"/>
      <c r="G239"/>
      <c r="H239"/>
      <c r="I239"/>
      <c r="J239"/>
    </row>
    <row r="240" spans="1:10" ht="11.25" customHeight="1" x14ac:dyDescent="0.25">
      <c r="A240"/>
      <c r="B240"/>
      <c r="C240"/>
      <c r="D240"/>
      <c r="E240"/>
      <c r="F240"/>
      <c r="G240"/>
      <c r="H240"/>
      <c r="I240"/>
      <c r="J240"/>
    </row>
    <row r="241" spans="1:10" ht="11.25" customHeight="1" x14ac:dyDescent="0.25">
      <c r="A241"/>
      <c r="B241"/>
      <c r="C241"/>
      <c r="D241"/>
      <c r="E241"/>
      <c r="F241"/>
      <c r="G241"/>
      <c r="H241"/>
      <c r="I241"/>
      <c r="J241"/>
    </row>
    <row r="242" spans="1:10" ht="11.25" customHeight="1" x14ac:dyDescent="0.25">
      <c r="A242"/>
      <c r="B242"/>
      <c r="C242"/>
      <c r="D242"/>
      <c r="E242"/>
      <c r="F242"/>
      <c r="G242"/>
      <c r="H242"/>
      <c r="I242"/>
      <c r="J242"/>
    </row>
    <row r="243" spans="1:10" ht="11.25" customHeight="1" x14ac:dyDescent="0.25">
      <c r="A243"/>
      <c r="B243"/>
      <c r="C243"/>
      <c r="D243"/>
      <c r="E243"/>
      <c r="F243"/>
      <c r="G243"/>
      <c r="H243"/>
      <c r="I243"/>
      <c r="J243"/>
    </row>
    <row r="244" spans="1:10" ht="11.25" customHeight="1" x14ac:dyDescent="0.25">
      <c r="A244"/>
      <c r="B244"/>
      <c r="C244"/>
      <c r="D244"/>
      <c r="E244"/>
      <c r="F244"/>
      <c r="G244"/>
      <c r="H244"/>
      <c r="I244"/>
      <c r="J244"/>
    </row>
    <row r="245" spans="1:10" ht="11.25" customHeight="1" x14ac:dyDescent="0.25">
      <c r="A245"/>
      <c r="B245"/>
      <c r="C245"/>
      <c r="D245"/>
      <c r="E245"/>
      <c r="F245"/>
      <c r="G245"/>
      <c r="H245"/>
      <c r="I245"/>
      <c r="J245"/>
    </row>
    <row r="246" spans="1:10" ht="11.25" customHeight="1" x14ac:dyDescent="0.25">
      <c r="A246"/>
      <c r="B246"/>
      <c r="C246"/>
      <c r="D246"/>
      <c r="E246"/>
      <c r="F246"/>
      <c r="G246"/>
      <c r="H246"/>
      <c r="I246"/>
      <c r="J246"/>
    </row>
    <row r="247" spans="1:10" ht="11.25" customHeight="1" x14ac:dyDescent="0.25">
      <c r="A247"/>
      <c r="B247"/>
      <c r="C247"/>
      <c r="D247"/>
      <c r="E247"/>
      <c r="F247"/>
      <c r="G247"/>
      <c r="H247"/>
      <c r="I247"/>
      <c r="J247"/>
    </row>
    <row r="248" spans="1:10" ht="11.25" customHeight="1" x14ac:dyDescent="0.25">
      <c r="A248"/>
      <c r="B248"/>
      <c r="C248"/>
      <c r="D248"/>
      <c r="E248"/>
      <c r="F248"/>
      <c r="G248"/>
      <c r="H248"/>
      <c r="I248"/>
      <c r="J248"/>
    </row>
    <row r="249" spans="1:10" ht="11.25" customHeight="1" x14ac:dyDescent="0.25">
      <c r="A249"/>
      <c r="B249"/>
      <c r="C249"/>
      <c r="D249"/>
      <c r="E249"/>
      <c r="F249"/>
      <c r="G249"/>
      <c r="H249"/>
      <c r="I249"/>
      <c r="J249"/>
    </row>
    <row r="250" spans="1:10" ht="11.25" customHeight="1" x14ac:dyDescent="0.25">
      <c r="A250"/>
      <c r="B250"/>
      <c r="C250"/>
      <c r="D250"/>
      <c r="E250"/>
      <c r="F250"/>
      <c r="G250"/>
      <c r="H250"/>
      <c r="I250"/>
      <c r="J250"/>
    </row>
    <row r="251" spans="1:10" ht="11.25" customHeight="1" x14ac:dyDescent="0.25">
      <c r="A251"/>
      <c r="B251"/>
      <c r="C251"/>
      <c r="D251"/>
      <c r="E251"/>
      <c r="F251"/>
      <c r="G251"/>
      <c r="H251"/>
      <c r="I251"/>
      <c r="J251"/>
    </row>
    <row r="252" spans="1:10" ht="11.25" customHeight="1" x14ac:dyDescent="0.25">
      <c r="A252"/>
      <c r="B252"/>
      <c r="C252"/>
      <c r="D252"/>
      <c r="E252"/>
      <c r="F252"/>
      <c r="G252"/>
      <c r="H252"/>
      <c r="I252"/>
      <c r="J252"/>
    </row>
    <row r="253" spans="1:10" ht="11.25" customHeight="1" x14ac:dyDescent="0.25">
      <c r="A253"/>
      <c r="B253"/>
      <c r="C253"/>
      <c r="D253"/>
      <c r="E253"/>
      <c r="F253"/>
      <c r="G253"/>
      <c r="H253"/>
      <c r="I253"/>
      <c r="J253"/>
    </row>
    <row r="254" spans="1:10" ht="11.25" customHeight="1" x14ac:dyDescent="0.25">
      <c r="A254"/>
      <c r="B254"/>
      <c r="C254"/>
      <c r="D254"/>
      <c r="E254"/>
      <c r="F254"/>
      <c r="G254"/>
      <c r="H254"/>
      <c r="I254"/>
      <c r="J254"/>
    </row>
    <row r="255" spans="1:10" ht="11.25" customHeight="1" x14ac:dyDescent="0.25">
      <c r="A255"/>
      <c r="B255"/>
      <c r="C255"/>
      <c r="D255"/>
      <c r="E255"/>
      <c r="F255"/>
      <c r="G255"/>
      <c r="H255"/>
      <c r="I255"/>
      <c r="J255"/>
    </row>
    <row r="256" spans="1:10" ht="11.25" customHeight="1" x14ac:dyDescent="0.25">
      <c r="A256"/>
      <c r="B256"/>
      <c r="C256"/>
      <c r="D256"/>
      <c r="E256"/>
      <c r="F256"/>
      <c r="G256"/>
      <c r="H256"/>
      <c r="I256"/>
      <c r="J256"/>
    </row>
    <row r="257" spans="1:10" ht="11.25" customHeight="1" x14ac:dyDescent="0.25">
      <c r="A257"/>
      <c r="B257"/>
      <c r="C257"/>
      <c r="D257"/>
      <c r="E257"/>
      <c r="F257"/>
      <c r="G257"/>
      <c r="H257"/>
      <c r="I257"/>
      <c r="J257"/>
    </row>
    <row r="258" spans="1:10" ht="11.25" customHeight="1" x14ac:dyDescent="0.25">
      <c r="A258"/>
      <c r="B258"/>
      <c r="C258"/>
      <c r="D258"/>
      <c r="E258"/>
      <c r="F258"/>
      <c r="G258"/>
      <c r="H258"/>
      <c r="I258"/>
      <c r="J258"/>
    </row>
    <row r="259" spans="1:10" ht="11.25" customHeight="1" x14ac:dyDescent="0.25">
      <c r="A259"/>
      <c r="B259"/>
      <c r="C259"/>
      <c r="D259"/>
      <c r="E259"/>
      <c r="F259"/>
      <c r="G259"/>
      <c r="H259"/>
      <c r="I259"/>
      <c r="J259"/>
    </row>
    <row r="260" spans="1:10" ht="11.25" customHeight="1" x14ac:dyDescent="0.25">
      <c r="A260"/>
      <c r="B260"/>
      <c r="C260"/>
      <c r="D260"/>
      <c r="E260"/>
      <c r="F260"/>
      <c r="G260"/>
      <c r="H260"/>
      <c r="I260"/>
      <c r="J260"/>
    </row>
    <row r="261" spans="1:10" ht="11.25" customHeight="1" x14ac:dyDescent="0.25">
      <c r="A261"/>
      <c r="B261"/>
      <c r="C261"/>
      <c r="D261"/>
      <c r="E261"/>
      <c r="F261"/>
      <c r="G261"/>
      <c r="H261"/>
      <c r="I261"/>
      <c r="J261"/>
    </row>
    <row r="262" spans="1:10" ht="11.25" customHeight="1" x14ac:dyDescent="0.25">
      <c r="A262"/>
      <c r="B262"/>
      <c r="C262"/>
      <c r="D262"/>
      <c r="E262"/>
      <c r="F262"/>
      <c r="G262"/>
      <c r="H262"/>
      <c r="I262"/>
      <c r="J262"/>
    </row>
    <row r="263" spans="1:10" ht="11.25" customHeight="1" x14ac:dyDescent="0.25">
      <c r="A263"/>
      <c r="B263"/>
      <c r="C263"/>
      <c r="D263"/>
      <c r="E263"/>
      <c r="F263"/>
      <c r="G263"/>
      <c r="H263"/>
      <c r="I263"/>
      <c r="J263"/>
    </row>
    <row r="264" spans="1:10" ht="11.25" customHeight="1" x14ac:dyDescent="0.25">
      <c r="A264"/>
      <c r="B264"/>
      <c r="C264"/>
      <c r="D264"/>
      <c r="E264"/>
      <c r="F264"/>
      <c r="G264"/>
      <c r="H264"/>
      <c r="I264"/>
      <c r="J264"/>
    </row>
    <row r="265" spans="1:10" ht="11.25" customHeight="1" x14ac:dyDescent="0.25">
      <c r="A265"/>
      <c r="B265"/>
      <c r="C265"/>
      <c r="D265"/>
      <c r="E265"/>
      <c r="F265"/>
      <c r="G265"/>
      <c r="H265"/>
      <c r="I265"/>
      <c r="J265"/>
    </row>
    <row r="266" spans="1:10" ht="11.25" customHeight="1" x14ac:dyDescent="0.25">
      <c r="A266"/>
      <c r="B266"/>
      <c r="C266"/>
      <c r="D266"/>
      <c r="E266"/>
      <c r="F266"/>
      <c r="G266"/>
      <c r="H266"/>
      <c r="I266"/>
      <c r="J266"/>
    </row>
    <row r="267" spans="1:10" ht="11.25" customHeight="1" x14ac:dyDescent="0.25">
      <c r="A267"/>
      <c r="B267"/>
      <c r="C267"/>
      <c r="D267"/>
      <c r="E267"/>
      <c r="F267"/>
      <c r="G267"/>
      <c r="H267"/>
      <c r="I267"/>
      <c r="J267"/>
    </row>
    <row r="268" spans="1:10" ht="11.25" customHeight="1" x14ac:dyDescent="0.25">
      <c r="A268"/>
      <c r="B268"/>
      <c r="C268"/>
      <c r="D268"/>
      <c r="E268"/>
      <c r="F268"/>
      <c r="G268"/>
      <c r="H268"/>
      <c r="I268"/>
      <c r="J268"/>
    </row>
    <row r="269" spans="1:10" ht="11.25" customHeight="1" x14ac:dyDescent="0.25">
      <c r="A269"/>
      <c r="B269"/>
      <c r="C269"/>
      <c r="D269"/>
      <c r="E269"/>
      <c r="F269"/>
      <c r="G269"/>
      <c r="H269"/>
      <c r="I269"/>
      <c r="J269"/>
    </row>
    <row r="270" spans="1:10" ht="11.25" customHeight="1" x14ac:dyDescent="0.25">
      <c r="A270"/>
      <c r="B270"/>
      <c r="C270"/>
      <c r="D270"/>
      <c r="E270"/>
      <c r="F270"/>
      <c r="G270"/>
      <c r="H270"/>
      <c r="I270"/>
      <c r="J270"/>
    </row>
    <row r="271" spans="1:10" ht="11.25" customHeight="1" x14ac:dyDescent="0.25">
      <c r="A271"/>
      <c r="B271"/>
      <c r="C271"/>
      <c r="D271"/>
      <c r="E271"/>
      <c r="F271"/>
      <c r="G271"/>
      <c r="H271"/>
      <c r="I271"/>
      <c r="J271"/>
    </row>
    <row r="272" spans="1:10" ht="11.25" customHeight="1" x14ac:dyDescent="0.25">
      <c r="A272"/>
      <c r="B272"/>
      <c r="C272"/>
      <c r="D272"/>
      <c r="E272"/>
      <c r="F272"/>
      <c r="G272"/>
      <c r="H272"/>
      <c r="I272"/>
      <c r="J272"/>
    </row>
    <row r="273" spans="1:10" ht="11.25" customHeight="1" x14ac:dyDescent="0.25">
      <c r="A273"/>
      <c r="B273"/>
      <c r="C273"/>
      <c r="D273"/>
      <c r="E273"/>
      <c r="F273"/>
      <c r="G273"/>
      <c r="H273"/>
      <c r="I273"/>
      <c r="J273"/>
    </row>
    <row r="274" spans="1:10" ht="11.25" customHeight="1" x14ac:dyDescent="0.25">
      <c r="A274"/>
      <c r="B274"/>
      <c r="C274"/>
      <c r="D274"/>
      <c r="E274"/>
      <c r="F274"/>
      <c r="G274"/>
      <c r="H274"/>
      <c r="I274"/>
      <c r="J274"/>
    </row>
    <row r="275" spans="1:10" ht="11.25" customHeight="1" x14ac:dyDescent="0.25">
      <c r="A275"/>
      <c r="B275"/>
      <c r="C275"/>
      <c r="D275"/>
      <c r="E275"/>
      <c r="F275"/>
      <c r="G275"/>
      <c r="H275"/>
      <c r="I275"/>
      <c r="J275"/>
    </row>
    <row r="276" spans="1:10" ht="11.25" customHeight="1" x14ac:dyDescent="0.25">
      <c r="A276"/>
      <c r="B276"/>
      <c r="C276"/>
      <c r="D276"/>
      <c r="E276"/>
      <c r="F276"/>
      <c r="G276"/>
      <c r="H276"/>
      <c r="I276"/>
      <c r="J276"/>
    </row>
    <row r="277" spans="1:10" ht="11.25" customHeight="1" x14ac:dyDescent="0.25">
      <c r="A277"/>
      <c r="B277"/>
      <c r="C277"/>
      <c r="D277"/>
      <c r="E277"/>
      <c r="F277"/>
      <c r="G277"/>
      <c r="H277"/>
      <c r="I277"/>
      <c r="J277"/>
    </row>
    <row r="278" spans="1:10" ht="11.25" customHeight="1" x14ac:dyDescent="0.25">
      <c r="A278"/>
      <c r="B278"/>
      <c r="C278"/>
      <c r="D278"/>
      <c r="E278"/>
      <c r="F278"/>
      <c r="G278"/>
      <c r="H278"/>
      <c r="I278"/>
      <c r="J278"/>
    </row>
    <row r="279" spans="1:10" ht="11.25" customHeight="1" x14ac:dyDescent="0.25">
      <c r="A279"/>
      <c r="B279"/>
      <c r="C279"/>
      <c r="D279"/>
      <c r="E279"/>
      <c r="F279"/>
      <c r="G279"/>
      <c r="H279"/>
      <c r="I279"/>
      <c r="J279"/>
    </row>
    <row r="280" spans="1:10" ht="11.25" customHeight="1" x14ac:dyDescent="0.25">
      <c r="A280"/>
      <c r="B280"/>
      <c r="C280"/>
      <c r="D280"/>
      <c r="E280"/>
      <c r="F280"/>
      <c r="G280"/>
      <c r="H280"/>
      <c r="I280"/>
      <c r="J280"/>
    </row>
    <row r="281" spans="1:10" ht="11.25" customHeight="1" x14ac:dyDescent="0.25">
      <c r="A281"/>
      <c r="B281"/>
      <c r="C281"/>
      <c r="D281"/>
      <c r="E281"/>
      <c r="F281"/>
      <c r="G281"/>
      <c r="H281"/>
      <c r="I281"/>
      <c r="J281"/>
    </row>
    <row r="282" spans="1:10" ht="11.25" customHeight="1" x14ac:dyDescent="0.25">
      <c r="A282"/>
      <c r="B282"/>
      <c r="C282"/>
      <c r="D282"/>
      <c r="E282"/>
      <c r="F282"/>
      <c r="G282"/>
      <c r="H282"/>
      <c r="I282"/>
      <c r="J282"/>
    </row>
    <row r="283" spans="1:10" ht="11.25" customHeight="1" x14ac:dyDescent="0.25">
      <c r="A283"/>
      <c r="B283"/>
      <c r="C283"/>
      <c r="D283"/>
      <c r="E283"/>
      <c r="F283"/>
      <c r="G283"/>
      <c r="H283"/>
      <c r="I283"/>
      <c r="J283"/>
    </row>
    <row r="284" spans="1:10" ht="11.25" customHeight="1" x14ac:dyDescent="0.25">
      <c r="A284"/>
      <c r="B284"/>
      <c r="C284"/>
      <c r="D284"/>
      <c r="E284"/>
      <c r="F284"/>
      <c r="G284"/>
      <c r="H284"/>
      <c r="I284"/>
      <c r="J284"/>
    </row>
    <row r="285" spans="1:10" ht="11.25" customHeight="1" x14ac:dyDescent="0.25">
      <c r="A285"/>
      <c r="B285"/>
      <c r="C285"/>
      <c r="D285"/>
      <c r="E285"/>
      <c r="F285"/>
      <c r="G285"/>
      <c r="H285"/>
      <c r="I285"/>
      <c r="J285"/>
    </row>
    <row r="286" spans="1:10" ht="11.25" customHeight="1" x14ac:dyDescent="0.25">
      <c r="A286"/>
      <c r="B286"/>
      <c r="C286"/>
      <c r="D286"/>
      <c r="E286"/>
      <c r="F286"/>
      <c r="G286"/>
      <c r="H286"/>
      <c r="I286"/>
      <c r="J286"/>
    </row>
    <row r="287" spans="1:10" ht="11.25" customHeight="1" x14ac:dyDescent="0.25">
      <c r="A287"/>
      <c r="B287"/>
      <c r="C287"/>
      <c r="D287"/>
      <c r="E287"/>
      <c r="F287"/>
      <c r="G287"/>
      <c r="H287"/>
      <c r="I287"/>
      <c r="J287"/>
    </row>
    <row r="288" spans="1:10" ht="11.25" customHeight="1" x14ac:dyDescent="0.25">
      <c r="A288"/>
      <c r="B288"/>
      <c r="C288"/>
      <c r="D288"/>
      <c r="E288"/>
      <c r="F288"/>
      <c r="G288"/>
      <c r="H288"/>
      <c r="I288"/>
      <c r="J288"/>
    </row>
    <row r="289" spans="1:10" ht="11.25" customHeight="1" x14ac:dyDescent="0.25">
      <c r="A289"/>
      <c r="B289"/>
      <c r="C289"/>
      <c r="D289"/>
      <c r="E289"/>
      <c r="F289"/>
      <c r="G289"/>
      <c r="H289"/>
      <c r="I289"/>
      <c r="J289"/>
    </row>
    <row r="290" spans="1:10" ht="11.25" customHeight="1" x14ac:dyDescent="0.25">
      <c r="A290"/>
      <c r="B290"/>
      <c r="C290"/>
      <c r="D290"/>
      <c r="E290"/>
      <c r="F290"/>
      <c r="G290"/>
      <c r="H290"/>
      <c r="I290"/>
      <c r="J290"/>
    </row>
    <row r="291" spans="1:10" ht="11.25" customHeight="1" x14ac:dyDescent="0.25">
      <c r="A291"/>
      <c r="B291"/>
      <c r="C291"/>
      <c r="D291"/>
      <c r="E291"/>
      <c r="F291"/>
      <c r="G291"/>
      <c r="H291"/>
      <c r="I291"/>
      <c r="J291"/>
    </row>
    <row r="292" spans="1:10" ht="11.25" customHeight="1" x14ac:dyDescent="0.25">
      <c r="A292"/>
      <c r="B292"/>
      <c r="C292"/>
      <c r="D292"/>
      <c r="E292"/>
      <c r="F292"/>
      <c r="G292"/>
      <c r="H292"/>
      <c r="I292"/>
      <c r="J292"/>
    </row>
    <row r="293" spans="1:10" ht="11.25" customHeight="1" x14ac:dyDescent="0.25">
      <c r="A293"/>
      <c r="B293"/>
      <c r="C293"/>
      <c r="D293"/>
      <c r="E293"/>
      <c r="F293"/>
      <c r="G293"/>
      <c r="H293"/>
      <c r="I293"/>
      <c r="J293"/>
    </row>
    <row r="294" spans="1:10" ht="11.25" customHeight="1" x14ac:dyDescent="0.25">
      <c r="A294"/>
      <c r="B294"/>
      <c r="C294"/>
      <c r="D294"/>
      <c r="E294"/>
      <c r="F294"/>
      <c r="G294"/>
      <c r="H294"/>
      <c r="I294"/>
      <c r="J294"/>
    </row>
    <row r="295" spans="1:10" ht="11.25" customHeight="1" x14ac:dyDescent="0.25">
      <c r="A295"/>
      <c r="B295"/>
      <c r="C295"/>
      <c r="D295"/>
      <c r="E295"/>
      <c r="F295"/>
      <c r="G295"/>
      <c r="H295"/>
      <c r="I295"/>
      <c r="J295"/>
    </row>
    <row r="296" spans="1:10" ht="11.25" customHeight="1" x14ac:dyDescent="0.25">
      <c r="A296"/>
      <c r="B296"/>
      <c r="C296"/>
      <c r="D296"/>
      <c r="E296"/>
      <c r="F296"/>
      <c r="G296"/>
      <c r="H296"/>
      <c r="I296"/>
      <c r="J296"/>
    </row>
    <row r="297" spans="1:10" ht="11.25" customHeight="1" x14ac:dyDescent="0.25">
      <c r="A297"/>
      <c r="B297"/>
      <c r="C297"/>
      <c r="D297"/>
      <c r="E297"/>
      <c r="F297"/>
      <c r="G297"/>
      <c r="H297"/>
      <c r="I297"/>
      <c r="J297"/>
    </row>
    <row r="298" spans="1:10" ht="11.25" customHeight="1" x14ac:dyDescent="0.25">
      <c r="A298"/>
      <c r="B298"/>
      <c r="C298"/>
      <c r="D298"/>
      <c r="E298"/>
      <c r="F298"/>
      <c r="G298"/>
      <c r="H298"/>
      <c r="I298"/>
      <c r="J298"/>
    </row>
    <row r="299" spans="1:10" ht="11.25" customHeight="1" x14ac:dyDescent="0.25">
      <c r="A299"/>
      <c r="B299"/>
      <c r="C299"/>
      <c r="D299"/>
      <c r="E299"/>
      <c r="F299"/>
      <c r="G299"/>
      <c r="H299"/>
      <c r="I299"/>
      <c r="J299"/>
    </row>
    <row r="300" spans="1:10" ht="11.25" customHeight="1" x14ac:dyDescent="0.25">
      <c r="A300"/>
      <c r="B300"/>
      <c r="C300"/>
      <c r="D300"/>
      <c r="E300"/>
      <c r="F300"/>
      <c r="G300"/>
      <c r="H300"/>
      <c r="I300"/>
      <c r="J300"/>
    </row>
    <row r="301" spans="1:10" ht="11.25" customHeight="1" x14ac:dyDescent="0.25">
      <c r="A301"/>
      <c r="B301"/>
      <c r="C301"/>
      <c r="D301"/>
      <c r="E301"/>
      <c r="F301"/>
      <c r="G301"/>
      <c r="H301"/>
      <c r="I301"/>
      <c r="J301"/>
    </row>
    <row r="302" spans="1:10" ht="11.25" customHeight="1" x14ac:dyDescent="0.25">
      <c r="A302"/>
      <c r="B302"/>
      <c r="C302"/>
      <c r="D302"/>
      <c r="E302"/>
      <c r="F302"/>
      <c r="G302"/>
      <c r="H302"/>
      <c r="I302"/>
      <c r="J302"/>
    </row>
    <row r="303" spans="1:10" ht="11.25" customHeight="1" x14ac:dyDescent="0.25">
      <c r="A303"/>
      <c r="B303"/>
      <c r="C303"/>
      <c r="D303"/>
      <c r="E303"/>
      <c r="F303"/>
      <c r="G303"/>
      <c r="H303"/>
      <c r="I303"/>
      <c r="J303"/>
    </row>
    <row r="304" spans="1:10" ht="11.25" customHeight="1" x14ac:dyDescent="0.25">
      <c r="A304"/>
      <c r="B304"/>
      <c r="C304"/>
      <c r="D304"/>
      <c r="E304"/>
      <c r="F304"/>
      <c r="G304"/>
      <c r="H304"/>
      <c r="I304"/>
      <c r="J304"/>
    </row>
    <row r="305" spans="1:10" ht="11.25" customHeight="1" x14ac:dyDescent="0.25">
      <c r="A305"/>
      <c r="B305"/>
      <c r="C305"/>
      <c r="D305"/>
      <c r="E305"/>
      <c r="F305"/>
      <c r="G305"/>
      <c r="H305"/>
      <c r="I305"/>
      <c r="J305"/>
    </row>
    <row r="306" spans="1:10" ht="11.25" customHeight="1" x14ac:dyDescent="0.25">
      <c r="A306"/>
      <c r="B306"/>
      <c r="C306"/>
      <c r="D306"/>
      <c r="E306"/>
      <c r="F306"/>
      <c r="G306"/>
      <c r="H306"/>
      <c r="I306"/>
      <c r="J306"/>
    </row>
    <row r="307" spans="1:10" ht="11.25" customHeight="1" x14ac:dyDescent="0.25">
      <c r="A307"/>
      <c r="B307"/>
      <c r="C307"/>
      <c r="D307"/>
      <c r="E307"/>
      <c r="F307"/>
      <c r="G307"/>
      <c r="H307"/>
      <c r="I307"/>
      <c r="J307"/>
    </row>
    <row r="308" spans="1:10" ht="11.25" customHeight="1" x14ac:dyDescent="0.25">
      <c r="A308"/>
      <c r="B308"/>
      <c r="C308"/>
      <c r="D308"/>
      <c r="E308"/>
      <c r="F308"/>
      <c r="G308"/>
      <c r="H308"/>
      <c r="I308"/>
      <c r="J308"/>
    </row>
    <row r="309" spans="1:10" ht="11.25" customHeight="1" x14ac:dyDescent="0.25">
      <c r="A309"/>
      <c r="B309"/>
      <c r="C309"/>
      <c r="D309"/>
      <c r="E309"/>
      <c r="F309"/>
      <c r="G309"/>
      <c r="H309"/>
      <c r="I309"/>
      <c r="J309"/>
    </row>
    <row r="310" spans="1:10" ht="11.25" customHeight="1" x14ac:dyDescent="0.25">
      <c r="A310"/>
      <c r="B310"/>
      <c r="C310"/>
      <c r="D310"/>
      <c r="E310"/>
      <c r="F310"/>
      <c r="G310"/>
      <c r="H310"/>
      <c r="I310"/>
      <c r="J310"/>
    </row>
    <row r="311" spans="1:10" ht="11.25" customHeight="1" x14ac:dyDescent="0.25">
      <c r="A311"/>
      <c r="B311"/>
      <c r="C311"/>
      <c r="D311"/>
      <c r="E311"/>
      <c r="F311"/>
      <c r="G311"/>
      <c r="H311"/>
      <c r="I311"/>
      <c r="J311"/>
    </row>
    <row r="312" spans="1:10" ht="11.25" customHeight="1" x14ac:dyDescent="0.25">
      <c r="A312"/>
      <c r="B312"/>
      <c r="C312"/>
      <c r="D312"/>
      <c r="E312"/>
      <c r="F312"/>
      <c r="G312"/>
      <c r="H312"/>
      <c r="I312"/>
      <c r="J312"/>
    </row>
    <row r="313" spans="1:10" ht="11.25" customHeight="1" x14ac:dyDescent="0.25">
      <c r="A313"/>
      <c r="B313"/>
      <c r="C313"/>
      <c r="D313"/>
      <c r="E313"/>
      <c r="F313"/>
      <c r="G313"/>
      <c r="H313"/>
      <c r="I313"/>
      <c r="J313"/>
    </row>
    <row r="314" spans="1:10" ht="11.25" customHeight="1" x14ac:dyDescent="0.25">
      <c r="A314"/>
      <c r="B314"/>
      <c r="C314"/>
      <c r="D314"/>
      <c r="E314"/>
      <c r="F314"/>
      <c r="G314"/>
      <c r="H314"/>
      <c r="I314"/>
      <c r="J314"/>
    </row>
    <row r="315" spans="1:10" ht="11.25" customHeight="1" x14ac:dyDescent="0.25">
      <c r="A315"/>
      <c r="B315"/>
      <c r="C315"/>
      <c r="D315"/>
      <c r="E315"/>
      <c r="F315"/>
      <c r="G315"/>
      <c r="H315"/>
      <c r="I315"/>
      <c r="J315"/>
    </row>
    <row r="316" spans="1:10" ht="11.25" customHeight="1" x14ac:dyDescent="0.25">
      <c r="A316"/>
      <c r="B316"/>
      <c r="C316"/>
      <c r="D316"/>
      <c r="E316"/>
      <c r="F316"/>
      <c r="G316"/>
      <c r="H316"/>
      <c r="I316"/>
      <c r="J316"/>
    </row>
    <row r="317" spans="1:10" ht="11.25" customHeight="1" x14ac:dyDescent="0.25">
      <c r="A317"/>
      <c r="B317"/>
      <c r="C317"/>
      <c r="D317"/>
      <c r="E317"/>
      <c r="F317"/>
      <c r="G317"/>
      <c r="H317"/>
      <c r="I317"/>
      <c r="J317"/>
    </row>
    <row r="318" spans="1:10" ht="11.25" customHeight="1" x14ac:dyDescent="0.25">
      <c r="A318"/>
      <c r="B318"/>
      <c r="C318"/>
      <c r="D318"/>
      <c r="E318"/>
      <c r="F318"/>
      <c r="G318"/>
      <c r="H318"/>
      <c r="I318"/>
      <c r="J318"/>
    </row>
    <row r="319" spans="1:10" ht="11.25" customHeight="1" x14ac:dyDescent="0.25">
      <c r="A319"/>
      <c r="B319"/>
      <c r="C319"/>
      <c r="D319"/>
      <c r="E319"/>
      <c r="F319"/>
      <c r="G319"/>
      <c r="H319"/>
      <c r="I319"/>
      <c r="J319"/>
    </row>
    <row r="320" spans="1:10" ht="11.25" customHeight="1" x14ac:dyDescent="0.25">
      <c r="A320"/>
      <c r="B320"/>
      <c r="C320"/>
      <c r="D320"/>
      <c r="E320"/>
      <c r="F320"/>
      <c r="G320"/>
      <c r="H320"/>
      <c r="I320"/>
      <c r="J320"/>
    </row>
    <row r="321" spans="1:10" ht="11.25" customHeight="1" x14ac:dyDescent="0.25">
      <c r="A321"/>
      <c r="B321"/>
      <c r="C321"/>
      <c r="D321"/>
      <c r="E321"/>
      <c r="F321"/>
      <c r="G321"/>
      <c r="H321"/>
      <c r="I321"/>
      <c r="J321"/>
    </row>
    <row r="322" spans="1:10" ht="11.25" customHeight="1" x14ac:dyDescent="0.25">
      <c r="A322"/>
      <c r="B322"/>
      <c r="C322"/>
      <c r="D322"/>
      <c r="E322"/>
      <c r="F322"/>
      <c r="G322"/>
      <c r="H322"/>
      <c r="I322"/>
      <c r="J322"/>
    </row>
    <row r="323" spans="1:10" ht="11.25" customHeight="1" x14ac:dyDescent="0.25">
      <c r="A323"/>
      <c r="B323"/>
      <c r="C323"/>
      <c r="D323"/>
      <c r="E323"/>
      <c r="F323"/>
      <c r="G323"/>
      <c r="H323"/>
      <c r="I323"/>
      <c r="J323"/>
    </row>
    <row r="324" spans="1:10" ht="11.25" customHeight="1" x14ac:dyDescent="0.25">
      <c r="A324"/>
      <c r="B324"/>
      <c r="C324"/>
      <c r="D324"/>
      <c r="E324"/>
      <c r="F324"/>
      <c r="G324"/>
      <c r="H324"/>
      <c r="I324"/>
      <c r="J324"/>
    </row>
    <row r="325" spans="1:10" ht="11.25" customHeight="1" x14ac:dyDescent="0.25">
      <c r="A325"/>
      <c r="B325"/>
      <c r="C325"/>
      <c r="D325"/>
      <c r="E325"/>
      <c r="F325"/>
      <c r="G325"/>
      <c r="H325"/>
      <c r="I325"/>
      <c r="J325"/>
    </row>
    <row r="326" spans="1:10" ht="11.25" customHeight="1" x14ac:dyDescent="0.25">
      <c r="A326"/>
      <c r="B326"/>
      <c r="C326"/>
      <c r="D326"/>
      <c r="E326"/>
      <c r="F326"/>
      <c r="G326"/>
      <c r="H326"/>
      <c r="I326"/>
      <c r="J326"/>
    </row>
    <row r="327" spans="1:10" ht="11.25" customHeight="1" x14ac:dyDescent="0.25">
      <c r="A327"/>
      <c r="B327"/>
      <c r="C327"/>
      <c r="D327"/>
      <c r="E327"/>
      <c r="F327"/>
      <c r="G327"/>
      <c r="H327"/>
      <c r="I327"/>
      <c r="J327"/>
    </row>
    <row r="328" spans="1:10" ht="11.25" customHeight="1" x14ac:dyDescent="0.25">
      <c r="A328"/>
      <c r="B328"/>
      <c r="C328"/>
      <c r="D328"/>
      <c r="E328"/>
      <c r="F328"/>
      <c r="G328"/>
      <c r="H328"/>
      <c r="I328"/>
      <c r="J328"/>
    </row>
    <row r="329" spans="1:10" ht="11.25" customHeight="1" x14ac:dyDescent="0.25">
      <c r="A329"/>
      <c r="B329"/>
      <c r="C329"/>
      <c r="D329"/>
      <c r="E329"/>
      <c r="F329"/>
      <c r="G329"/>
      <c r="H329"/>
      <c r="I329"/>
      <c r="J329"/>
    </row>
    <row r="330" spans="1:10" ht="11.25" customHeight="1" x14ac:dyDescent="0.25">
      <c r="A330"/>
      <c r="B330"/>
      <c r="C330"/>
      <c r="D330"/>
      <c r="E330"/>
      <c r="F330"/>
      <c r="G330"/>
      <c r="H330"/>
      <c r="I330"/>
      <c r="J330"/>
    </row>
    <row r="331" spans="1:10" ht="11.25" customHeight="1" x14ac:dyDescent="0.25">
      <c r="A331"/>
      <c r="B331"/>
      <c r="C331"/>
      <c r="D331"/>
      <c r="E331"/>
      <c r="F331"/>
      <c r="G331"/>
      <c r="H331"/>
      <c r="I331"/>
      <c r="J331"/>
    </row>
    <row r="332" spans="1:10" ht="11.25" customHeight="1" x14ac:dyDescent="0.25">
      <c r="A332"/>
      <c r="B332"/>
      <c r="C332"/>
      <c r="D332"/>
      <c r="E332"/>
      <c r="F332"/>
      <c r="G332"/>
      <c r="H332"/>
      <c r="I332"/>
      <c r="J332"/>
    </row>
    <row r="333" spans="1:10" ht="11.25" customHeight="1" x14ac:dyDescent="0.25">
      <c r="A333"/>
      <c r="B333"/>
      <c r="C333"/>
      <c r="D333"/>
      <c r="E333"/>
      <c r="F333"/>
      <c r="G333"/>
      <c r="H333"/>
      <c r="I333"/>
      <c r="J333"/>
    </row>
    <row r="334" spans="1:10" ht="11.25" customHeight="1" x14ac:dyDescent="0.25">
      <c r="A334"/>
      <c r="B334"/>
      <c r="C334"/>
      <c r="D334"/>
      <c r="E334"/>
      <c r="F334"/>
      <c r="G334"/>
      <c r="H334"/>
      <c r="I334"/>
      <c r="J334"/>
    </row>
    <row r="335" spans="1:10" ht="11.25" customHeight="1" x14ac:dyDescent="0.25">
      <c r="A335"/>
      <c r="B335"/>
      <c r="C335"/>
      <c r="D335"/>
      <c r="E335"/>
      <c r="F335"/>
      <c r="G335"/>
      <c r="H335"/>
      <c r="I335"/>
      <c r="J335"/>
    </row>
    <row r="336" spans="1:10" ht="11.25" customHeight="1" x14ac:dyDescent="0.25">
      <c r="A336"/>
      <c r="B336"/>
      <c r="C336"/>
      <c r="D336"/>
      <c r="E336"/>
      <c r="F336"/>
      <c r="G336"/>
      <c r="H336"/>
      <c r="I336"/>
      <c r="J336"/>
    </row>
    <row r="337" spans="1:10" ht="11.25" customHeight="1" x14ac:dyDescent="0.25">
      <c r="A337"/>
      <c r="B337"/>
      <c r="C337"/>
      <c r="D337"/>
      <c r="E337"/>
      <c r="F337"/>
      <c r="G337"/>
      <c r="H337"/>
      <c r="I337"/>
      <c r="J337"/>
    </row>
    <row r="338" spans="1:10" ht="11.25" customHeight="1" x14ac:dyDescent="0.25">
      <c r="A338"/>
      <c r="B338"/>
      <c r="C338"/>
      <c r="D338"/>
      <c r="E338"/>
      <c r="F338"/>
      <c r="G338"/>
      <c r="H338"/>
      <c r="I338"/>
      <c r="J338"/>
    </row>
    <row r="339" spans="1:10" ht="11.25" customHeight="1" x14ac:dyDescent="0.25">
      <c r="A339"/>
      <c r="B339"/>
      <c r="C339"/>
      <c r="D339"/>
      <c r="E339"/>
      <c r="F339"/>
      <c r="G339"/>
      <c r="H339"/>
      <c r="I339"/>
      <c r="J339"/>
    </row>
    <row r="340" spans="1:10" ht="11.25" customHeight="1" x14ac:dyDescent="0.25">
      <c r="A340"/>
      <c r="B340"/>
      <c r="C340"/>
      <c r="D340"/>
      <c r="E340"/>
      <c r="F340"/>
      <c r="G340"/>
      <c r="H340"/>
      <c r="I340"/>
      <c r="J340"/>
    </row>
    <row r="341" spans="1:10" ht="11.25" customHeight="1" x14ac:dyDescent="0.25">
      <c r="A341"/>
      <c r="B341"/>
      <c r="C341"/>
      <c r="D341"/>
      <c r="E341"/>
      <c r="F341"/>
      <c r="G341"/>
      <c r="H341"/>
      <c r="I341"/>
      <c r="J341"/>
    </row>
    <row r="342" spans="1:10" ht="11.25" customHeight="1" x14ac:dyDescent="0.25">
      <c r="A342"/>
      <c r="B342"/>
      <c r="C342"/>
      <c r="D342"/>
      <c r="E342"/>
      <c r="F342"/>
      <c r="G342"/>
      <c r="H342"/>
      <c r="I342"/>
      <c r="J342"/>
    </row>
    <row r="343" spans="1:10" ht="11.25" customHeight="1" x14ac:dyDescent="0.25">
      <c r="A343"/>
      <c r="B343"/>
      <c r="C343"/>
      <c r="D343"/>
      <c r="E343"/>
      <c r="F343"/>
      <c r="G343"/>
      <c r="H343"/>
      <c r="I343"/>
      <c r="J343"/>
    </row>
    <row r="344" spans="1:10" ht="11.25" customHeight="1" x14ac:dyDescent="0.25">
      <c r="A344"/>
      <c r="B344"/>
      <c r="C344"/>
      <c r="D344"/>
      <c r="E344"/>
      <c r="F344"/>
      <c r="G344"/>
      <c r="H344"/>
      <c r="I344"/>
      <c r="J344"/>
    </row>
    <row r="345" spans="1:10" ht="11.25" customHeight="1" x14ac:dyDescent="0.25">
      <c r="A345"/>
      <c r="B345"/>
      <c r="C345"/>
      <c r="D345"/>
      <c r="E345"/>
      <c r="F345"/>
      <c r="G345"/>
      <c r="H345"/>
      <c r="I345"/>
      <c r="J345"/>
    </row>
    <row r="346" spans="1:10" ht="11.25" customHeight="1" x14ac:dyDescent="0.25">
      <c r="A346"/>
      <c r="B346"/>
      <c r="C346"/>
      <c r="D346"/>
      <c r="E346"/>
      <c r="F346"/>
      <c r="G346"/>
      <c r="H346"/>
      <c r="I346"/>
      <c r="J346"/>
    </row>
    <row r="347" spans="1:10" ht="11.25" customHeight="1" x14ac:dyDescent="0.25">
      <c r="A347"/>
      <c r="B347"/>
      <c r="C347"/>
      <c r="D347"/>
      <c r="E347"/>
      <c r="F347"/>
      <c r="G347"/>
      <c r="H347"/>
      <c r="I347"/>
      <c r="J347"/>
    </row>
    <row r="348" spans="1:10" ht="11.25" customHeight="1" x14ac:dyDescent="0.25">
      <c r="A348"/>
      <c r="B348"/>
      <c r="C348"/>
      <c r="D348"/>
      <c r="E348"/>
      <c r="F348"/>
      <c r="G348"/>
      <c r="H348"/>
      <c r="I348"/>
      <c r="J348"/>
    </row>
    <row r="349" spans="1:10" ht="11.25" customHeight="1" x14ac:dyDescent="0.25">
      <c r="A349"/>
      <c r="B349"/>
      <c r="C349"/>
      <c r="D349"/>
      <c r="E349"/>
      <c r="F349"/>
      <c r="G349"/>
      <c r="H349"/>
      <c r="I349"/>
      <c r="J349"/>
    </row>
    <row r="350" spans="1:10" ht="11.25" customHeight="1" x14ac:dyDescent="0.25">
      <c r="A350"/>
      <c r="B350"/>
      <c r="C350"/>
      <c r="D350"/>
      <c r="E350"/>
      <c r="F350"/>
      <c r="G350"/>
      <c r="H350"/>
      <c r="I350"/>
      <c r="J350"/>
    </row>
    <row r="351" spans="1:10" ht="11.25" customHeight="1" x14ac:dyDescent="0.25">
      <c r="A351"/>
      <c r="B351"/>
      <c r="C351"/>
      <c r="D351"/>
      <c r="E351"/>
      <c r="F351"/>
      <c r="G351"/>
      <c r="H351"/>
      <c r="I351"/>
      <c r="J351"/>
    </row>
    <row r="352" spans="1:10" ht="11.25" customHeight="1" x14ac:dyDescent="0.25">
      <c r="A352"/>
      <c r="B352"/>
      <c r="C352"/>
      <c r="D352"/>
      <c r="E352"/>
      <c r="F352"/>
      <c r="G352"/>
      <c r="H352"/>
      <c r="I352"/>
      <c r="J352"/>
    </row>
    <row r="353" spans="1:10" ht="11.25" customHeight="1" x14ac:dyDescent="0.25">
      <c r="A353"/>
      <c r="B353"/>
      <c r="C353"/>
      <c r="D353"/>
      <c r="E353"/>
      <c r="F353"/>
      <c r="G353"/>
      <c r="H353"/>
      <c r="I353"/>
      <c r="J353"/>
    </row>
    <row r="354" spans="1:10" ht="11.25" customHeight="1" x14ac:dyDescent="0.25">
      <c r="A354"/>
      <c r="B354"/>
      <c r="C354"/>
      <c r="D354"/>
      <c r="E354"/>
      <c r="F354"/>
      <c r="G354"/>
      <c r="H354"/>
      <c r="I354"/>
      <c r="J354"/>
    </row>
    <row r="355" spans="1:10" ht="11.25" customHeight="1" x14ac:dyDescent="0.25">
      <c r="A355"/>
      <c r="B355"/>
      <c r="C355"/>
      <c r="D355"/>
      <c r="E355"/>
      <c r="F355"/>
      <c r="G355"/>
      <c r="H355"/>
      <c r="I355"/>
      <c r="J355"/>
    </row>
    <row r="356" spans="1:10" ht="11.25" customHeight="1" x14ac:dyDescent="0.25">
      <c r="A356"/>
      <c r="B356"/>
      <c r="C356"/>
      <c r="D356"/>
      <c r="E356"/>
      <c r="F356"/>
      <c r="G356"/>
      <c r="H356"/>
      <c r="I356"/>
      <c r="J356"/>
    </row>
    <row r="357" spans="1:10" ht="11.25" customHeight="1" x14ac:dyDescent="0.25">
      <c r="A357"/>
      <c r="B357"/>
      <c r="C357"/>
      <c r="D357"/>
      <c r="E357"/>
      <c r="F357"/>
      <c r="G357"/>
      <c r="H357"/>
      <c r="I357"/>
      <c r="J357"/>
    </row>
    <row r="358" spans="1:10" ht="11.25" customHeight="1" x14ac:dyDescent="0.25">
      <c r="A358"/>
      <c r="B358"/>
      <c r="C358"/>
      <c r="D358"/>
      <c r="E358"/>
      <c r="F358"/>
      <c r="G358"/>
      <c r="H358"/>
      <c r="I358"/>
      <c r="J358"/>
    </row>
    <row r="359" spans="1:10" ht="11.25" customHeight="1" x14ac:dyDescent="0.25">
      <c r="A359"/>
      <c r="B359"/>
      <c r="C359"/>
      <c r="D359"/>
      <c r="E359"/>
      <c r="F359"/>
      <c r="G359"/>
      <c r="H359"/>
      <c r="I359"/>
      <c r="J359"/>
    </row>
    <row r="360" spans="1:10" ht="11.25" customHeight="1" x14ac:dyDescent="0.25">
      <c r="A360"/>
      <c r="B360"/>
      <c r="C360"/>
      <c r="D360"/>
      <c r="E360"/>
      <c r="F360"/>
      <c r="G360"/>
      <c r="H360"/>
      <c r="I360"/>
      <c r="J360"/>
    </row>
    <row r="361" spans="1:10" ht="11.25" customHeight="1" x14ac:dyDescent="0.25">
      <c r="A361"/>
      <c r="B361"/>
      <c r="C361"/>
      <c r="D361"/>
      <c r="E361"/>
      <c r="F361"/>
      <c r="G361"/>
      <c r="H361"/>
      <c r="I361"/>
      <c r="J361"/>
    </row>
    <row r="362" spans="1:10" ht="11.25" customHeight="1" x14ac:dyDescent="0.25">
      <c r="A362"/>
      <c r="B362"/>
      <c r="C362"/>
      <c r="D362"/>
      <c r="E362"/>
      <c r="F362"/>
      <c r="G362"/>
      <c r="H362"/>
      <c r="I362"/>
      <c r="J362"/>
    </row>
    <row r="363" spans="1:10" ht="11.25" customHeight="1" x14ac:dyDescent="0.25">
      <c r="A363"/>
      <c r="B363"/>
      <c r="C363"/>
      <c r="D363"/>
      <c r="E363"/>
      <c r="F363"/>
      <c r="G363"/>
      <c r="H363"/>
      <c r="I363"/>
      <c r="J363"/>
    </row>
    <row r="364" spans="1:10" ht="11.25" customHeight="1" x14ac:dyDescent="0.25">
      <c r="A364"/>
      <c r="B364"/>
      <c r="C364"/>
      <c r="D364"/>
      <c r="E364"/>
      <c r="F364"/>
      <c r="G364"/>
      <c r="H364"/>
      <c r="I364"/>
      <c r="J364"/>
    </row>
    <row r="365" spans="1:10" ht="11.25" customHeight="1" x14ac:dyDescent="0.25">
      <c r="A365"/>
      <c r="B365"/>
      <c r="C365"/>
      <c r="D365"/>
      <c r="E365"/>
      <c r="F365"/>
      <c r="G365"/>
      <c r="H365"/>
      <c r="I365"/>
      <c r="J365"/>
    </row>
    <row r="366" spans="1:10" ht="11.25" customHeight="1" x14ac:dyDescent="0.25">
      <c r="A366"/>
      <c r="B366"/>
      <c r="C366"/>
      <c r="D366"/>
      <c r="E366"/>
      <c r="F366"/>
      <c r="G366"/>
      <c r="H366"/>
      <c r="I366"/>
      <c r="J366"/>
    </row>
    <row r="367" spans="1:10" ht="11.25" customHeight="1" x14ac:dyDescent="0.25">
      <c r="A367"/>
      <c r="B367"/>
      <c r="C367"/>
      <c r="D367"/>
      <c r="E367"/>
      <c r="F367"/>
      <c r="G367"/>
      <c r="H367"/>
      <c r="I367"/>
      <c r="J367"/>
    </row>
    <row r="368" spans="1:10" ht="11.25" customHeight="1" x14ac:dyDescent="0.25">
      <c r="A368"/>
      <c r="B368"/>
      <c r="C368"/>
      <c r="D368"/>
      <c r="E368"/>
      <c r="F368"/>
      <c r="G368"/>
      <c r="H368"/>
      <c r="I368"/>
      <c r="J368"/>
    </row>
    <row r="369" spans="1:10" ht="11.25" customHeight="1" x14ac:dyDescent="0.25">
      <c r="A369"/>
      <c r="B369"/>
      <c r="C369"/>
      <c r="D369"/>
      <c r="E369"/>
      <c r="F369"/>
      <c r="G369"/>
      <c r="H369"/>
      <c r="I369"/>
      <c r="J369"/>
    </row>
    <row r="370" spans="1:10" ht="11.25" customHeight="1" x14ac:dyDescent="0.25">
      <c r="A370"/>
      <c r="B370"/>
      <c r="C370"/>
      <c r="D370"/>
      <c r="E370"/>
      <c r="F370"/>
      <c r="G370"/>
      <c r="H370"/>
      <c r="I370"/>
      <c r="J370"/>
    </row>
    <row r="371" spans="1:10" ht="11.25" customHeight="1" x14ac:dyDescent="0.25">
      <c r="A371"/>
      <c r="B371"/>
      <c r="C371"/>
      <c r="D371"/>
      <c r="E371"/>
      <c r="F371"/>
      <c r="G371"/>
      <c r="H371"/>
      <c r="I371"/>
      <c r="J371"/>
    </row>
    <row r="372" spans="1:10" ht="11.25" customHeight="1" x14ac:dyDescent="0.25">
      <c r="A372"/>
      <c r="B372"/>
      <c r="C372"/>
      <c r="D372"/>
      <c r="E372"/>
      <c r="F372"/>
      <c r="G372"/>
      <c r="H372"/>
      <c r="I372"/>
      <c r="J372"/>
    </row>
    <row r="373" spans="1:10" ht="11.25" customHeight="1" x14ac:dyDescent="0.25">
      <c r="A373"/>
      <c r="B373"/>
      <c r="C373"/>
      <c r="D373"/>
      <c r="E373"/>
      <c r="F373"/>
      <c r="G373"/>
      <c r="H373"/>
      <c r="I373"/>
      <c r="J373"/>
    </row>
    <row r="374" spans="1:10" ht="11.25" customHeight="1" x14ac:dyDescent="0.25">
      <c r="A374"/>
      <c r="B374"/>
      <c r="C374"/>
      <c r="D374"/>
      <c r="E374"/>
      <c r="F374"/>
      <c r="G374"/>
      <c r="H374"/>
      <c r="I374"/>
      <c r="J374"/>
    </row>
    <row r="375" spans="1:10" ht="11.25" customHeight="1" x14ac:dyDescent="0.25">
      <c r="A375"/>
      <c r="B375"/>
      <c r="C375"/>
      <c r="D375"/>
      <c r="E375"/>
      <c r="F375"/>
      <c r="G375"/>
      <c r="H375"/>
      <c r="I375"/>
      <c r="J375"/>
    </row>
    <row r="376" spans="1:10" ht="11.25" customHeight="1" x14ac:dyDescent="0.25">
      <c r="A376"/>
      <c r="B376"/>
      <c r="C376"/>
      <c r="D376"/>
      <c r="E376"/>
      <c r="F376"/>
      <c r="G376"/>
      <c r="H376"/>
      <c r="I376"/>
      <c r="J376"/>
    </row>
    <row r="377" spans="1:10" ht="11.25" customHeight="1" x14ac:dyDescent="0.25">
      <c r="A377"/>
      <c r="B377"/>
      <c r="C377"/>
      <c r="D377"/>
      <c r="E377"/>
      <c r="F377"/>
      <c r="G377"/>
      <c r="H377"/>
      <c r="I377"/>
      <c r="J377"/>
    </row>
    <row r="378" spans="1:10" ht="11.25" customHeight="1" x14ac:dyDescent="0.25">
      <c r="A378"/>
      <c r="B378"/>
      <c r="C378"/>
      <c r="D378"/>
      <c r="E378"/>
      <c r="F378"/>
      <c r="G378"/>
      <c r="H378"/>
      <c r="I378"/>
      <c r="J378"/>
    </row>
    <row r="379" spans="1:10" ht="11.25" customHeight="1" x14ac:dyDescent="0.25">
      <c r="A379"/>
      <c r="B379"/>
      <c r="C379"/>
      <c r="D379"/>
      <c r="E379"/>
      <c r="F379"/>
      <c r="G379"/>
      <c r="H379"/>
      <c r="I379"/>
      <c r="J379"/>
    </row>
    <row r="380" spans="1:10" ht="11.25" customHeight="1" x14ac:dyDescent="0.25">
      <c r="A380"/>
      <c r="B380"/>
      <c r="C380"/>
      <c r="D380"/>
      <c r="E380"/>
      <c r="F380"/>
      <c r="G380"/>
      <c r="H380"/>
      <c r="I380"/>
      <c r="J380"/>
    </row>
    <row r="381" spans="1:10" ht="11.25" customHeight="1" x14ac:dyDescent="0.25">
      <c r="A381"/>
      <c r="B381"/>
      <c r="C381"/>
      <c r="D381"/>
      <c r="E381"/>
      <c r="F381"/>
      <c r="G381"/>
      <c r="H381"/>
      <c r="I381"/>
      <c r="J381"/>
    </row>
    <row r="382" spans="1:10" ht="11.25" customHeight="1" x14ac:dyDescent="0.25">
      <c r="A382"/>
      <c r="B382"/>
      <c r="C382"/>
      <c r="D382"/>
      <c r="E382"/>
      <c r="F382"/>
      <c r="G382"/>
      <c r="H382"/>
      <c r="I382"/>
      <c r="J382"/>
    </row>
    <row r="383" spans="1:10" ht="11.25" customHeight="1" x14ac:dyDescent="0.25">
      <c r="A383"/>
      <c r="B383"/>
      <c r="C383"/>
      <c r="D383"/>
      <c r="E383"/>
      <c r="F383"/>
      <c r="G383"/>
      <c r="H383"/>
      <c r="I383"/>
      <c r="J383"/>
    </row>
    <row r="384" spans="1:10" ht="11.25" customHeight="1" x14ac:dyDescent="0.25">
      <c r="A384"/>
      <c r="B384"/>
      <c r="C384"/>
      <c r="D384"/>
      <c r="E384"/>
      <c r="F384"/>
      <c r="G384"/>
      <c r="H384"/>
      <c r="I384"/>
      <c r="J384"/>
    </row>
    <row r="385" spans="1:10" ht="11.25" customHeight="1" x14ac:dyDescent="0.25">
      <c r="A385"/>
      <c r="B385"/>
      <c r="C385"/>
      <c r="D385"/>
      <c r="E385"/>
      <c r="F385"/>
      <c r="G385"/>
      <c r="H385"/>
      <c r="I385"/>
      <c r="J385"/>
    </row>
    <row r="386" spans="1:10" ht="11.25" customHeight="1" x14ac:dyDescent="0.25">
      <c r="A386"/>
      <c r="B386"/>
      <c r="C386"/>
      <c r="D386"/>
      <c r="E386"/>
      <c r="F386"/>
      <c r="G386"/>
      <c r="H386"/>
      <c r="I386"/>
      <c r="J386"/>
    </row>
    <row r="387" spans="1:10" ht="11.25" customHeight="1" x14ac:dyDescent="0.25">
      <c r="A387"/>
      <c r="B387"/>
      <c r="C387"/>
      <c r="D387"/>
      <c r="E387"/>
      <c r="F387"/>
      <c r="G387"/>
      <c r="H387"/>
      <c r="I387"/>
      <c r="J387"/>
    </row>
    <row r="388" spans="1:10" ht="11.25" customHeight="1" x14ac:dyDescent="0.25">
      <c r="A388"/>
      <c r="B388"/>
      <c r="C388"/>
      <c r="D388"/>
      <c r="E388"/>
      <c r="F388"/>
      <c r="G388"/>
      <c r="H388"/>
      <c r="I388"/>
      <c r="J388"/>
    </row>
    <row r="389" spans="1:10" ht="11.25" customHeight="1" x14ac:dyDescent="0.25">
      <c r="A389"/>
      <c r="B389"/>
      <c r="C389"/>
      <c r="D389"/>
      <c r="E389"/>
      <c r="F389"/>
      <c r="G389"/>
      <c r="H389"/>
      <c r="I389"/>
      <c r="J389"/>
    </row>
    <row r="390" spans="1:10" ht="11.25" customHeight="1" x14ac:dyDescent="0.25">
      <c r="A390"/>
      <c r="B390"/>
      <c r="C390"/>
      <c r="D390"/>
      <c r="E390"/>
      <c r="F390"/>
      <c r="G390"/>
      <c r="H390"/>
      <c r="I390"/>
      <c r="J390"/>
    </row>
    <row r="391" spans="1:10" ht="11.25" customHeight="1" x14ac:dyDescent="0.25">
      <c r="A391"/>
      <c r="B391"/>
      <c r="C391"/>
      <c r="D391"/>
      <c r="E391"/>
      <c r="F391"/>
      <c r="G391"/>
      <c r="H391"/>
      <c r="I391"/>
      <c r="J391"/>
    </row>
    <row r="392" spans="1:10" ht="11.25" customHeight="1" x14ac:dyDescent="0.25">
      <c r="A392"/>
      <c r="B392"/>
      <c r="C392"/>
      <c r="D392"/>
      <c r="E392"/>
      <c r="F392"/>
      <c r="G392"/>
      <c r="H392"/>
      <c r="I392"/>
      <c r="J392"/>
    </row>
    <row r="393" spans="1:10" ht="11.25" customHeight="1" x14ac:dyDescent="0.25">
      <c r="A393"/>
      <c r="B393"/>
      <c r="C393"/>
      <c r="D393"/>
      <c r="E393"/>
      <c r="F393"/>
      <c r="G393"/>
      <c r="H393"/>
      <c r="I393"/>
      <c r="J393"/>
    </row>
    <row r="394" spans="1:10" ht="11.25" customHeight="1" x14ac:dyDescent="0.25">
      <c r="A394"/>
      <c r="B394"/>
      <c r="C394"/>
      <c r="D394"/>
      <c r="E394"/>
      <c r="F394"/>
      <c r="G394"/>
      <c r="H394"/>
      <c r="I394"/>
      <c r="J394"/>
    </row>
    <row r="395" spans="1:10" ht="11.25" customHeight="1" x14ac:dyDescent="0.25">
      <c r="A395"/>
      <c r="B395"/>
      <c r="C395"/>
      <c r="D395"/>
      <c r="E395"/>
      <c r="F395"/>
      <c r="G395"/>
      <c r="H395"/>
      <c r="I395"/>
      <c r="J395"/>
    </row>
    <row r="396" spans="1:10" ht="11.25" customHeight="1" x14ac:dyDescent="0.25">
      <c r="A396"/>
      <c r="B396"/>
      <c r="C396"/>
      <c r="D396"/>
      <c r="E396"/>
      <c r="F396"/>
      <c r="G396"/>
      <c r="H396"/>
      <c r="I396"/>
      <c r="J396"/>
    </row>
    <row r="397" spans="1:10" ht="11.25" customHeight="1" x14ac:dyDescent="0.25">
      <c r="A397"/>
      <c r="B397"/>
      <c r="C397"/>
      <c r="D397"/>
      <c r="E397"/>
      <c r="F397"/>
      <c r="G397"/>
      <c r="H397"/>
      <c r="I397"/>
      <c r="J397"/>
    </row>
    <row r="398" spans="1:10" ht="11.25" customHeight="1" x14ac:dyDescent="0.25">
      <c r="A398"/>
      <c r="B398"/>
      <c r="C398"/>
      <c r="D398"/>
      <c r="E398"/>
      <c r="F398"/>
      <c r="G398"/>
      <c r="H398"/>
      <c r="I398"/>
      <c r="J398"/>
    </row>
    <row r="399" spans="1:10" ht="11.25" customHeight="1" x14ac:dyDescent="0.25">
      <c r="A399"/>
      <c r="B399"/>
      <c r="C399"/>
      <c r="D399"/>
      <c r="E399"/>
      <c r="F399"/>
      <c r="G399"/>
      <c r="H399"/>
      <c r="I399"/>
      <c r="J399"/>
    </row>
    <row r="400" spans="1:10" ht="11.25" customHeight="1" x14ac:dyDescent="0.25">
      <c r="A400"/>
      <c r="B400"/>
      <c r="C400"/>
      <c r="D400"/>
      <c r="E400"/>
      <c r="F400"/>
      <c r="G400"/>
      <c r="H400"/>
      <c r="I400"/>
      <c r="J400"/>
    </row>
    <row r="401" spans="1:10" ht="11.25" customHeight="1" x14ac:dyDescent="0.25">
      <c r="A401"/>
      <c r="B401"/>
      <c r="C401"/>
      <c r="D401"/>
      <c r="E401"/>
      <c r="F401"/>
      <c r="G401"/>
      <c r="H401"/>
      <c r="I401"/>
      <c r="J401"/>
    </row>
    <row r="402" spans="1:10" ht="11.25" customHeight="1" x14ac:dyDescent="0.25">
      <c r="A402"/>
      <c r="B402"/>
      <c r="C402"/>
      <c r="D402"/>
      <c r="E402"/>
      <c r="F402"/>
      <c r="G402"/>
      <c r="H402"/>
      <c r="I402"/>
      <c r="J402"/>
    </row>
    <row r="403" spans="1:10" ht="11.25" customHeight="1" x14ac:dyDescent="0.25">
      <c r="A403"/>
      <c r="B403"/>
      <c r="C403"/>
      <c r="D403"/>
      <c r="E403"/>
      <c r="F403"/>
      <c r="G403"/>
      <c r="H403"/>
      <c r="I403"/>
      <c r="J403"/>
    </row>
    <row r="404" spans="1:10" ht="11.25" customHeight="1" x14ac:dyDescent="0.25">
      <c r="A404"/>
      <c r="B404"/>
      <c r="C404"/>
      <c r="D404"/>
      <c r="E404"/>
      <c r="F404"/>
      <c r="G404"/>
      <c r="H404"/>
      <c r="I404"/>
      <c r="J404"/>
    </row>
    <row r="405" spans="1:10" ht="11.25" customHeight="1" x14ac:dyDescent="0.25">
      <c r="A405"/>
      <c r="B405"/>
      <c r="C405"/>
      <c r="D405"/>
      <c r="E405"/>
      <c r="F405"/>
      <c r="G405"/>
      <c r="H405"/>
      <c r="I405"/>
      <c r="J405"/>
    </row>
    <row r="406" spans="1:10" ht="11.25" customHeight="1" x14ac:dyDescent="0.25">
      <c r="A406"/>
      <c r="B406"/>
      <c r="C406"/>
      <c r="D406"/>
      <c r="E406"/>
      <c r="F406"/>
      <c r="G406"/>
      <c r="H406"/>
      <c r="I406"/>
      <c r="J406"/>
    </row>
    <row r="407" spans="1:10" ht="11.25" customHeight="1" x14ac:dyDescent="0.25">
      <c r="A407"/>
      <c r="B407"/>
      <c r="C407"/>
      <c r="D407"/>
      <c r="E407"/>
      <c r="F407"/>
      <c r="G407"/>
      <c r="H407"/>
      <c r="I407"/>
      <c r="J407"/>
    </row>
    <row r="408" spans="1:10" ht="11.25" customHeight="1" x14ac:dyDescent="0.25">
      <c r="A408"/>
      <c r="B408"/>
      <c r="C408"/>
      <c r="D408"/>
      <c r="E408"/>
      <c r="F408"/>
      <c r="G408"/>
      <c r="H408"/>
      <c r="I408"/>
      <c r="J408"/>
    </row>
    <row r="409" spans="1:10" ht="11.25" customHeight="1" x14ac:dyDescent="0.25">
      <c r="A409"/>
      <c r="B409"/>
      <c r="C409"/>
      <c r="D409"/>
      <c r="E409"/>
      <c r="F409"/>
      <c r="G409"/>
      <c r="H409"/>
      <c r="I409"/>
      <c r="J409"/>
    </row>
    <row r="410" spans="1:10" ht="11.25" customHeight="1" x14ac:dyDescent="0.25">
      <c r="A410"/>
      <c r="B410"/>
      <c r="C410"/>
      <c r="D410"/>
      <c r="E410"/>
      <c r="F410"/>
      <c r="G410"/>
      <c r="H410"/>
      <c r="I410"/>
      <c r="J410"/>
    </row>
    <row r="411" spans="1:10" ht="11.25" customHeight="1" x14ac:dyDescent="0.25">
      <c r="A411"/>
      <c r="B411"/>
      <c r="C411"/>
      <c r="D411"/>
      <c r="E411"/>
      <c r="F411"/>
      <c r="G411"/>
      <c r="H411"/>
      <c r="I411"/>
      <c r="J411"/>
    </row>
    <row r="412" spans="1:10" ht="11.25" customHeight="1" x14ac:dyDescent="0.25">
      <c r="A412"/>
      <c r="B412"/>
      <c r="C412"/>
      <c r="D412"/>
      <c r="E412"/>
      <c r="F412"/>
      <c r="G412"/>
      <c r="H412"/>
      <c r="I412"/>
      <c r="J412"/>
    </row>
    <row r="413" spans="1:10" ht="11.25" customHeight="1" x14ac:dyDescent="0.25">
      <c r="A413"/>
      <c r="B413"/>
      <c r="C413"/>
      <c r="D413"/>
      <c r="E413"/>
      <c r="F413"/>
      <c r="G413"/>
      <c r="H413"/>
      <c r="I413"/>
      <c r="J413"/>
    </row>
    <row r="414" spans="1:10" ht="11.25" customHeight="1" x14ac:dyDescent="0.25">
      <c r="A414"/>
      <c r="B414"/>
      <c r="C414"/>
      <c r="D414"/>
      <c r="E414"/>
      <c r="F414"/>
      <c r="G414"/>
      <c r="H414"/>
      <c r="I414"/>
      <c r="J414"/>
    </row>
    <row r="415" spans="1:10" ht="11.25" customHeight="1" x14ac:dyDescent="0.25">
      <c r="A415"/>
      <c r="B415"/>
      <c r="C415"/>
      <c r="D415"/>
      <c r="E415"/>
      <c r="F415"/>
      <c r="G415"/>
      <c r="H415"/>
      <c r="I415"/>
      <c r="J415"/>
    </row>
    <row r="416" spans="1:10" ht="11.25" customHeight="1" x14ac:dyDescent="0.25">
      <c r="A416"/>
      <c r="B416"/>
      <c r="C416"/>
      <c r="D416"/>
      <c r="E416"/>
      <c r="F416"/>
      <c r="G416"/>
      <c r="H416"/>
      <c r="I416"/>
      <c r="J416"/>
    </row>
    <row r="417" spans="1:10" ht="11.25" customHeight="1" x14ac:dyDescent="0.25">
      <c r="A417"/>
      <c r="B417"/>
      <c r="C417"/>
      <c r="D417"/>
      <c r="E417"/>
      <c r="F417"/>
      <c r="G417"/>
      <c r="H417"/>
      <c r="I417"/>
      <c r="J417"/>
    </row>
    <row r="418" spans="1:10" ht="11.25" customHeight="1" x14ac:dyDescent="0.25">
      <c r="A418"/>
      <c r="B418"/>
      <c r="C418"/>
      <c r="D418"/>
      <c r="E418"/>
      <c r="F418"/>
      <c r="G418"/>
      <c r="H418"/>
      <c r="I418"/>
      <c r="J418"/>
    </row>
    <row r="419" spans="1:10" ht="11.25" customHeight="1" x14ac:dyDescent="0.25">
      <c r="A419"/>
      <c r="B419"/>
      <c r="C419"/>
      <c r="D419"/>
      <c r="E419"/>
      <c r="F419"/>
      <c r="G419"/>
      <c r="H419"/>
      <c r="I419"/>
      <c r="J419"/>
    </row>
    <row r="420" spans="1:10" ht="11.25" customHeight="1" x14ac:dyDescent="0.25">
      <c r="A420"/>
      <c r="B420"/>
      <c r="C420"/>
      <c r="D420"/>
      <c r="E420"/>
      <c r="F420"/>
      <c r="G420"/>
      <c r="H420"/>
      <c r="I420"/>
      <c r="J420"/>
    </row>
    <row r="421" spans="1:10" ht="11.25" customHeight="1" x14ac:dyDescent="0.25">
      <c r="A421"/>
      <c r="B421"/>
      <c r="C421"/>
      <c r="D421"/>
      <c r="E421"/>
      <c r="F421"/>
      <c r="G421"/>
      <c r="H421"/>
      <c r="I421"/>
      <c r="J421"/>
    </row>
    <row r="422" spans="1:10" ht="11.25" customHeight="1" x14ac:dyDescent="0.25">
      <c r="A422"/>
      <c r="B422"/>
      <c r="C422"/>
      <c r="D422"/>
      <c r="E422"/>
      <c r="F422"/>
      <c r="G422"/>
      <c r="H422"/>
      <c r="I422"/>
      <c r="J422"/>
    </row>
    <row r="423" spans="1:10" ht="11.25" customHeight="1" x14ac:dyDescent="0.25">
      <c r="A423"/>
      <c r="B423"/>
      <c r="C423"/>
      <c r="D423"/>
      <c r="E423"/>
      <c r="F423"/>
      <c r="G423"/>
      <c r="H423"/>
      <c r="I423"/>
      <c r="J423"/>
    </row>
    <row r="424" spans="1:10" ht="11.25" customHeight="1" x14ac:dyDescent="0.25">
      <c r="A424"/>
      <c r="B424"/>
      <c r="C424"/>
      <c r="D424"/>
      <c r="E424"/>
      <c r="F424"/>
      <c r="G424"/>
      <c r="H424"/>
      <c r="I424"/>
      <c r="J424"/>
    </row>
    <row r="425" spans="1:10" ht="11.25" customHeight="1" x14ac:dyDescent="0.25">
      <c r="A425"/>
      <c r="B425"/>
      <c r="C425"/>
      <c r="D425"/>
      <c r="E425"/>
      <c r="F425"/>
      <c r="G425"/>
      <c r="H425"/>
      <c r="I425"/>
      <c r="J425"/>
    </row>
    <row r="426" spans="1:10" ht="11.25" customHeight="1" x14ac:dyDescent="0.25">
      <c r="A426"/>
      <c r="B426"/>
      <c r="C426"/>
      <c r="D426"/>
      <c r="E426"/>
      <c r="F426"/>
      <c r="G426"/>
      <c r="H426"/>
      <c r="I426"/>
      <c r="J426"/>
    </row>
    <row r="427" spans="1:10" ht="11.25" customHeight="1" x14ac:dyDescent="0.25">
      <c r="A427"/>
      <c r="B427"/>
      <c r="C427"/>
      <c r="D427"/>
      <c r="E427"/>
      <c r="F427"/>
      <c r="G427"/>
      <c r="H427"/>
      <c r="I427"/>
      <c r="J427"/>
    </row>
    <row r="428" spans="1:10" ht="11.25" customHeight="1" x14ac:dyDescent="0.25">
      <c r="A428"/>
      <c r="B428"/>
      <c r="C428"/>
      <c r="D428"/>
      <c r="E428"/>
      <c r="F428"/>
      <c r="G428"/>
      <c r="H428"/>
      <c r="I428"/>
      <c r="J428"/>
    </row>
    <row r="429" spans="1:10" ht="11.25" customHeight="1" x14ac:dyDescent="0.25">
      <c r="A429"/>
      <c r="B429"/>
      <c r="C429"/>
      <c r="D429"/>
      <c r="E429"/>
      <c r="F429"/>
      <c r="G429"/>
      <c r="H429"/>
      <c r="I429"/>
      <c r="J429"/>
    </row>
    <row r="430" spans="1:10" ht="11.25" customHeight="1" x14ac:dyDescent="0.25">
      <c r="A430"/>
      <c r="B430"/>
      <c r="C430"/>
      <c r="D430"/>
      <c r="E430"/>
      <c r="F430"/>
      <c r="G430"/>
      <c r="H430"/>
      <c r="I430"/>
      <c r="J430"/>
    </row>
    <row r="431" spans="1:10" ht="11.25" customHeight="1" x14ac:dyDescent="0.25">
      <c r="A431"/>
      <c r="B431"/>
      <c r="C431"/>
      <c r="D431"/>
      <c r="E431"/>
      <c r="F431"/>
      <c r="G431"/>
      <c r="H431"/>
      <c r="I431"/>
      <c r="J431"/>
    </row>
    <row r="432" spans="1:10" ht="11.25" customHeight="1" x14ac:dyDescent="0.25">
      <c r="A432"/>
      <c r="B432"/>
      <c r="C432"/>
      <c r="D432"/>
      <c r="E432"/>
      <c r="F432"/>
      <c r="G432"/>
      <c r="H432"/>
      <c r="I432"/>
      <c r="J432"/>
    </row>
    <row r="433" spans="1:10" ht="11.25" customHeight="1" x14ac:dyDescent="0.25">
      <c r="A433"/>
      <c r="B433"/>
      <c r="C433"/>
      <c r="D433"/>
      <c r="E433"/>
      <c r="F433"/>
      <c r="G433"/>
      <c r="H433"/>
      <c r="I433"/>
      <c r="J433"/>
    </row>
    <row r="434" spans="1:10" ht="11.25" customHeight="1" x14ac:dyDescent="0.25">
      <c r="A434"/>
      <c r="B434"/>
      <c r="C434"/>
      <c r="D434"/>
      <c r="E434"/>
      <c r="F434"/>
      <c r="G434"/>
      <c r="H434"/>
      <c r="I434"/>
      <c r="J434"/>
    </row>
    <row r="435" spans="1:10" ht="11.25" customHeight="1" x14ac:dyDescent="0.25">
      <c r="A435"/>
      <c r="B435"/>
      <c r="C435"/>
      <c r="D435"/>
      <c r="E435"/>
      <c r="F435"/>
      <c r="G435"/>
      <c r="H435"/>
      <c r="I435"/>
      <c r="J435"/>
    </row>
    <row r="436" spans="1:10" ht="11.25" customHeight="1" x14ac:dyDescent="0.25">
      <c r="A436"/>
      <c r="B436"/>
      <c r="C436"/>
      <c r="D436"/>
      <c r="E436"/>
      <c r="F436"/>
      <c r="G436"/>
      <c r="H436"/>
      <c r="I436"/>
      <c r="J436"/>
    </row>
    <row r="437" spans="1:10" ht="11.25" customHeight="1" x14ac:dyDescent="0.25">
      <c r="A437"/>
      <c r="B437"/>
      <c r="C437"/>
      <c r="D437"/>
      <c r="E437"/>
      <c r="F437"/>
      <c r="G437"/>
      <c r="H437"/>
      <c r="I437"/>
      <c r="J437"/>
    </row>
    <row r="438" spans="1:10" ht="11.25" customHeight="1" x14ac:dyDescent="0.25">
      <c r="A438"/>
      <c r="B438"/>
      <c r="C438"/>
      <c r="D438"/>
      <c r="E438"/>
      <c r="F438"/>
      <c r="G438"/>
      <c r="H438"/>
      <c r="I438"/>
      <c r="J438"/>
    </row>
    <row r="439" spans="1:10" ht="11.25" customHeight="1" x14ac:dyDescent="0.25">
      <c r="A439"/>
      <c r="B439"/>
      <c r="C439"/>
      <c r="D439"/>
      <c r="E439"/>
      <c r="F439"/>
      <c r="G439"/>
      <c r="H439"/>
      <c r="I439"/>
      <c r="J439"/>
    </row>
    <row r="440" spans="1:10" ht="11.25" customHeight="1" x14ac:dyDescent="0.25">
      <c r="A440"/>
      <c r="B440"/>
      <c r="C440"/>
      <c r="D440"/>
      <c r="E440"/>
      <c r="F440"/>
      <c r="G440"/>
      <c r="H440"/>
      <c r="I440"/>
      <c r="J440"/>
    </row>
    <row r="441" spans="1:10" ht="11.25" customHeight="1" x14ac:dyDescent="0.25">
      <c r="A441"/>
      <c r="B441"/>
      <c r="C441"/>
      <c r="D441"/>
      <c r="E441"/>
      <c r="F441"/>
      <c r="G441"/>
      <c r="H441"/>
      <c r="I441"/>
      <c r="J441"/>
    </row>
    <row r="442" spans="1:10" ht="11.25" customHeight="1" x14ac:dyDescent="0.25">
      <c r="A442"/>
      <c r="B442"/>
      <c r="C442"/>
      <c r="D442"/>
      <c r="E442"/>
      <c r="F442"/>
      <c r="G442"/>
      <c r="H442"/>
      <c r="I442"/>
      <c r="J442"/>
    </row>
    <row r="443" spans="1:10" ht="11.25" customHeight="1" x14ac:dyDescent="0.25">
      <c r="A443"/>
      <c r="B443"/>
      <c r="C443"/>
      <c r="D443"/>
      <c r="E443"/>
      <c r="F443"/>
      <c r="G443"/>
      <c r="H443"/>
      <c r="I443"/>
      <c r="J443"/>
    </row>
    <row r="444" spans="1:10" ht="11.25" customHeight="1" x14ac:dyDescent="0.25">
      <c r="A444"/>
      <c r="B444"/>
      <c r="C444"/>
      <c r="D444"/>
      <c r="E444"/>
      <c r="F444"/>
      <c r="G444"/>
      <c r="H444"/>
      <c r="I444"/>
      <c r="J444"/>
    </row>
    <row r="445" spans="1:10" ht="11.25" customHeight="1" x14ac:dyDescent="0.25">
      <c r="A445"/>
      <c r="B445"/>
      <c r="C445"/>
      <c r="D445"/>
      <c r="E445"/>
      <c r="F445"/>
      <c r="G445"/>
      <c r="H445"/>
      <c r="I445"/>
      <c r="J445"/>
    </row>
    <row r="446" spans="1:10" ht="11.25" customHeight="1" x14ac:dyDescent="0.25">
      <c r="A446"/>
      <c r="B446"/>
      <c r="C446"/>
      <c r="D446"/>
      <c r="E446"/>
      <c r="F446"/>
      <c r="G446"/>
      <c r="H446"/>
      <c r="I446"/>
      <c r="J446"/>
    </row>
    <row r="447" spans="1:10" ht="11.25" customHeight="1" x14ac:dyDescent="0.25">
      <c r="A447"/>
      <c r="B447"/>
      <c r="C447"/>
      <c r="D447"/>
      <c r="E447"/>
      <c r="F447"/>
      <c r="G447"/>
      <c r="H447"/>
      <c r="I447"/>
      <c r="J447"/>
    </row>
    <row r="448" spans="1:10" ht="11.25" customHeight="1" x14ac:dyDescent="0.25">
      <c r="A448"/>
      <c r="B448"/>
      <c r="C448"/>
      <c r="D448"/>
      <c r="E448"/>
      <c r="F448"/>
      <c r="G448"/>
      <c r="H448"/>
      <c r="I448"/>
      <c r="J448"/>
    </row>
    <row r="449" spans="1:10" ht="11.25" customHeight="1" x14ac:dyDescent="0.25">
      <c r="A449"/>
      <c r="B449"/>
      <c r="C449"/>
      <c r="D449"/>
      <c r="E449"/>
      <c r="F449"/>
      <c r="G449"/>
      <c r="H449"/>
      <c r="I449"/>
      <c r="J449"/>
    </row>
    <row r="450" spans="1:10" ht="11.25" customHeight="1" x14ac:dyDescent="0.25">
      <c r="A450"/>
      <c r="B450"/>
      <c r="C450"/>
      <c r="D450"/>
      <c r="E450"/>
      <c r="F450"/>
      <c r="G450"/>
      <c r="H450"/>
      <c r="I450"/>
      <c r="J450"/>
    </row>
    <row r="451" spans="1:10" ht="11.25" customHeight="1" x14ac:dyDescent="0.25">
      <c r="A451"/>
      <c r="B451"/>
      <c r="C451"/>
      <c r="D451"/>
      <c r="E451"/>
      <c r="F451"/>
      <c r="G451"/>
      <c r="H451"/>
      <c r="I451"/>
      <c r="J451"/>
    </row>
    <row r="452" spans="1:10" ht="11.25" customHeight="1" x14ac:dyDescent="0.25">
      <c r="A452"/>
      <c r="B452"/>
      <c r="C452"/>
      <c r="D452"/>
      <c r="E452"/>
      <c r="F452"/>
      <c r="G452"/>
      <c r="H452"/>
      <c r="I452"/>
      <c r="J452"/>
    </row>
    <row r="453" spans="1:10" ht="11.25" customHeight="1" x14ac:dyDescent="0.25">
      <c r="A453"/>
      <c r="B453"/>
      <c r="C453"/>
      <c r="D453"/>
      <c r="E453"/>
      <c r="F453"/>
      <c r="G453"/>
      <c r="H453"/>
      <c r="I453"/>
      <c r="J453"/>
    </row>
    <row r="454" spans="1:10" ht="11.25" customHeight="1" x14ac:dyDescent="0.25">
      <c r="A454"/>
      <c r="B454"/>
      <c r="C454"/>
      <c r="D454"/>
      <c r="E454"/>
      <c r="F454"/>
      <c r="G454"/>
      <c r="H454"/>
      <c r="I454"/>
      <c r="J454"/>
    </row>
    <row r="455" spans="1:10" ht="11.25" customHeight="1" x14ac:dyDescent="0.25">
      <c r="A455"/>
      <c r="B455"/>
      <c r="C455"/>
      <c r="D455"/>
      <c r="E455"/>
      <c r="F455"/>
      <c r="G455"/>
      <c r="H455"/>
      <c r="I455"/>
      <c r="J455"/>
    </row>
    <row r="456" spans="1:10" ht="11.25" customHeight="1" x14ac:dyDescent="0.25">
      <c r="A456"/>
      <c r="B456"/>
      <c r="C456"/>
      <c r="D456"/>
      <c r="E456"/>
      <c r="F456"/>
      <c r="G456"/>
      <c r="H456"/>
      <c r="I456"/>
      <c r="J456"/>
    </row>
    <row r="457" spans="1:10" ht="11.25" customHeight="1" x14ac:dyDescent="0.25">
      <c r="A457"/>
      <c r="B457"/>
      <c r="C457"/>
      <c r="D457"/>
      <c r="E457"/>
      <c r="F457"/>
      <c r="G457"/>
      <c r="H457"/>
      <c r="I457"/>
      <c r="J457"/>
    </row>
    <row r="458" spans="1:10" ht="11.25" customHeight="1" x14ac:dyDescent="0.25">
      <c r="A458"/>
      <c r="B458"/>
      <c r="C458"/>
      <c r="D458"/>
      <c r="E458"/>
      <c r="F458"/>
      <c r="G458"/>
      <c r="H458"/>
      <c r="I458"/>
      <c r="J458"/>
    </row>
    <row r="459" spans="1:10" ht="11.25" customHeight="1" x14ac:dyDescent="0.25">
      <c r="A459"/>
      <c r="B459"/>
      <c r="C459"/>
      <c r="D459"/>
      <c r="E459"/>
      <c r="F459"/>
      <c r="G459"/>
      <c r="H459"/>
      <c r="I459"/>
      <c r="J459"/>
    </row>
    <row r="460" spans="1:10" ht="11.25" customHeight="1" x14ac:dyDescent="0.25">
      <c r="A460"/>
      <c r="B460"/>
      <c r="C460"/>
      <c r="D460"/>
      <c r="E460"/>
      <c r="F460"/>
      <c r="G460"/>
      <c r="H460"/>
      <c r="I460"/>
      <c r="J460"/>
    </row>
    <row r="461" spans="1:10" ht="11.25" customHeight="1" x14ac:dyDescent="0.25">
      <c r="A461"/>
      <c r="B461"/>
      <c r="C461"/>
      <c r="D461"/>
      <c r="E461"/>
      <c r="F461"/>
      <c r="G461"/>
      <c r="H461"/>
      <c r="I461"/>
      <c r="J461"/>
    </row>
    <row r="462" spans="1:10" ht="11.25" customHeight="1" x14ac:dyDescent="0.25">
      <c r="A462"/>
      <c r="B462"/>
      <c r="C462"/>
      <c r="D462"/>
      <c r="E462"/>
      <c r="F462"/>
      <c r="G462"/>
      <c r="H462"/>
      <c r="I462"/>
      <c r="J462"/>
    </row>
    <row r="463" spans="1:10" ht="11.25" customHeight="1" x14ac:dyDescent="0.25">
      <c r="A463"/>
      <c r="B463"/>
      <c r="C463"/>
      <c r="D463"/>
      <c r="E463"/>
      <c r="F463"/>
      <c r="G463"/>
      <c r="H463"/>
      <c r="I463"/>
      <c r="J463"/>
    </row>
    <row r="464" spans="1:10" ht="11.25" customHeight="1" x14ac:dyDescent="0.25">
      <c r="A464"/>
      <c r="B464"/>
      <c r="C464"/>
      <c r="D464"/>
      <c r="E464"/>
      <c r="F464"/>
      <c r="G464"/>
      <c r="H464"/>
      <c r="I464"/>
      <c r="J464"/>
    </row>
    <row r="465" spans="1:10" ht="11.25" customHeight="1" x14ac:dyDescent="0.25">
      <c r="A465"/>
      <c r="B465"/>
      <c r="C465"/>
      <c r="D465"/>
      <c r="E465"/>
      <c r="F465"/>
      <c r="G465"/>
      <c r="H465"/>
      <c r="I465"/>
      <c r="J465"/>
    </row>
    <row r="466" spans="1:10" ht="11.25" customHeight="1" x14ac:dyDescent="0.25">
      <c r="A466"/>
      <c r="B466"/>
      <c r="C466"/>
      <c r="D466"/>
      <c r="E466"/>
      <c r="F466"/>
      <c r="G466"/>
      <c r="H466"/>
      <c r="I466"/>
      <c r="J466"/>
    </row>
    <row r="467" spans="1:10" ht="11.25" customHeight="1" x14ac:dyDescent="0.25">
      <c r="A467"/>
      <c r="B467"/>
      <c r="C467"/>
      <c r="D467"/>
      <c r="E467"/>
      <c r="F467"/>
      <c r="G467"/>
      <c r="H467"/>
      <c r="I467"/>
      <c r="J467"/>
    </row>
    <row r="468" spans="1:10" ht="11.25" customHeight="1" x14ac:dyDescent="0.25">
      <c r="A468"/>
      <c r="B468"/>
      <c r="C468"/>
      <c r="D468"/>
      <c r="E468"/>
      <c r="F468"/>
      <c r="G468"/>
      <c r="H468"/>
      <c r="I468"/>
      <c r="J468"/>
    </row>
    <row r="469" spans="1:10" ht="11.25" customHeight="1" x14ac:dyDescent="0.25">
      <c r="A469"/>
      <c r="B469"/>
      <c r="C469"/>
      <c r="D469"/>
      <c r="E469"/>
      <c r="F469"/>
      <c r="G469"/>
      <c r="H469"/>
      <c r="I469"/>
      <c r="J469"/>
    </row>
    <row r="470" spans="1:10" ht="11.25" customHeight="1" x14ac:dyDescent="0.25">
      <c r="A470"/>
      <c r="B470"/>
      <c r="C470"/>
      <c r="D470"/>
      <c r="E470"/>
      <c r="F470"/>
      <c r="G470"/>
      <c r="H470"/>
      <c r="I470"/>
      <c r="J470"/>
    </row>
    <row r="471" spans="1:10" ht="11.25" customHeight="1" x14ac:dyDescent="0.25">
      <c r="A471"/>
      <c r="B471"/>
      <c r="C471"/>
      <c r="D471"/>
      <c r="E471"/>
      <c r="F471"/>
      <c r="G471"/>
      <c r="H471"/>
      <c r="I471"/>
      <c r="J471"/>
    </row>
    <row r="472" spans="1:10" ht="11.25" customHeight="1" x14ac:dyDescent="0.25">
      <c r="A472"/>
      <c r="B472"/>
      <c r="C472"/>
      <c r="D472"/>
      <c r="E472"/>
      <c r="F472"/>
      <c r="G472"/>
      <c r="H472"/>
      <c r="I472"/>
      <c r="J472"/>
    </row>
    <row r="473" spans="1:10" ht="11.25" customHeight="1" x14ac:dyDescent="0.25">
      <c r="A473"/>
      <c r="B473"/>
      <c r="C473"/>
      <c r="D473"/>
      <c r="E473"/>
      <c r="F473"/>
      <c r="G473"/>
      <c r="H473"/>
      <c r="I473"/>
      <c r="J473"/>
    </row>
    <row r="474" spans="1:10" ht="11.25" customHeight="1" x14ac:dyDescent="0.25">
      <c r="A474"/>
      <c r="B474"/>
      <c r="C474"/>
      <c r="D474"/>
      <c r="E474"/>
      <c r="F474"/>
      <c r="G474"/>
      <c r="H474"/>
      <c r="I474"/>
      <c r="J474"/>
    </row>
    <row r="475" spans="1:10" ht="11.25" customHeight="1" x14ac:dyDescent="0.25">
      <c r="A475"/>
      <c r="B475"/>
      <c r="C475"/>
      <c r="D475"/>
      <c r="E475"/>
      <c r="F475"/>
      <c r="G475"/>
      <c r="H475"/>
      <c r="I475"/>
      <c r="J475"/>
    </row>
    <row r="476" spans="1:10" ht="11.25" customHeight="1" x14ac:dyDescent="0.25">
      <c r="A476"/>
      <c r="B476"/>
      <c r="C476"/>
      <c r="D476"/>
      <c r="E476"/>
      <c r="F476"/>
      <c r="G476"/>
      <c r="H476"/>
      <c r="I476"/>
      <c r="J476"/>
    </row>
    <row r="477" spans="1:10" ht="11.25" customHeight="1" x14ac:dyDescent="0.25">
      <c r="A477"/>
      <c r="B477"/>
      <c r="C477"/>
      <c r="D477"/>
      <c r="E477"/>
      <c r="F477"/>
      <c r="G477"/>
      <c r="H477"/>
      <c r="I477"/>
      <c r="J477"/>
    </row>
    <row r="478" spans="1:10" ht="11.25" customHeight="1" x14ac:dyDescent="0.25">
      <c r="A478"/>
      <c r="B478"/>
      <c r="C478"/>
      <c r="D478"/>
      <c r="E478"/>
      <c r="F478"/>
      <c r="G478"/>
      <c r="H478"/>
      <c r="I478"/>
      <c r="J478"/>
    </row>
    <row r="479" spans="1:10" ht="11.25" customHeight="1" x14ac:dyDescent="0.25">
      <c r="A479"/>
      <c r="B479"/>
      <c r="C479"/>
      <c r="D479"/>
      <c r="E479"/>
      <c r="F479"/>
      <c r="G479"/>
      <c r="H479"/>
      <c r="I479"/>
      <c r="J479"/>
    </row>
    <row r="480" spans="1:10" ht="11.25" customHeight="1" x14ac:dyDescent="0.25">
      <c r="A480"/>
      <c r="B480"/>
      <c r="C480"/>
      <c r="D480"/>
      <c r="E480"/>
      <c r="F480"/>
      <c r="G480"/>
      <c r="H480"/>
      <c r="I480"/>
      <c r="J480"/>
    </row>
    <row r="481" spans="1:10" ht="11.25" customHeight="1" x14ac:dyDescent="0.25">
      <c r="A481"/>
      <c r="B481"/>
      <c r="C481"/>
      <c r="D481"/>
      <c r="E481"/>
      <c r="F481"/>
      <c r="G481"/>
      <c r="H481"/>
      <c r="I481"/>
      <c r="J481"/>
    </row>
    <row r="482" spans="1:10" ht="11.25" customHeight="1" x14ac:dyDescent="0.25">
      <c r="A482"/>
      <c r="B482"/>
      <c r="C482"/>
      <c r="D482"/>
      <c r="E482"/>
      <c r="F482"/>
      <c r="G482"/>
      <c r="H482"/>
      <c r="I482"/>
      <c r="J482"/>
    </row>
    <row r="483" spans="1:10" ht="11.25" customHeight="1" x14ac:dyDescent="0.25">
      <c r="A483"/>
      <c r="B483"/>
      <c r="C483"/>
      <c r="D483"/>
      <c r="E483"/>
      <c r="F483"/>
      <c r="G483"/>
      <c r="H483"/>
      <c r="I483"/>
      <c r="J483"/>
    </row>
    <row r="484" spans="1:10" ht="11.25" customHeight="1" x14ac:dyDescent="0.25">
      <c r="A484"/>
      <c r="B484"/>
      <c r="C484"/>
      <c r="D484"/>
      <c r="E484"/>
      <c r="F484"/>
      <c r="G484"/>
      <c r="H484"/>
      <c r="I484"/>
      <c r="J484"/>
    </row>
    <row r="485" spans="1:10" ht="11.25" customHeight="1" x14ac:dyDescent="0.25">
      <c r="A485"/>
      <c r="B485"/>
      <c r="C485"/>
      <c r="D485"/>
      <c r="E485"/>
      <c r="F485"/>
      <c r="G485"/>
      <c r="H485"/>
      <c r="I485"/>
      <c r="J485"/>
    </row>
    <row r="486" spans="1:10" ht="11.25" customHeight="1" x14ac:dyDescent="0.25">
      <c r="A486"/>
      <c r="B486"/>
      <c r="C486"/>
      <c r="D486"/>
      <c r="E486"/>
      <c r="F486"/>
      <c r="G486"/>
      <c r="H486"/>
      <c r="I486"/>
      <c r="J486"/>
    </row>
    <row r="487" spans="1:10" ht="11.25" customHeight="1" x14ac:dyDescent="0.25">
      <c r="A487"/>
      <c r="B487"/>
      <c r="C487"/>
      <c r="D487"/>
      <c r="E487"/>
      <c r="F487"/>
      <c r="G487"/>
      <c r="H487"/>
      <c r="I487"/>
      <c r="J487"/>
    </row>
    <row r="488" spans="1:10" ht="11.25" customHeight="1" x14ac:dyDescent="0.25">
      <c r="A488"/>
      <c r="B488"/>
      <c r="C488"/>
      <c r="D488"/>
      <c r="E488"/>
      <c r="F488"/>
      <c r="G488"/>
      <c r="H488"/>
      <c r="I488"/>
      <c r="J488"/>
    </row>
    <row r="489" spans="1:10" ht="11.25" customHeight="1" x14ac:dyDescent="0.25">
      <c r="A489"/>
      <c r="B489"/>
      <c r="C489"/>
      <c r="D489"/>
      <c r="E489"/>
      <c r="F489"/>
      <c r="G489"/>
      <c r="H489"/>
      <c r="I489"/>
      <c r="J489"/>
    </row>
    <row r="490" spans="1:10" ht="11.25" customHeight="1" x14ac:dyDescent="0.25">
      <c r="A490"/>
      <c r="B490"/>
      <c r="C490"/>
      <c r="D490"/>
      <c r="E490"/>
      <c r="F490"/>
      <c r="G490"/>
      <c r="H490"/>
      <c r="I490"/>
      <c r="J490"/>
    </row>
    <row r="491" spans="1:10" ht="11.25" customHeight="1" x14ac:dyDescent="0.25">
      <c r="A491"/>
      <c r="B491"/>
      <c r="C491"/>
      <c r="D491"/>
      <c r="E491"/>
      <c r="F491"/>
      <c r="G491"/>
      <c r="H491"/>
      <c r="I491"/>
      <c r="J491"/>
    </row>
    <row r="492" spans="1:10" ht="11.25" customHeight="1" x14ac:dyDescent="0.25">
      <c r="A492"/>
      <c r="B492"/>
      <c r="C492"/>
      <c r="D492"/>
      <c r="E492"/>
      <c r="F492"/>
      <c r="G492"/>
      <c r="H492"/>
      <c r="I492"/>
      <c r="J492"/>
    </row>
    <row r="493" spans="1:10" ht="11.25" customHeight="1" x14ac:dyDescent="0.25">
      <c r="A493"/>
      <c r="B493"/>
      <c r="C493"/>
      <c r="D493"/>
      <c r="E493"/>
      <c r="F493"/>
      <c r="G493"/>
      <c r="H493"/>
      <c r="I493"/>
      <c r="J493"/>
    </row>
    <row r="494" spans="1:10" ht="11.25" customHeight="1" x14ac:dyDescent="0.25">
      <c r="A494"/>
      <c r="B494"/>
      <c r="C494"/>
      <c r="D494"/>
      <c r="E494"/>
      <c r="F494"/>
      <c r="G494"/>
      <c r="H494"/>
      <c r="I494"/>
      <c r="J494"/>
    </row>
    <row r="495" spans="1:10" ht="11.25" customHeight="1" x14ac:dyDescent="0.25">
      <c r="A495"/>
      <c r="B495"/>
      <c r="C495"/>
      <c r="D495"/>
      <c r="E495"/>
      <c r="F495"/>
      <c r="G495"/>
      <c r="H495"/>
      <c r="I495"/>
      <c r="J495"/>
    </row>
    <row r="496" spans="1:10" ht="11.25" customHeight="1" x14ac:dyDescent="0.25">
      <c r="A496"/>
      <c r="B496"/>
      <c r="C496"/>
      <c r="D496"/>
      <c r="E496"/>
      <c r="F496"/>
      <c r="G496"/>
      <c r="H496"/>
      <c r="I496"/>
      <c r="J496"/>
    </row>
    <row r="497" spans="1:10" ht="11.25" customHeight="1" x14ac:dyDescent="0.25">
      <c r="A497"/>
      <c r="B497"/>
      <c r="C497"/>
      <c r="D497"/>
      <c r="E497"/>
      <c r="F497"/>
      <c r="G497"/>
      <c r="H497"/>
      <c r="I497"/>
      <c r="J497"/>
    </row>
    <row r="498" spans="1:10" ht="11.25" customHeight="1" x14ac:dyDescent="0.25">
      <c r="A498"/>
      <c r="B498"/>
      <c r="C498"/>
      <c r="D498"/>
      <c r="E498"/>
      <c r="F498"/>
      <c r="G498"/>
      <c r="H498"/>
      <c r="I498"/>
      <c r="J498"/>
    </row>
    <row r="499" spans="1:10" ht="11.25" customHeight="1" x14ac:dyDescent="0.25">
      <c r="A499"/>
      <c r="B499"/>
      <c r="C499"/>
      <c r="D499"/>
      <c r="E499"/>
      <c r="F499"/>
      <c r="G499"/>
      <c r="H499"/>
      <c r="I499"/>
      <c r="J499"/>
    </row>
    <row r="500" spans="1:10" ht="11.25" customHeight="1" x14ac:dyDescent="0.25">
      <c r="A500"/>
      <c r="B500"/>
      <c r="C500"/>
      <c r="D500"/>
      <c r="E500"/>
      <c r="F500"/>
      <c r="G500"/>
      <c r="H500"/>
      <c r="I500"/>
      <c r="J500"/>
    </row>
    <row r="501" spans="1:10" ht="11.25" customHeight="1" x14ac:dyDescent="0.25">
      <c r="A501"/>
      <c r="B501"/>
      <c r="C501"/>
      <c r="D501"/>
      <c r="E501"/>
      <c r="F501"/>
      <c r="G501"/>
      <c r="H501"/>
      <c r="I501"/>
      <c r="J501"/>
    </row>
    <row r="502" spans="1:10" ht="11.25" customHeight="1" x14ac:dyDescent="0.25">
      <c r="A502"/>
      <c r="B502"/>
      <c r="C502"/>
      <c r="D502"/>
      <c r="E502"/>
      <c r="F502"/>
      <c r="G502"/>
      <c r="H502"/>
      <c r="I502"/>
      <c r="J502"/>
    </row>
    <row r="503" spans="1:10" ht="11.25" customHeight="1" x14ac:dyDescent="0.25">
      <c r="A503"/>
      <c r="B503"/>
      <c r="C503"/>
      <c r="D503"/>
      <c r="E503"/>
      <c r="F503"/>
      <c r="G503"/>
      <c r="H503"/>
      <c r="I503"/>
      <c r="J503"/>
    </row>
    <row r="504" spans="1:10" ht="11.25" customHeight="1" x14ac:dyDescent="0.25">
      <c r="A504"/>
      <c r="B504"/>
      <c r="C504"/>
      <c r="D504"/>
      <c r="E504"/>
      <c r="F504"/>
      <c r="G504"/>
      <c r="H504"/>
      <c r="I504"/>
      <c r="J504"/>
    </row>
    <row r="505" spans="1:10" ht="11.25" customHeight="1" x14ac:dyDescent="0.25">
      <c r="A505"/>
      <c r="B505"/>
      <c r="C505"/>
      <c r="D505"/>
      <c r="E505"/>
      <c r="F505"/>
      <c r="G505"/>
      <c r="H505"/>
      <c r="I505"/>
      <c r="J505"/>
    </row>
    <row r="506" spans="1:10" ht="11.25" customHeight="1" x14ac:dyDescent="0.25">
      <c r="A506"/>
      <c r="B506"/>
      <c r="C506"/>
      <c r="D506"/>
      <c r="E506"/>
      <c r="F506"/>
      <c r="G506"/>
      <c r="H506"/>
      <c r="I506"/>
      <c r="J506"/>
    </row>
    <row r="507" spans="1:10" ht="11.25" customHeight="1" x14ac:dyDescent="0.25">
      <c r="A507"/>
      <c r="B507"/>
      <c r="C507"/>
      <c r="D507"/>
      <c r="E507"/>
      <c r="F507"/>
      <c r="G507"/>
      <c r="H507"/>
      <c r="I507"/>
      <c r="J507"/>
    </row>
    <row r="508" spans="1:10" ht="11.25" customHeight="1" x14ac:dyDescent="0.25">
      <c r="A508"/>
      <c r="B508"/>
      <c r="C508"/>
      <c r="D508"/>
      <c r="E508"/>
      <c r="F508"/>
      <c r="G508"/>
      <c r="H508"/>
      <c r="I508"/>
      <c r="J508"/>
    </row>
    <row r="509" spans="1:10" ht="11.25" customHeight="1" x14ac:dyDescent="0.25">
      <c r="A509"/>
      <c r="B509"/>
      <c r="C509"/>
      <c r="D509"/>
      <c r="E509"/>
      <c r="F509"/>
      <c r="G509"/>
      <c r="H509"/>
      <c r="I509"/>
      <c r="J509"/>
    </row>
    <row r="510" spans="1:10" ht="11.25" customHeight="1" x14ac:dyDescent="0.25">
      <c r="A510"/>
      <c r="B510"/>
      <c r="C510"/>
      <c r="D510"/>
      <c r="E510"/>
      <c r="F510"/>
      <c r="G510"/>
      <c r="H510"/>
      <c r="I510"/>
      <c r="J510"/>
    </row>
    <row r="511" spans="1:10" ht="11.25" customHeight="1" x14ac:dyDescent="0.25">
      <c r="A511"/>
      <c r="B511"/>
      <c r="C511"/>
      <c r="D511"/>
      <c r="E511"/>
      <c r="F511"/>
      <c r="G511"/>
      <c r="H511"/>
      <c r="I511"/>
      <c r="J511"/>
    </row>
    <row r="512" spans="1:10" ht="11.25" customHeight="1" x14ac:dyDescent="0.25">
      <c r="A512"/>
      <c r="B512"/>
      <c r="C512"/>
      <c r="D512"/>
      <c r="E512"/>
      <c r="F512"/>
      <c r="G512"/>
      <c r="H512"/>
      <c r="I512"/>
      <c r="J512"/>
    </row>
    <row r="513" spans="1:10" ht="11.25" customHeight="1" x14ac:dyDescent="0.25">
      <c r="A513"/>
      <c r="B513"/>
      <c r="C513"/>
      <c r="D513"/>
      <c r="E513"/>
      <c r="F513"/>
      <c r="G513"/>
      <c r="H513"/>
      <c r="I513"/>
      <c r="J513"/>
    </row>
    <row r="514" spans="1:10" ht="11.25" customHeight="1" x14ac:dyDescent="0.25">
      <c r="A514"/>
      <c r="B514"/>
      <c r="C514"/>
      <c r="D514"/>
      <c r="E514"/>
      <c r="F514"/>
      <c r="G514"/>
      <c r="H514"/>
      <c r="I514"/>
      <c r="J514"/>
    </row>
    <row r="515" spans="1:10" ht="11.25" customHeight="1" x14ac:dyDescent="0.25">
      <c r="A515"/>
      <c r="B515"/>
      <c r="C515"/>
      <c r="D515"/>
      <c r="E515"/>
      <c r="F515"/>
      <c r="G515"/>
      <c r="H515"/>
      <c r="I515"/>
      <c r="J515"/>
    </row>
    <row r="516" spans="1:10" ht="11.25" customHeight="1" x14ac:dyDescent="0.25">
      <c r="A516"/>
      <c r="B516"/>
      <c r="C516"/>
      <c r="D516"/>
      <c r="E516"/>
      <c r="F516"/>
      <c r="G516"/>
      <c r="H516"/>
      <c r="I516"/>
      <c r="J516"/>
    </row>
    <row r="517" spans="1:10" ht="11.25" customHeight="1" x14ac:dyDescent="0.25">
      <c r="A517"/>
      <c r="B517"/>
      <c r="C517"/>
      <c r="D517"/>
      <c r="E517"/>
      <c r="F517"/>
      <c r="G517"/>
      <c r="H517"/>
      <c r="I517"/>
      <c r="J517"/>
    </row>
    <row r="518" spans="1:10" ht="11.25" customHeight="1" x14ac:dyDescent="0.25">
      <c r="A518"/>
      <c r="B518"/>
      <c r="C518"/>
      <c r="D518"/>
      <c r="E518"/>
      <c r="F518"/>
      <c r="G518"/>
      <c r="H518"/>
      <c r="I518"/>
      <c r="J518"/>
    </row>
    <row r="519" spans="1:10" ht="11.25" customHeight="1" x14ac:dyDescent="0.25">
      <c r="A519"/>
      <c r="B519"/>
      <c r="C519"/>
      <c r="D519"/>
      <c r="E519"/>
      <c r="F519"/>
      <c r="G519"/>
      <c r="H519"/>
      <c r="I519"/>
      <c r="J519"/>
    </row>
    <row r="520" spans="1:10" ht="11.25" customHeight="1" x14ac:dyDescent="0.25">
      <c r="A520"/>
      <c r="B520"/>
      <c r="C520"/>
      <c r="D520"/>
      <c r="E520"/>
      <c r="F520"/>
      <c r="G520"/>
      <c r="H520"/>
      <c r="I520"/>
      <c r="J520"/>
    </row>
    <row r="521" spans="1:10" ht="11.25" customHeight="1" x14ac:dyDescent="0.25">
      <c r="A521"/>
      <c r="B521"/>
      <c r="C521"/>
      <c r="D521"/>
      <c r="E521"/>
      <c r="F521"/>
      <c r="G521"/>
      <c r="H521"/>
      <c r="I521"/>
      <c r="J521"/>
    </row>
    <row r="522" spans="1:10" ht="11.25" customHeight="1" x14ac:dyDescent="0.25">
      <c r="A522"/>
      <c r="B522"/>
      <c r="C522"/>
      <c r="D522"/>
      <c r="E522"/>
      <c r="F522"/>
      <c r="G522"/>
      <c r="H522"/>
      <c r="I522"/>
      <c r="J522"/>
    </row>
    <row r="523" spans="1:10" ht="11.25" customHeight="1" x14ac:dyDescent="0.25">
      <c r="A523"/>
      <c r="B523"/>
      <c r="C523"/>
      <c r="D523"/>
      <c r="E523"/>
      <c r="F523"/>
      <c r="G523"/>
      <c r="H523"/>
      <c r="I523"/>
      <c r="J523"/>
    </row>
    <row r="524" spans="1:10" ht="11.25" customHeight="1" x14ac:dyDescent="0.25">
      <c r="A524"/>
      <c r="B524"/>
      <c r="C524"/>
      <c r="D524"/>
      <c r="E524"/>
      <c r="F524"/>
      <c r="G524"/>
      <c r="H524"/>
      <c r="I524"/>
      <c r="J524"/>
    </row>
    <row r="525" spans="1:10" ht="11.25" customHeight="1" x14ac:dyDescent="0.25">
      <c r="A525"/>
      <c r="B525"/>
      <c r="C525"/>
      <c r="D525"/>
      <c r="E525"/>
      <c r="F525"/>
      <c r="G525"/>
      <c r="H525"/>
      <c r="I525"/>
      <c r="J525"/>
    </row>
    <row r="526" spans="1:10" ht="11.25" customHeight="1" x14ac:dyDescent="0.25">
      <c r="A526"/>
      <c r="B526"/>
      <c r="C526"/>
      <c r="D526"/>
      <c r="E526"/>
      <c r="F526"/>
      <c r="G526"/>
      <c r="H526"/>
      <c r="I526"/>
      <c r="J526"/>
    </row>
    <row r="527" spans="1:10" ht="11.25" customHeight="1" x14ac:dyDescent="0.25">
      <c r="A527"/>
      <c r="B527"/>
      <c r="C527"/>
      <c r="D527"/>
      <c r="E527"/>
      <c r="F527"/>
      <c r="G527"/>
      <c r="H527"/>
      <c r="I527"/>
      <c r="J527"/>
    </row>
    <row r="528" spans="1:10" ht="11.25" customHeight="1" x14ac:dyDescent="0.25">
      <c r="A528"/>
      <c r="B528"/>
      <c r="C528"/>
      <c r="D528"/>
      <c r="E528"/>
      <c r="F528"/>
      <c r="G528"/>
      <c r="H528"/>
      <c r="I528"/>
      <c r="J528"/>
    </row>
    <row r="529" spans="1:10" ht="11.25" customHeight="1" x14ac:dyDescent="0.25">
      <c r="A529"/>
      <c r="B529"/>
      <c r="C529"/>
      <c r="D529"/>
      <c r="E529"/>
      <c r="F529"/>
      <c r="G529"/>
      <c r="H529"/>
      <c r="I529"/>
      <c r="J529"/>
    </row>
    <row r="530" spans="1:10" ht="11.25" customHeight="1" x14ac:dyDescent="0.25">
      <c r="A530"/>
      <c r="B530"/>
      <c r="C530"/>
      <c r="D530"/>
      <c r="E530"/>
      <c r="F530"/>
      <c r="G530"/>
      <c r="H530"/>
      <c r="I530"/>
      <c r="J530"/>
    </row>
    <row r="531" spans="1:10" ht="11.25" customHeight="1" x14ac:dyDescent="0.25">
      <c r="A531"/>
      <c r="B531"/>
      <c r="C531"/>
      <c r="D531"/>
      <c r="E531"/>
      <c r="F531"/>
      <c r="G531"/>
      <c r="H531"/>
      <c r="I531"/>
      <c r="J531"/>
    </row>
    <row r="532" spans="1:10" ht="11.25" customHeight="1" x14ac:dyDescent="0.25">
      <c r="A532"/>
      <c r="B532"/>
      <c r="C532"/>
      <c r="D532"/>
      <c r="E532"/>
      <c r="F532"/>
      <c r="G532"/>
      <c r="H532"/>
      <c r="I532"/>
      <c r="J532"/>
    </row>
    <row r="533" spans="1:10" ht="11.25" customHeight="1" x14ac:dyDescent="0.25">
      <c r="A533"/>
      <c r="B533"/>
      <c r="C533"/>
      <c r="D533"/>
      <c r="E533"/>
      <c r="F533"/>
      <c r="G533"/>
      <c r="H533"/>
      <c r="I533"/>
      <c r="J533"/>
    </row>
    <row r="534" spans="1:10" ht="11.25" customHeight="1" x14ac:dyDescent="0.25">
      <c r="A534"/>
      <c r="B534"/>
      <c r="C534"/>
      <c r="D534"/>
      <c r="E534"/>
      <c r="F534"/>
      <c r="G534"/>
      <c r="H534"/>
      <c r="I534"/>
      <c r="J534"/>
    </row>
    <row r="535" spans="1:10" ht="11.25" customHeight="1" x14ac:dyDescent="0.25">
      <c r="A535"/>
      <c r="B535"/>
      <c r="C535"/>
      <c r="D535"/>
      <c r="E535"/>
      <c r="F535"/>
      <c r="G535"/>
      <c r="H535"/>
      <c r="I535"/>
      <c r="J535"/>
    </row>
    <row r="536" spans="1:10" ht="11.25" customHeight="1" x14ac:dyDescent="0.25">
      <c r="A536"/>
      <c r="B536"/>
      <c r="C536"/>
      <c r="D536"/>
      <c r="E536"/>
      <c r="F536"/>
      <c r="G536"/>
      <c r="H536"/>
      <c r="I536"/>
      <c r="J536"/>
    </row>
    <row r="537" spans="1:10" ht="11.25" customHeight="1" x14ac:dyDescent="0.25">
      <c r="A537"/>
      <c r="B537"/>
      <c r="C537"/>
      <c r="D537"/>
      <c r="E537"/>
      <c r="F537"/>
      <c r="G537"/>
      <c r="H537"/>
      <c r="I537"/>
      <c r="J537"/>
    </row>
    <row r="538" spans="1:10" ht="11.25" customHeight="1" x14ac:dyDescent="0.25">
      <c r="A538"/>
      <c r="B538"/>
      <c r="C538"/>
      <c r="D538"/>
      <c r="E538"/>
      <c r="F538"/>
      <c r="G538"/>
      <c r="H538"/>
      <c r="I538"/>
      <c r="J538"/>
    </row>
    <row r="539" spans="1:10" ht="11.25" customHeight="1" x14ac:dyDescent="0.25">
      <c r="A539"/>
      <c r="B539"/>
      <c r="C539"/>
      <c r="D539"/>
      <c r="E539"/>
      <c r="F539"/>
      <c r="G539"/>
      <c r="H539"/>
      <c r="I539"/>
      <c r="J539"/>
    </row>
    <row r="540" spans="1:10" ht="11.25" customHeight="1" x14ac:dyDescent="0.25">
      <c r="A540"/>
      <c r="B540"/>
      <c r="C540"/>
      <c r="D540"/>
      <c r="E540"/>
      <c r="F540"/>
      <c r="G540"/>
      <c r="H540"/>
      <c r="I540"/>
      <c r="J540"/>
    </row>
    <row r="541" spans="1:10" ht="11.25" customHeight="1" x14ac:dyDescent="0.25">
      <c r="A541"/>
      <c r="B541"/>
      <c r="C541"/>
      <c r="D541"/>
      <c r="E541"/>
      <c r="F541"/>
      <c r="G541"/>
      <c r="H541"/>
      <c r="I541"/>
      <c r="J541"/>
    </row>
    <row r="542" spans="1:10" ht="11.25" customHeight="1" x14ac:dyDescent="0.25">
      <c r="A542"/>
      <c r="B542"/>
      <c r="C542"/>
      <c r="D542"/>
      <c r="E542"/>
      <c r="F542"/>
      <c r="G542"/>
      <c r="H542"/>
      <c r="I542"/>
      <c r="J542"/>
    </row>
    <row r="543" spans="1:10" ht="11.25" customHeight="1" x14ac:dyDescent="0.25">
      <c r="A543"/>
      <c r="B543"/>
      <c r="C543"/>
      <c r="D543"/>
      <c r="E543"/>
      <c r="F543"/>
      <c r="G543"/>
      <c r="H543"/>
      <c r="I543"/>
      <c r="J543"/>
    </row>
    <row r="544" spans="1:10" ht="11.25" customHeight="1" x14ac:dyDescent="0.25">
      <c r="A544"/>
      <c r="B544"/>
      <c r="C544"/>
      <c r="D544"/>
      <c r="E544"/>
      <c r="F544"/>
      <c r="G544"/>
      <c r="H544"/>
      <c r="I544"/>
      <c r="J544"/>
    </row>
    <row r="545" spans="1:10" ht="11.25" customHeight="1" x14ac:dyDescent="0.25">
      <c r="A545"/>
      <c r="B545"/>
      <c r="C545"/>
      <c r="D545"/>
      <c r="E545"/>
      <c r="F545"/>
      <c r="G545"/>
      <c r="H545"/>
      <c r="I545"/>
      <c r="J545"/>
    </row>
    <row r="546" spans="1:10" ht="11.25" customHeight="1" x14ac:dyDescent="0.25">
      <c r="A546"/>
      <c r="B546"/>
      <c r="C546"/>
      <c r="D546"/>
      <c r="E546"/>
      <c r="F546"/>
      <c r="G546"/>
      <c r="H546"/>
      <c r="I546"/>
      <c r="J546"/>
    </row>
    <row r="547" spans="1:10" ht="11.25" customHeight="1" x14ac:dyDescent="0.25">
      <c r="A547"/>
      <c r="B547"/>
      <c r="C547"/>
      <c r="D547"/>
      <c r="E547"/>
      <c r="F547"/>
      <c r="G547"/>
      <c r="H547"/>
      <c r="I547"/>
      <c r="J547"/>
    </row>
    <row r="548" spans="1:10" ht="11.25" customHeight="1" x14ac:dyDescent="0.25">
      <c r="A548"/>
      <c r="B548"/>
      <c r="C548"/>
      <c r="D548"/>
      <c r="E548"/>
      <c r="F548"/>
      <c r="G548"/>
      <c r="H548"/>
      <c r="I548"/>
      <c r="J548"/>
    </row>
    <row r="549" spans="1:10" ht="11.25" customHeight="1" x14ac:dyDescent="0.25">
      <c r="A549"/>
      <c r="B549"/>
      <c r="C549"/>
      <c r="D549"/>
      <c r="E549"/>
      <c r="F549"/>
      <c r="G549"/>
      <c r="H549"/>
      <c r="I549"/>
      <c r="J549"/>
    </row>
    <row r="550" spans="1:10" ht="11.25" customHeight="1" x14ac:dyDescent="0.25">
      <c r="A550"/>
      <c r="B550"/>
      <c r="C550"/>
      <c r="D550"/>
      <c r="E550"/>
      <c r="F550"/>
      <c r="G550"/>
      <c r="H550"/>
      <c r="I550"/>
      <c r="J550"/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CBC2-C913-4959-9146-BA6B726F8808}">
  <dimension ref="A1:G334"/>
  <sheetViews>
    <sheetView showGridLines="0" workbookViewId="0"/>
  </sheetViews>
  <sheetFormatPr defaultRowHeight="11.25" customHeight="1" x14ac:dyDescent="0.2"/>
  <cols>
    <col min="1" max="1" width="40.42578125" style="14" bestFit="1" customWidth="1"/>
    <col min="2" max="2" width="20.42578125" style="45" bestFit="1" customWidth="1"/>
    <col min="3" max="3" width="21.85546875" style="45" bestFit="1" customWidth="1"/>
    <col min="4" max="4" width="20.28515625" style="45" bestFit="1" customWidth="1"/>
    <col min="5" max="5" width="21.7109375" style="45" bestFit="1" customWidth="1"/>
    <col min="6" max="6" width="14.85546875" style="45" bestFit="1" customWidth="1"/>
    <col min="7" max="7" width="14.7109375" style="45" bestFit="1" customWidth="1"/>
    <col min="8" max="16384" width="9.140625" style="14"/>
  </cols>
  <sheetData>
    <row r="1" spans="1:7" ht="11.25" customHeight="1" x14ac:dyDescent="0.2">
      <c r="A1" s="44" t="s">
        <v>573</v>
      </c>
      <c r="B1" s="45" t="s">
        <v>599</v>
      </c>
      <c r="C1" s="45" t="s">
        <v>600</v>
      </c>
      <c r="D1" s="45" t="s">
        <v>601</v>
      </c>
      <c r="E1" s="45" t="s">
        <v>602</v>
      </c>
      <c r="F1" s="45" t="s">
        <v>603</v>
      </c>
      <c r="G1" s="45" t="s">
        <v>604</v>
      </c>
    </row>
    <row r="2" spans="1:7" ht="11.25" customHeight="1" x14ac:dyDescent="0.2">
      <c r="A2" s="47" t="s">
        <v>592</v>
      </c>
      <c r="B2" s="45">
        <v>0</v>
      </c>
      <c r="C2" s="45">
        <v>10589.676006</v>
      </c>
      <c r="D2" s="45">
        <v>0</v>
      </c>
      <c r="E2" s="45">
        <v>11530.356090381842</v>
      </c>
      <c r="F2" s="45">
        <v>10589.676006</v>
      </c>
      <c r="G2" s="45">
        <v>11530.356090381842</v>
      </c>
    </row>
    <row r="3" spans="1:7" ht="11.25" customHeight="1" x14ac:dyDescent="0.2">
      <c r="A3" s="48" t="s">
        <v>33</v>
      </c>
      <c r="B3" s="45">
        <v>0</v>
      </c>
      <c r="C3" s="45">
        <v>10589.676006</v>
      </c>
      <c r="D3" s="45">
        <v>0</v>
      </c>
      <c r="E3" s="45">
        <v>11530.356090381842</v>
      </c>
      <c r="F3" s="45">
        <v>10589.676006</v>
      </c>
      <c r="G3" s="45">
        <v>11530.356090381842</v>
      </c>
    </row>
    <row r="4" spans="1:7" ht="11.25" customHeight="1" x14ac:dyDescent="0.2">
      <c r="A4" s="49" t="s">
        <v>23</v>
      </c>
      <c r="B4" s="45">
        <v>0</v>
      </c>
      <c r="C4" s="45">
        <v>10589.676006</v>
      </c>
      <c r="D4" s="45">
        <v>0</v>
      </c>
      <c r="E4" s="45">
        <v>11530.356090381842</v>
      </c>
      <c r="F4" s="45">
        <v>10589.676006</v>
      </c>
      <c r="G4" s="45">
        <v>11530.356090381842</v>
      </c>
    </row>
    <row r="5" spans="1:7" ht="11.25" customHeight="1" x14ac:dyDescent="0.2">
      <c r="A5" s="50" t="s">
        <v>47</v>
      </c>
      <c r="B5" s="45">
        <v>0</v>
      </c>
      <c r="C5" s="45">
        <v>10589.676006</v>
      </c>
      <c r="D5" s="45">
        <v>0</v>
      </c>
      <c r="E5" s="45">
        <v>11530.356090381842</v>
      </c>
      <c r="F5" s="45">
        <v>10589.676006</v>
      </c>
      <c r="G5" s="45">
        <v>11530.356090381842</v>
      </c>
    </row>
    <row r="6" spans="1:7" ht="11.25" customHeight="1" x14ac:dyDescent="0.2">
      <c r="A6" s="51" t="s">
        <v>48</v>
      </c>
      <c r="B6" s="45">
        <v>0</v>
      </c>
      <c r="C6" s="45">
        <v>10589.676006</v>
      </c>
      <c r="D6" s="45">
        <v>0</v>
      </c>
      <c r="E6" s="45">
        <v>11530.356090381842</v>
      </c>
      <c r="F6" s="45">
        <v>10589.676006</v>
      </c>
      <c r="G6" s="45">
        <v>11530.356090381842</v>
      </c>
    </row>
    <row r="7" spans="1:7" ht="11.25" customHeight="1" x14ac:dyDescent="0.2">
      <c r="A7" s="52" t="s">
        <v>25</v>
      </c>
      <c r="B7" s="45">
        <v>0</v>
      </c>
      <c r="C7" s="45">
        <v>10589.676006</v>
      </c>
      <c r="D7" s="45">
        <v>0</v>
      </c>
      <c r="E7" s="45">
        <v>11530.356090381842</v>
      </c>
      <c r="F7" s="45">
        <v>10589.676006</v>
      </c>
      <c r="G7" s="45">
        <v>11530.356090381842</v>
      </c>
    </row>
    <row r="8" spans="1:7" ht="11.25" customHeight="1" x14ac:dyDescent="0.2">
      <c r="A8" s="53" t="s">
        <v>25</v>
      </c>
      <c r="B8" s="45">
        <v>0</v>
      </c>
      <c r="C8" s="45">
        <v>10589.676006</v>
      </c>
      <c r="D8" s="45">
        <v>0</v>
      </c>
      <c r="E8" s="45">
        <v>11530.356090381842</v>
      </c>
      <c r="F8" s="45">
        <v>10589.676006</v>
      </c>
      <c r="G8" s="45">
        <v>11530.356090381842</v>
      </c>
    </row>
    <row r="9" spans="1:7" ht="11.25" customHeight="1" x14ac:dyDescent="0.2">
      <c r="A9" s="54" t="s">
        <v>25</v>
      </c>
      <c r="B9" s="45">
        <v>0</v>
      </c>
      <c r="C9" s="45">
        <v>10589.676006</v>
      </c>
      <c r="D9" s="45">
        <v>0</v>
      </c>
      <c r="E9" s="45">
        <v>11530.356090381842</v>
      </c>
      <c r="F9" s="45">
        <v>10589.676006</v>
      </c>
      <c r="G9" s="45">
        <v>11530.356090381842</v>
      </c>
    </row>
    <row r="10" spans="1:7" ht="11.25" customHeight="1" x14ac:dyDescent="0.2">
      <c r="A10" s="55">
        <v>44378</v>
      </c>
      <c r="B10" s="45">
        <v>0</v>
      </c>
      <c r="C10" s="45">
        <v>655.60741739999969</v>
      </c>
      <c r="D10" s="45">
        <v>0</v>
      </c>
      <c r="E10" s="45">
        <v>713.84497257843634</v>
      </c>
      <c r="F10" s="45">
        <v>655.60741739999969</v>
      </c>
      <c r="G10" s="45">
        <v>713.84497257843634</v>
      </c>
    </row>
    <row r="11" spans="1:7" ht="11.25" customHeight="1" x14ac:dyDescent="0.2">
      <c r="A11" s="55">
        <v>44409</v>
      </c>
      <c r="B11" s="45">
        <v>0</v>
      </c>
      <c r="C11" s="45">
        <v>896.96779379999919</v>
      </c>
      <c r="D11" s="45">
        <v>0</v>
      </c>
      <c r="E11" s="45">
        <v>976.64537217742168</v>
      </c>
      <c r="F11" s="45">
        <v>896.96779379999919</v>
      </c>
      <c r="G11" s="45">
        <v>976.64537217742168</v>
      </c>
    </row>
    <row r="12" spans="1:7" ht="11.25" customHeight="1" x14ac:dyDescent="0.2">
      <c r="A12" s="55">
        <v>44440</v>
      </c>
      <c r="B12" s="45">
        <v>0</v>
      </c>
      <c r="C12" s="45">
        <v>909.53601960000128</v>
      </c>
      <c r="D12" s="45">
        <v>0</v>
      </c>
      <c r="E12" s="45">
        <v>990.33003248395426</v>
      </c>
      <c r="F12" s="45">
        <v>909.53601960000128</v>
      </c>
      <c r="G12" s="45">
        <v>990.33003248395426</v>
      </c>
    </row>
    <row r="13" spans="1:7" ht="11.25" customHeight="1" x14ac:dyDescent="0.2">
      <c r="A13" s="55">
        <v>44470</v>
      </c>
      <c r="B13" s="45">
        <v>0</v>
      </c>
      <c r="C13" s="45">
        <v>870.27607679999915</v>
      </c>
      <c r="D13" s="45">
        <v>0</v>
      </c>
      <c r="E13" s="45">
        <v>947.58263206154629</v>
      </c>
      <c r="F13" s="45">
        <v>870.27607679999915</v>
      </c>
      <c r="G13" s="45">
        <v>947.58263206154629</v>
      </c>
    </row>
    <row r="14" spans="1:7" ht="11.25" customHeight="1" x14ac:dyDescent="0.2">
      <c r="A14" s="55">
        <v>44501</v>
      </c>
      <c r="B14" s="45">
        <v>0</v>
      </c>
      <c r="C14" s="45">
        <v>933.15924000000052</v>
      </c>
      <c r="D14" s="45">
        <v>0</v>
      </c>
      <c r="E14" s="45">
        <v>1016.0517016888697</v>
      </c>
      <c r="F14" s="45">
        <v>933.15924000000052</v>
      </c>
      <c r="G14" s="45">
        <v>1016.0517016888697</v>
      </c>
    </row>
    <row r="15" spans="1:7" ht="11.25" customHeight="1" x14ac:dyDescent="0.2">
      <c r="A15" s="55">
        <v>44531</v>
      </c>
      <c r="B15" s="45">
        <v>0</v>
      </c>
      <c r="C15" s="45">
        <v>756.82577099999821</v>
      </c>
      <c r="D15" s="45">
        <v>0</v>
      </c>
      <c r="E15" s="45">
        <v>824.05454454540757</v>
      </c>
      <c r="F15" s="45">
        <v>756.82577099999821</v>
      </c>
      <c r="G15" s="45">
        <v>824.05454454540757</v>
      </c>
    </row>
    <row r="16" spans="1:7" ht="11.25" customHeight="1" x14ac:dyDescent="0.2">
      <c r="A16" s="55">
        <v>44562</v>
      </c>
      <c r="B16" s="45">
        <v>0</v>
      </c>
      <c r="C16" s="45">
        <v>932.48669280000104</v>
      </c>
      <c r="D16" s="45">
        <v>0</v>
      </c>
      <c r="E16" s="45">
        <v>1015.3194121741396</v>
      </c>
      <c r="F16" s="45">
        <v>932.48669280000104</v>
      </c>
      <c r="G16" s="45">
        <v>1015.3194121741396</v>
      </c>
    </row>
    <row r="17" spans="1:7" ht="11.25" customHeight="1" x14ac:dyDescent="0.2">
      <c r="A17" s="55">
        <v>44593</v>
      </c>
      <c r="B17" s="45">
        <v>0</v>
      </c>
      <c r="C17" s="45">
        <v>910.62890880000214</v>
      </c>
      <c r="D17" s="45">
        <v>0</v>
      </c>
      <c r="E17" s="45">
        <v>991.52000294539266</v>
      </c>
      <c r="F17" s="45">
        <v>910.62890880000214</v>
      </c>
      <c r="G17" s="45">
        <v>991.52000294539266</v>
      </c>
    </row>
    <row r="18" spans="1:7" ht="11.25" customHeight="1" x14ac:dyDescent="0.2">
      <c r="A18" s="55">
        <v>44621</v>
      </c>
      <c r="B18" s="45">
        <v>0</v>
      </c>
      <c r="C18" s="45">
        <v>934.71450539999876</v>
      </c>
      <c r="D18" s="45">
        <v>0</v>
      </c>
      <c r="E18" s="45">
        <v>1017.7451211916828</v>
      </c>
      <c r="F18" s="45">
        <v>934.71450539999876</v>
      </c>
      <c r="G18" s="45">
        <v>1017.7451211916828</v>
      </c>
    </row>
    <row r="19" spans="1:7" ht="11.25" customHeight="1" x14ac:dyDescent="0.2">
      <c r="A19" s="55">
        <v>44652</v>
      </c>
      <c r="B19" s="45">
        <v>0</v>
      </c>
      <c r="C19" s="45">
        <v>929.03988839999965</v>
      </c>
      <c r="D19" s="45">
        <v>0</v>
      </c>
      <c r="E19" s="45">
        <v>1011.5664284111432</v>
      </c>
      <c r="F19" s="45">
        <v>929.03988839999965</v>
      </c>
      <c r="G19" s="45">
        <v>1011.5664284111432</v>
      </c>
    </row>
    <row r="20" spans="1:7" ht="11.25" customHeight="1" x14ac:dyDescent="0.2">
      <c r="A20" s="55">
        <v>44682</v>
      </c>
      <c r="B20" s="45">
        <v>0</v>
      </c>
      <c r="C20" s="45">
        <v>912.68858460000138</v>
      </c>
      <c r="D20" s="45">
        <v>0</v>
      </c>
      <c r="E20" s="45">
        <v>993.76263958425443</v>
      </c>
      <c r="F20" s="45">
        <v>912.68858460000138</v>
      </c>
      <c r="G20" s="45">
        <v>993.76263958425443</v>
      </c>
    </row>
    <row r="21" spans="1:7" ht="11.25" customHeight="1" x14ac:dyDescent="0.2">
      <c r="A21" s="55">
        <v>44713</v>
      </c>
      <c r="B21" s="45">
        <v>0</v>
      </c>
      <c r="C21" s="45">
        <v>947.74510740000085</v>
      </c>
      <c r="D21" s="45">
        <v>0</v>
      </c>
      <c r="E21" s="45">
        <v>1031.9332305395926</v>
      </c>
      <c r="F21" s="45">
        <v>947.74510740000085</v>
      </c>
      <c r="G21" s="45">
        <v>1031.9332305395926</v>
      </c>
    </row>
    <row r="22" spans="1:7" ht="11.25" customHeight="1" x14ac:dyDescent="0.2">
      <c r="A22" s="47" t="s">
        <v>591</v>
      </c>
      <c r="B22" s="45">
        <v>0</v>
      </c>
      <c r="C22" s="45">
        <v>26975.661459999992</v>
      </c>
      <c r="D22" s="45">
        <v>0</v>
      </c>
      <c r="E22" s="45">
        <v>27999.500605901703</v>
      </c>
      <c r="F22" s="45">
        <v>26975.661459999992</v>
      </c>
      <c r="G22" s="45">
        <v>27999.500605901703</v>
      </c>
    </row>
    <row r="23" spans="1:7" ht="11.25" customHeight="1" x14ac:dyDescent="0.2">
      <c r="A23" s="48" t="s">
        <v>22</v>
      </c>
      <c r="B23" s="45">
        <v>0</v>
      </c>
      <c r="C23" s="45">
        <v>26975.661459999992</v>
      </c>
      <c r="D23" s="45">
        <v>0</v>
      </c>
      <c r="E23" s="45">
        <v>27999.500605901703</v>
      </c>
      <c r="F23" s="45">
        <v>26975.661459999992</v>
      </c>
      <c r="G23" s="45">
        <v>27999.500605901703</v>
      </c>
    </row>
    <row r="24" spans="1:7" ht="11.25" customHeight="1" x14ac:dyDescent="0.2">
      <c r="A24" s="49" t="s">
        <v>23</v>
      </c>
      <c r="B24" s="45">
        <v>0</v>
      </c>
      <c r="C24" s="45">
        <v>26975.661459999992</v>
      </c>
      <c r="D24" s="45">
        <v>0</v>
      </c>
      <c r="E24" s="45">
        <v>27999.500605901703</v>
      </c>
      <c r="F24" s="45">
        <v>26975.661459999992</v>
      </c>
      <c r="G24" s="45">
        <v>27999.500605901703</v>
      </c>
    </row>
    <row r="25" spans="1:7" ht="11.25" customHeight="1" x14ac:dyDescent="0.2">
      <c r="A25" s="50" t="s">
        <v>24</v>
      </c>
      <c r="B25" s="45">
        <v>0</v>
      </c>
      <c r="C25" s="45">
        <v>26975.661459999992</v>
      </c>
      <c r="D25" s="45">
        <v>0</v>
      </c>
      <c r="E25" s="45">
        <v>27999.500605901703</v>
      </c>
      <c r="F25" s="45">
        <v>26975.661459999992</v>
      </c>
      <c r="G25" s="45">
        <v>27999.500605901703</v>
      </c>
    </row>
    <row r="26" spans="1:7" ht="11.25" customHeight="1" x14ac:dyDescent="0.2">
      <c r="A26" s="51" t="s">
        <v>29</v>
      </c>
      <c r="B26" s="45">
        <v>0</v>
      </c>
      <c r="C26" s="45">
        <v>11670.190799999997</v>
      </c>
      <c r="D26" s="45">
        <v>0</v>
      </c>
      <c r="E26" s="45">
        <v>12112.850347989075</v>
      </c>
      <c r="F26" s="45">
        <v>11670.190799999997</v>
      </c>
      <c r="G26" s="45">
        <v>12112.850347989075</v>
      </c>
    </row>
    <row r="27" spans="1:7" ht="11.25" customHeight="1" x14ac:dyDescent="0.2">
      <c r="A27" s="52" t="s">
        <v>25</v>
      </c>
      <c r="B27" s="45">
        <v>0</v>
      </c>
      <c r="C27" s="45">
        <v>11670.190799999997</v>
      </c>
      <c r="D27" s="45">
        <v>0</v>
      </c>
      <c r="E27" s="45">
        <v>12112.850347989075</v>
      </c>
      <c r="F27" s="45">
        <v>11670.190799999997</v>
      </c>
      <c r="G27" s="45">
        <v>12112.850347989075</v>
      </c>
    </row>
    <row r="28" spans="1:7" ht="11.25" customHeight="1" x14ac:dyDescent="0.2">
      <c r="A28" s="53" t="s">
        <v>25</v>
      </c>
      <c r="B28" s="45">
        <v>0</v>
      </c>
      <c r="C28" s="45">
        <v>11670.190799999997</v>
      </c>
      <c r="D28" s="45">
        <v>0</v>
      </c>
      <c r="E28" s="45">
        <v>12112.850347989075</v>
      </c>
      <c r="F28" s="45">
        <v>11670.190799999997</v>
      </c>
      <c r="G28" s="45">
        <v>12112.850347989075</v>
      </c>
    </row>
    <row r="29" spans="1:7" ht="11.25" customHeight="1" x14ac:dyDescent="0.2">
      <c r="A29" s="54" t="s">
        <v>25</v>
      </c>
      <c r="B29" s="45">
        <v>0</v>
      </c>
      <c r="C29" s="45">
        <v>11670.190799999997</v>
      </c>
      <c r="D29" s="45">
        <v>0</v>
      </c>
      <c r="E29" s="45">
        <v>12112.850347989075</v>
      </c>
      <c r="F29" s="45">
        <v>11670.190799999997</v>
      </c>
      <c r="G29" s="45">
        <v>12112.850347989075</v>
      </c>
    </row>
    <row r="30" spans="1:7" ht="11.25" customHeight="1" x14ac:dyDescent="0.2">
      <c r="A30" s="55">
        <v>44378</v>
      </c>
      <c r="B30" s="45">
        <v>0</v>
      </c>
      <c r="C30" s="45">
        <v>284.63879999999995</v>
      </c>
      <c r="D30" s="45">
        <v>0</v>
      </c>
      <c r="E30" s="45">
        <v>295.4353743411969</v>
      </c>
      <c r="F30" s="45">
        <v>284.63879999999995</v>
      </c>
      <c r="G30" s="45">
        <v>295.4353743411969</v>
      </c>
    </row>
    <row r="31" spans="1:7" ht="11.25" customHeight="1" x14ac:dyDescent="0.2">
      <c r="A31" s="55">
        <v>44409</v>
      </c>
      <c r="B31" s="45">
        <v>0</v>
      </c>
      <c r="C31" s="45">
        <v>284.63879999999995</v>
      </c>
      <c r="D31" s="45">
        <v>0</v>
      </c>
      <c r="E31" s="45">
        <v>295.4353743411969</v>
      </c>
      <c r="F31" s="45">
        <v>284.63879999999995</v>
      </c>
      <c r="G31" s="45">
        <v>295.4353743411969</v>
      </c>
    </row>
    <row r="32" spans="1:7" ht="11.25" customHeight="1" x14ac:dyDescent="0.2">
      <c r="A32" s="55">
        <v>44440</v>
      </c>
      <c r="B32" s="45">
        <v>0</v>
      </c>
      <c r="C32" s="45">
        <v>284.63879999999995</v>
      </c>
      <c r="D32" s="45">
        <v>0</v>
      </c>
      <c r="E32" s="45">
        <v>295.4353743411969</v>
      </c>
      <c r="F32" s="45">
        <v>284.63879999999995</v>
      </c>
      <c r="G32" s="45">
        <v>295.4353743411969</v>
      </c>
    </row>
    <row r="33" spans="1:7" ht="11.25" customHeight="1" x14ac:dyDescent="0.2">
      <c r="A33" s="55">
        <v>44470</v>
      </c>
      <c r="B33" s="45">
        <v>0</v>
      </c>
      <c r="C33" s="45">
        <v>284.63879999999995</v>
      </c>
      <c r="D33" s="45">
        <v>0</v>
      </c>
      <c r="E33" s="45">
        <v>295.4353743411969</v>
      </c>
      <c r="F33" s="45">
        <v>284.63879999999995</v>
      </c>
      <c r="G33" s="45">
        <v>295.4353743411969</v>
      </c>
    </row>
    <row r="34" spans="1:7" ht="11.25" customHeight="1" x14ac:dyDescent="0.2">
      <c r="A34" s="55">
        <v>44501</v>
      </c>
      <c r="B34" s="45">
        <v>0</v>
      </c>
      <c r="C34" s="45">
        <v>284.63879999999995</v>
      </c>
      <c r="D34" s="45">
        <v>0</v>
      </c>
      <c r="E34" s="45">
        <v>295.4353743411969</v>
      </c>
      <c r="F34" s="45">
        <v>284.63879999999995</v>
      </c>
      <c r="G34" s="45">
        <v>295.4353743411969</v>
      </c>
    </row>
    <row r="35" spans="1:7" ht="11.25" customHeight="1" x14ac:dyDescent="0.2">
      <c r="A35" s="55">
        <v>44531</v>
      </c>
      <c r="B35" s="45">
        <v>0</v>
      </c>
      <c r="C35" s="45">
        <v>284.63879999999995</v>
      </c>
      <c r="D35" s="45">
        <v>0</v>
      </c>
      <c r="E35" s="45">
        <v>295.4353743411969</v>
      </c>
      <c r="F35" s="45">
        <v>284.63879999999995</v>
      </c>
      <c r="G35" s="45">
        <v>295.4353743411969</v>
      </c>
    </row>
    <row r="36" spans="1:7" ht="11.25" customHeight="1" x14ac:dyDescent="0.2">
      <c r="A36" s="55">
        <v>44562</v>
      </c>
      <c r="B36" s="45">
        <v>0</v>
      </c>
      <c r="C36" s="45">
        <v>532.15079999999989</v>
      </c>
      <c r="D36" s="45">
        <v>0</v>
      </c>
      <c r="E36" s="45">
        <v>552.33569985528129</v>
      </c>
      <c r="F36" s="45">
        <v>532.15079999999989</v>
      </c>
      <c r="G36" s="45">
        <v>552.33569985528129</v>
      </c>
    </row>
    <row r="37" spans="1:7" ht="11.25" customHeight="1" x14ac:dyDescent="0.2">
      <c r="A37" s="55">
        <v>44593</v>
      </c>
      <c r="B37" s="45">
        <v>0</v>
      </c>
      <c r="C37" s="45">
        <v>1905.8423999999998</v>
      </c>
      <c r="D37" s="45">
        <v>0</v>
      </c>
      <c r="E37" s="45">
        <v>1978.1325064584491</v>
      </c>
      <c r="F37" s="45">
        <v>1905.8423999999998</v>
      </c>
      <c r="G37" s="45">
        <v>1978.1325064584491</v>
      </c>
    </row>
    <row r="38" spans="1:7" ht="11.25" customHeight="1" x14ac:dyDescent="0.2">
      <c r="A38" s="55">
        <v>44621</v>
      </c>
      <c r="B38" s="45">
        <v>0</v>
      </c>
      <c r="C38" s="45">
        <v>2660.7539999999995</v>
      </c>
      <c r="D38" s="45">
        <v>0</v>
      </c>
      <c r="E38" s="45">
        <v>2761.6784992764065</v>
      </c>
      <c r="F38" s="45">
        <v>2660.7539999999995</v>
      </c>
      <c r="G38" s="45">
        <v>2761.6784992764065</v>
      </c>
    </row>
    <row r="39" spans="1:7" ht="11.25" customHeight="1" x14ac:dyDescent="0.2">
      <c r="A39" s="55">
        <v>44652</v>
      </c>
      <c r="B39" s="45">
        <v>0</v>
      </c>
      <c r="C39" s="45">
        <v>2710.2563999999998</v>
      </c>
      <c r="D39" s="45">
        <v>0</v>
      </c>
      <c r="E39" s="45">
        <v>2813.0585643792233</v>
      </c>
      <c r="F39" s="45">
        <v>2710.2563999999998</v>
      </c>
      <c r="G39" s="45">
        <v>2813.0585643792233</v>
      </c>
    </row>
    <row r="40" spans="1:7" ht="11.25" customHeight="1" x14ac:dyDescent="0.2">
      <c r="A40" s="55">
        <v>44682</v>
      </c>
      <c r="B40" s="45">
        <v>0</v>
      </c>
      <c r="C40" s="45">
        <v>1089.0527999999999</v>
      </c>
      <c r="D40" s="45">
        <v>0</v>
      </c>
      <c r="E40" s="45">
        <v>1130.361432261971</v>
      </c>
      <c r="F40" s="45">
        <v>1089.0527999999999</v>
      </c>
      <c r="G40" s="45">
        <v>1130.361432261971</v>
      </c>
    </row>
    <row r="41" spans="1:7" ht="11.25" customHeight="1" x14ac:dyDescent="0.2">
      <c r="A41" s="55">
        <v>44713</v>
      </c>
      <c r="B41" s="45">
        <v>0</v>
      </c>
      <c r="C41" s="45">
        <v>1064.3015999999998</v>
      </c>
      <c r="D41" s="45">
        <v>0</v>
      </c>
      <c r="E41" s="45">
        <v>1104.6713997105626</v>
      </c>
      <c r="F41" s="45">
        <v>1064.3015999999998</v>
      </c>
      <c r="G41" s="45">
        <v>1104.6713997105626</v>
      </c>
    </row>
    <row r="42" spans="1:7" ht="11.25" customHeight="1" x14ac:dyDescent="0.2">
      <c r="A42" s="51" t="s">
        <v>30</v>
      </c>
      <c r="B42" s="45">
        <v>0</v>
      </c>
      <c r="C42" s="45">
        <v>12823.4866</v>
      </c>
      <c r="D42" s="45">
        <v>0</v>
      </c>
      <c r="E42" s="45">
        <v>13310.33522427639</v>
      </c>
      <c r="F42" s="45">
        <v>12823.4866</v>
      </c>
      <c r="G42" s="45">
        <v>13310.33522427639</v>
      </c>
    </row>
    <row r="43" spans="1:7" ht="11.25" customHeight="1" x14ac:dyDescent="0.2">
      <c r="A43" s="52" t="s">
        <v>25</v>
      </c>
      <c r="B43" s="45">
        <v>0</v>
      </c>
      <c r="C43" s="45">
        <v>12823.4866</v>
      </c>
      <c r="D43" s="45">
        <v>0</v>
      </c>
      <c r="E43" s="45">
        <v>13310.33522427639</v>
      </c>
      <c r="F43" s="45">
        <v>12823.4866</v>
      </c>
      <c r="G43" s="45">
        <v>13310.33522427639</v>
      </c>
    </row>
    <row r="44" spans="1:7" ht="11.25" customHeight="1" x14ac:dyDescent="0.2">
      <c r="A44" s="53" t="s">
        <v>25</v>
      </c>
      <c r="B44" s="45">
        <v>0</v>
      </c>
      <c r="C44" s="45">
        <v>12823.4866</v>
      </c>
      <c r="D44" s="45">
        <v>0</v>
      </c>
      <c r="E44" s="45">
        <v>13310.33522427639</v>
      </c>
      <c r="F44" s="45">
        <v>12823.4866</v>
      </c>
      <c r="G44" s="45">
        <v>13310.33522427639</v>
      </c>
    </row>
    <row r="45" spans="1:7" ht="11.25" customHeight="1" x14ac:dyDescent="0.2">
      <c r="A45" s="54" t="s">
        <v>25</v>
      </c>
      <c r="B45" s="45">
        <v>0</v>
      </c>
      <c r="C45" s="45">
        <v>12823.4866</v>
      </c>
      <c r="D45" s="45">
        <v>0</v>
      </c>
      <c r="E45" s="45">
        <v>13310.33522427639</v>
      </c>
      <c r="F45" s="45">
        <v>12823.4866</v>
      </c>
      <c r="G45" s="45">
        <v>13310.33522427639</v>
      </c>
    </row>
    <row r="46" spans="1:7" ht="11.25" customHeight="1" x14ac:dyDescent="0.2">
      <c r="A46" s="55">
        <v>44378</v>
      </c>
      <c r="B46" s="45">
        <v>0</v>
      </c>
      <c r="C46" s="45">
        <v>282.53504999999996</v>
      </c>
      <c r="D46" s="45">
        <v>0</v>
      </c>
      <c r="E46" s="45">
        <v>293.26160235607773</v>
      </c>
      <c r="F46" s="45">
        <v>282.53504999999996</v>
      </c>
      <c r="G46" s="45">
        <v>293.26160235607773</v>
      </c>
    </row>
    <row r="47" spans="1:7" ht="11.25" customHeight="1" x14ac:dyDescent="0.2">
      <c r="A47" s="55">
        <v>44409</v>
      </c>
      <c r="B47" s="45">
        <v>0</v>
      </c>
      <c r="C47" s="45">
        <v>313.75859999999994</v>
      </c>
      <c r="D47" s="45">
        <v>0</v>
      </c>
      <c r="E47" s="45">
        <v>325.67056649785457</v>
      </c>
      <c r="F47" s="45">
        <v>313.75859999999994</v>
      </c>
      <c r="G47" s="45">
        <v>325.67056649785457</v>
      </c>
    </row>
    <row r="48" spans="1:7" ht="11.25" customHeight="1" x14ac:dyDescent="0.2">
      <c r="A48" s="55">
        <v>44440</v>
      </c>
      <c r="B48" s="45">
        <v>0</v>
      </c>
      <c r="C48" s="45">
        <v>295.73524999999995</v>
      </c>
      <c r="D48" s="45">
        <v>0</v>
      </c>
      <c r="E48" s="45">
        <v>306.96295305016224</v>
      </c>
      <c r="F48" s="45">
        <v>295.73524999999995</v>
      </c>
      <c r="G48" s="45">
        <v>306.96295305016224</v>
      </c>
    </row>
    <row r="49" spans="1:7" ht="11.25" customHeight="1" x14ac:dyDescent="0.2">
      <c r="A49" s="55">
        <v>44470</v>
      </c>
      <c r="B49" s="45">
        <v>0</v>
      </c>
      <c r="C49" s="45">
        <v>314.52015</v>
      </c>
      <c r="D49" s="45">
        <v>0</v>
      </c>
      <c r="E49" s="45">
        <v>326.4610290378979</v>
      </c>
      <c r="F49" s="45">
        <v>314.52015</v>
      </c>
      <c r="G49" s="45">
        <v>326.4610290378979</v>
      </c>
    </row>
    <row r="50" spans="1:7" ht="11.25" customHeight="1" x14ac:dyDescent="0.2">
      <c r="A50" s="55">
        <v>44501</v>
      </c>
      <c r="B50" s="45">
        <v>0</v>
      </c>
      <c r="C50" s="45">
        <v>288.62744999999995</v>
      </c>
      <c r="D50" s="45">
        <v>0</v>
      </c>
      <c r="E50" s="45">
        <v>299.58530267642448</v>
      </c>
      <c r="F50" s="45">
        <v>288.62744999999995</v>
      </c>
      <c r="G50" s="45">
        <v>299.58530267642448</v>
      </c>
    </row>
    <row r="51" spans="1:7" ht="11.25" customHeight="1" x14ac:dyDescent="0.2">
      <c r="A51" s="55">
        <v>44531</v>
      </c>
      <c r="B51" s="45">
        <v>0</v>
      </c>
      <c r="C51" s="45">
        <v>289.89669999999995</v>
      </c>
      <c r="D51" s="45">
        <v>0</v>
      </c>
      <c r="E51" s="45">
        <v>300.90274024316329</v>
      </c>
      <c r="F51" s="45">
        <v>289.89669999999995</v>
      </c>
      <c r="G51" s="45">
        <v>300.90274024316329</v>
      </c>
    </row>
    <row r="52" spans="1:7" ht="11.25" customHeight="1" x14ac:dyDescent="0.2">
      <c r="A52" s="55">
        <v>44562</v>
      </c>
      <c r="B52" s="45">
        <v>0</v>
      </c>
      <c r="C52" s="45">
        <v>543.23899999999992</v>
      </c>
      <c r="D52" s="45">
        <v>0</v>
      </c>
      <c r="E52" s="45">
        <v>563.86327856424657</v>
      </c>
      <c r="F52" s="45">
        <v>543.23899999999992</v>
      </c>
      <c r="G52" s="45">
        <v>563.86327856424657</v>
      </c>
    </row>
    <row r="53" spans="1:7" ht="11.25" customHeight="1" x14ac:dyDescent="0.2">
      <c r="A53" s="55">
        <v>44593</v>
      </c>
      <c r="B53" s="45">
        <v>0</v>
      </c>
      <c r="C53" s="45">
        <v>2210.0180999999998</v>
      </c>
      <c r="D53" s="45">
        <v>0</v>
      </c>
      <c r="E53" s="45">
        <v>2293.9222912057617</v>
      </c>
      <c r="F53" s="45">
        <v>2210.0180999999998</v>
      </c>
      <c r="G53" s="45">
        <v>2293.9222912057617</v>
      </c>
    </row>
    <row r="54" spans="1:7" ht="11.25" customHeight="1" x14ac:dyDescent="0.2">
      <c r="A54" s="55">
        <v>44621</v>
      </c>
      <c r="B54" s="45">
        <v>0</v>
      </c>
      <c r="C54" s="45">
        <v>2992.3837999999996</v>
      </c>
      <c r="D54" s="45">
        <v>0</v>
      </c>
      <c r="E54" s="45">
        <v>3105.9908073436159</v>
      </c>
      <c r="F54" s="45">
        <v>2992.3837999999996</v>
      </c>
      <c r="G54" s="45">
        <v>3105.9908073436159</v>
      </c>
    </row>
    <row r="55" spans="1:7" ht="11.25" customHeight="1" x14ac:dyDescent="0.2">
      <c r="A55" s="55">
        <v>44652</v>
      </c>
      <c r="B55" s="45">
        <v>0</v>
      </c>
      <c r="C55" s="45">
        <v>3026.9073999999996</v>
      </c>
      <c r="D55" s="45">
        <v>0</v>
      </c>
      <c r="E55" s="45">
        <v>3141.8251091589136</v>
      </c>
      <c r="F55" s="45">
        <v>3026.9073999999996</v>
      </c>
      <c r="G55" s="45">
        <v>3141.8251091589136</v>
      </c>
    </row>
    <row r="56" spans="1:7" ht="11.25" customHeight="1" x14ac:dyDescent="0.2">
      <c r="A56" s="55">
        <v>44682</v>
      </c>
      <c r="B56" s="45">
        <v>0</v>
      </c>
      <c r="C56" s="45">
        <v>1105.51675</v>
      </c>
      <c r="D56" s="45">
        <v>0</v>
      </c>
      <c r="E56" s="45">
        <v>1147.4881206295765</v>
      </c>
      <c r="F56" s="45">
        <v>1105.51675</v>
      </c>
      <c r="G56" s="45">
        <v>1147.4881206295765</v>
      </c>
    </row>
    <row r="57" spans="1:7" ht="11.25" customHeight="1" x14ac:dyDescent="0.2">
      <c r="A57" s="55">
        <v>44713</v>
      </c>
      <c r="B57" s="45">
        <v>0</v>
      </c>
      <c r="C57" s="45">
        <v>1160.3483499999998</v>
      </c>
      <c r="D57" s="45">
        <v>0</v>
      </c>
      <c r="E57" s="45">
        <v>1204.4014235126967</v>
      </c>
      <c r="F57" s="45">
        <v>1160.3483499999998</v>
      </c>
      <c r="G57" s="45">
        <v>1204.4014235126967</v>
      </c>
    </row>
    <row r="58" spans="1:7" ht="11.25" customHeight="1" x14ac:dyDescent="0.2">
      <c r="A58" s="51" t="s">
        <v>31</v>
      </c>
      <c r="B58" s="45">
        <v>0</v>
      </c>
      <c r="C58" s="45">
        <v>2481.9840599999993</v>
      </c>
      <c r="D58" s="45">
        <v>0</v>
      </c>
      <c r="E58" s="45">
        <v>2576.3150336362428</v>
      </c>
      <c r="F58" s="45">
        <v>2481.9840599999993</v>
      </c>
      <c r="G58" s="45">
        <v>2576.3150336362428</v>
      </c>
    </row>
    <row r="59" spans="1:7" ht="11.25" customHeight="1" x14ac:dyDescent="0.2">
      <c r="A59" s="52" t="s">
        <v>25</v>
      </c>
      <c r="B59" s="45">
        <v>0</v>
      </c>
      <c r="C59" s="45">
        <v>2481.9840599999993</v>
      </c>
      <c r="D59" s="45">
        <v>0</v>
      </c>
      <c r="E59" s="45">
        <v>2576.3150336362428</v>
      </c>
      <c r="F59" s="45">
        <v>2481.9840599999993</v>
      </c>
      <c r="G59" s="45">
        <v>2576.3150336362428</v>
      </c>
    </row>
    <row r="60" spans="1:7" ht="11.25" customHeight="1" x14ac:dyDescent="0.2">
      <c r="A60" s="53" t="s">
        <v>25</v>
      </c>
      <c r="B60" s="45">
        <v>0</v>
      </c>
      <c r="C60" s="45">
        <v>2481.9840599999993</v>
      </c>
      <c r="D60" s="45">
        <v>0</v>
      </c>
      <c r="E60" s="45">
        <v>2576.3150336362428</v>
      </c>
      <c r="F60" s="45">
        <v>2481.9840599999993</v>
      </c>
      <c r="G60" s="45">
        <v>2576.3150336362428</v>
      </c>
    </row>
    <row r="61" spans="1:7" ht="11.25" customHeight="1" x14ac:dyDescent="0.2">
      <c r="A61" s="54" t="s">
        <v>25</v>
      </c>
      <c r="B61" s="45">
        <v>0</v>
      </c>
      <c r="C61" s="45">
        <v>2481.9840599999993</v>
      </c>
      <c r="D61" s="45">
        <v>0</v>
      </c>
      <c r="E61" s="45">
        <v>2576.3150336362428</v>
      </c>
      <c r="F61" s="45">
        <v>2481.9840599999993</v>
      </c>
      <c r="G61" s="45">
        <v>2576.3150336362428</v>
      </c>
    </row>
    <row r="62" spans="1:7" ht="11.25" customHeight="1" x14ac:dyDescent="0.2">
      <c r="A62" s="55">
        <v>44378</v>
      </c>
      <c r="B62" s="45">
        <v>0</v>
      </c>
      <c r="C62" s="45">
        <v>39.97979999999999</v>
      </c>
      <c r="D62" s="45">
        <v>0</v>
      </c>
      <c r="E62" s="45">
        <v>41.499283352275135</v>
      </c>
      <c r="F62" s="45">
        <v>39.97979999999999</v>
      </c>
      <c r="G62" s="45">
        <v>41.499283352275135</v>
      </c>
    </row>
    <row r="63" spans="1:7" ht="11.25" customHeight="1" x14ac:dyDescent="0.2">
      <c r="A63" s="55">
        <v>44409</v>
      </c>
      <c r="B63" s="45">
        <v>0</v>
      </c>
      <c r="C63" s="45">
        <v>61.111979999999981</v>
      </c>
      <c r="D63" s="45">
        <v>0</v>
      </c>
      <c r="E63" s="45">
        <v>63.434618838477704</v>
      </c>
      <c r="F63" s="45">
        <v>61.111979999999981</v>
      </c>
      <c r="G63" s="45">
        <v>63.434618838477704</v>
      </c>
    </row>
    <row r="64" spans="1:7" ht="11.25" customHeight="1" x14ac:dyDescent="0.2">
      <c r="A64" s="55">
        <v>44440</v>
      </c>
      <c r="B64" s="45">
        <v>0</v>
      </c>
      <c r="C64" s="45">
        <v>53.814079999999983</v>
      </c>
      <c r="D64" s="45">
        <v>0</v>
      </c>
      <c r="E64" s="45">
        <v>55.859352829729069</v>
      </c>
      <c r="F64" s="45">
        <v>53.814079999999983</v>
      </c>
      <c r="G64" s="45">
        <v>55.859352829729069</v>
      </c>
    </row>
    <row r="65" spans="1:7" ht="11.25" customHeight="1" x14ac:dyDescent="0.2">
      <c r="A65" s="55">
        <v>44470</v>
      </c>
      <c r="B65" s="45">
        <v>0</v>
      </c>
      <c r="C65" s="45">
        <v>71.265579999999972</v>
      </c>
      <c r="D65" s="45">
        <v>0</v>
      </c>
      <c r="E65" s="45">
        <v>73.974119372388856</v>
      </c>
      <c r="F65" s="45">
        <v>71.265579999999972</v>
      </c>
      <c r="G65" s="45">
        <v>73.974119372388856</v>
      </c>
    </row>
    <row r="66" spans="1:7" ht="11.25" customHeight="1" x14ac:dyDescent="0.2">
      <c r="A66" s="55">
        <v>44501</v>
      </c>
      <c r="B66" s="45">
        <v>0</v>
      </c>
      <c r="C66" s="45">
        <v>58.256279999999983</v>
      </c>
      <c r="D66" s="45">
        <v>0</v>
      </c>
      <c r="E66" s="45">
        <v>60.470384313315201</v>
      </c>
      <c r="F66" s="45">
        <v>58.256279999999983</v>
      </c>
      <c r="G66" s="45">
        <v>60.470384313315201</v>
      </c>
    </row>
    <row r="67" spans="1:7" ht="11.25" customHeight="1" x14ac:dyDescent="0.2">
      <c r="A67" s="55">
        <v>44531</v>
      </c>
      <c r="B67" s="45">
        <v>0</v>
      </c>
      <c r="C67" s="45">
        <v>69.742539999999977</v>
      </c>
      <c r="D67" s="45">
        <v>0</v>
      </c>
      <c r="E67" s="45">
        <v>72.393194292302184</v>
      </c>
      <c r="F67" s="45">
        <v>69.742539999999977</v>
      </c>
      <c r="G67" s="45">
        <v>72.393194292302184</v>
      </c>
    </row>
    <row r="68" spans="1:7" ht="11.25" customHeight="1" x14ac:dyDescent="0.2">
      <c r="A68" s="55">
        <v>44562</v>
      </c>
      <c r="B68" s="45">
        <v>0</v>
      </c>
      <c r="C68" s="45">
        <v>112.95879999999997</v>
      </c>
      <c r="D68" s="45">
        <v>0</v>
      </c>
      <c r="E68" s="45">
        <v>117.2519434397615</v>
      </c>
      <c r="F68" s="45">
        <v>112.95879999999997</v>
      </c>
      <c r="G68" s="45">
        <v>117.2519434397615</v>
      </c>
    </row>
    <row r="69" spans="1:7" ht="11.25" customHeight="1" x14ac:dyDescent="0.2">
      <c r="A69" s="55">
        <v>44593</v>
      </c>
      <c r="B69" s="45">
        <v>0</v>
      </c>
      <c r="C69" s="45">
        <v>443.33155999999985</v>
      </c>
      <c r="D69" s="45">
        <v>0</v>
      </c>
      <c r="E69" s="45">
        <v>460.18094206189539</v>
      </c>
      <c r="F69" s="45">
        <v>443.33155999999985</v>
      </c>
      <c r="G69" s="45">
        <v>460.18094206189539</v>
      </c>
    </row>
    <row r="70" spans="1:7" ht="11.25" customHeight="1" x14ac:dyDescent="0.2">
      <c r="A70" s="55">
        <v>44621</v>
      </c>
      <c r="B70" s="45">
        <v>0</v>
      </c>
      <c r="C70" s="45">
        <v>597.22205999999983</v>
      </c>
      <c r="D70" s="45">
        <v>0</v>
      </c>
      <c r="E70" s="45">
        <v>619.92024702898618</v>
      </c>
      <c r="F70" s="45">
        <v>597.22205999999983</v>
      </c>
      <c r="G70" s="45">
        <v>619.92024702898618</v>
      </c>
    </row>
    <row r="71" spans="1:7" ht="11.25" customHeight="1" x14ac:dyDescent="0.2">
      <c r="A71" s="55">
        <v>44652</v>
      </c>
      <c r="B71" s="45">
        <v>0</v>
      </c>
      <c r="C71" s="45">
        <v>615.24469999999985</v>
      </c>
      <c r="D71" s="45">
        <v>0</v>
      </c>
      <c r="E71" s="45">
        <v>638.62786047667851</v>
      </c>
      <c r="F71" s="45">
        <v>615.24469999999985</v>
      </c>
      <c r="G71" s="45">
        <v>638.62786047667851</v>
      </c>
    </row>
    <row r="72" spans="1:7" ht="11.25" customHeight="1" x14ac:dyDescent="0.2">
      <c r="A72" s="55">
        <v>44682</v>
      </c>
      <c r="B72" s="45">
        <v>0</v>
      </c>
      <c r="C72" s="45">
        <v>163.85371999999992</v>
      </c>
      <c r="D72" s="45">
        <v>0</v>
      </c>
      <c r="E72" s="45">
        <v>170.08118986599109</v>
      </c>
      <c r="F72" s="45">
        <v>163.85371999999992</v>
      </c>
      <c r="G72" s="45">
        <v>170.08118986599109</v>
      </c>
    </row>
    <row r="73" spans="1:7" ht="11.25" customHeight="1" x14ac:dyDescent="0.2">
      <c r="A73" s="55">
        <v>44713</v>
      </c>
      <c r="B73" s="45">
        <v>0</v>
      </c>
      <c r="C73" s="45">
        <v>195.20295999999993</v>
      </c>
      <c r="D73" s="45">
        <v>0</v>
      </c>
      <c r="E73" s="45">
        <v>202.62189776444177</v>
      </c>
      <c r="F73" s="45">
        <v>195.20295999999993</v>
      </c>
      <c r="G73" s="45">
        <v>202.62189776444177</v>
      </c>
    </row>
    <row r="74" spans="1:7" ht="11.25" customHeight="1" x14ac:dyDescent="0.2">
      <c r="A74" s="51" t="s">
        <v>32</v>
      </c>
      <c r="B74" s="45">
        <v>0</v>
      </c>
      <c r="C74" s="45">
        <v>-2.8634872251132035E-13</v>
      </c>
      <c r="D74" s="45">
        <v>0</v>
      </c>
      <c r="E74" s="45">
        <v>0</v>
      </c>
      <c r="F74" s="45">
        <v>-2.8634872251132035E-13</v>
      </c>
      <c r="G74" s="45">
        <v>0</v>
      </c>
    </row>
    <row r="75" spans="1:7" ht="11.25" customHeight="1" x14ac:dyDescent="0.2">
      <c r="A75" s="52" t="s">
        <v>25</v>
      </c>
      <c r="B75" s="45">
        <v>0</v>
      </c>
      <c r="C75" s="45">
        <v>-2.8634872251132035E-13</v>
      </c>
      <c r="D75" s="45">
        <v>0</v>
      </c>
      <c r="E75" s="45">
        <v>0</v>
      </c>
      <c r="F75" s="45">
        <v>-2.8634872251132035E-13</v>
      </c>
      <c r="G75" s="45">
        <v>0</v>
      </c>
    </row>
    <row r="76" spans="1:7" ht="11.25" customHeight="1" x14ac:dyDescent="0.2">
      <c r="A76" s="53" t="s">
        <v>25</v>
      </c>
      <c r="B76" s="45">
        <v>0</v>
      </c>
      <c r="C76" s="45">
        <v>-2.8634872251132035E-13</v>
      </c>
      <c r="D76" s="45">
        <v>0</v>
      </c>
      <c r="E76" s="45">
        <v>0</v>
      </c>
      <c r="F76" s="45">
        <v>-2.8634872251132035E-13</v>
      </c>
      <c r="G76" s="45">
        <v>0</v>
      </c>
    </row>
    <row r="77" spans="1:7" ht="11.25" customHeight="1" x14ac:dyDescent="0.2">
      <c r="A77" s="54" t="s">
        <v>25</v>
      </c>
      <c r="B77" s="45">
        <v>0</v>
      </c>
      <c r="C77" s="45">
        <v>-2.8634872251132035E-13</v>
      </c>
      <c r="D77" s="45">
        <v>0</v>
      </c>
      <c r="E77" s="45">
        <v>0</v>
      </c>
      <c r="F77" s="45">
        <v>-2.8634872251132035E-13</v>
      </c>
      <c r="G77" s="45">
        <v>0</v>
      </c>
    </row>
    <row r="78" spans="1:7" ht="11.25" customHeight="1" x14ac:dyDescent="0.2">
      <c r="A78" s="55">
        <v>44378</v>
      </c>
      <c r="B78" s="45">
        <v>0</v>
      </c>
      <c r="C78" s="45">
        <v>-4.3485215428518131E-15</v>
      </c>
      <c r="D78" s="45">
        <v>0</v>
      </c>
      <c r="E78" s="45">
        <v>0</v>
      </c>
      <c r="F78" s="45">
        <v>-4.3485215428518131E-15</v>
      </c>
      <c r="G78" s="45">
        <v>0</v>
      </c>
    </row>
    <row r="79" spans="1:7" ht="11.25" customHeight="1" x14ac:dyDescent="0.2">
      <c r="A79" s="55">
        <v>44409</v>
      </c>
      <c r="B79" s="45">
        <v>0</v>
      </c>
      <c r="C79" s="45">
        <v>-1.8360424292040989E-14</v>
      </c>
      <c r="D79" s="45">
        <v>0</v>
      </c>
      <c r="E79" s="45">
        <v>0</v>
      </c>
      <c r="F79" s="45">
        <v>-1.8360424292040989E-14</v>
      </c>
      <c r="G79" s="45">
        <v>0</v>
      </c>
    </row>
    <row r="80" spans="1:7" ht="11.25" customHeight="1" x14ac:dyDescent="0.2">
      <c r="A80" s="55">
        <v>44440</v>
      </c>
      <c r="B80" s="45">
        <v>0</v>
      </c>
      <c r="C80" s="45">
        <v>-6.2811977841192857E-15</v>
      </c>
      <c r="D80" s="45">
        <v>0</v>
      </c>
      <c r="E80" s="45">
        <v>0</v>
      </c>
      <c r="F80" s="45">
        <v>-6.2811977841192857E-15</v>
      </c>
      <c r="G80" s="45">
        <v>0</v>
      </c>
    </row>
    <row r="81" spans="1:7" ht="11.25" customHeight="1" x14ac:dyDescent="0.2">
      <c r="A81" s="55">
        <v>44470</v>
      </c>
      <c r="B81" s="45">
        <v>0</v>
      </c>
      <c r="C81" s="45">
        <v>-1.0857093002414331E-14</v>
      </c>
      <c r="D81" s="45">
        <v>0</v>
      </c>
      <c r="E81" s="45">
        <v>0</v>
      </c>
      <c r="F81" s="45">
        <v>-1.0857093002414331E-14</v>
      </c>
      <c r="G81" s="45">
        <v>0</v>
      </c>
    </row>
    <row r="82" spans="1:7" ht="11.25" customHeight="1" x14ac:dyDescent="0.2">
      <c r="A82" s="55">
        <v>44501</v>
      </c>
      <c r="B82" s="45">
        <v>0</v>
      </c>
      <c r="C82" s="45">
        <v>-5.1727511163335292E-15</v>
      </c>
      <c r="D82" s="45">
        <v>0</v>
      </c>
      <c r="E82" s="45">
        <v>0</v>
      </c>
      <c r="F82" s="45">
        <v>-5.1727511163335292E-15</v>
      </c>
      <c r="G82" s="45">
        <v>0</v>
      </c>
    </row>
    <row r="83" spans="1:7" ht="11.25" customHeight="1" x14ac:dyDescent="0.2">
      <c r="A83" s="55">
        <v>44531</v>
      </c>
      <c r="B83" s="45">
        <v>0</v>
      </c>
      <c r="C83" s="45">
        <v>-6.9348971010185777E-15</v>
      </c>
      <c r="D83" s="45">
        <v>0</v>
      </c>
      <c r="E83" s="45">
        <v>0</v>
      </c>
      <c r="F83" s="45">
        <v>-6.9348971010185777E-15</v>
      </c>
      <c r="G83" s="45">
        <v>0</v>
      </c>
    </row>
    <row r="84" spans="1:7" ht="11.25" customHeight="1" x14ac:dyDescent="0.2">
      <c r="A84" s="55">
        <v>44562</v>
      </c>
      <c r="B84" s="45">
        <v>0</v>
      </c>
      <c r="C84" s="45">
        <v>-8.58335624798201E-15</v>
      </c>
      <c r="D84" s="45">
        <v>0</v>
      </c>
      <c r="E84" s="45">
        <v>0</v>
      </c>
      <c r="F84" s="45">
        <v>-8.58335624798201E-15</v>
      </c>
      <c r="G84" s="45">
        <v>0</v>
      </c>
    </row>
    <row r="85" spans="1:7" ht="11.25" customHeight="1" x14ac:dyDescent="0.2">
      <c r="A85" s="55">
        <v>44593</v>
      </c>
      <c r="B85" s="45">
        <v>0</v>
      </c>
      <c r="C85" s="45">
        <v>-4.1552539187250658E-14</v>
      </c>
      <c r="D85" s="45">
        <v>0</v>
      </c>
      <c r="E85" s="45">
        <v>0</v>
      </c>
      <c r="F85" s="45">
        <v>-4.1552539187250658E-14</v>
      </c>
      <c r="G85" s="45">
        <v>0</v>
      </c>
    </row>
    <row r="86" spans="1:7" ht="11.25" customHeight="1" x14ac:dyDescent="0.2">
      <c r="A86" s="55">
        <v>44621</v>
      </c>
      <c r="B86" s="45">
        <v>0</v>
      </c>
      <c r="C86" s="45">
        <v>-4.6782133722444994E-14</v>
      </c>
      <c r="D86" s="45">
        <v>0</v>
      </c>
      <c r="E86" s="45">
        <v>0</v>
      </c>
      <c r="F86" s="45">
        <v>-4.6782133722444994E-14</v>
      </c>
      <c r="G86" s="45">
        <v>0</v>
      </c>
    </row>
    <row r="87" spans="1:7" ht="11.25" customHeight="1" x14ac:dyDescent="0.2">
      <c r="A87" s="55">
        <v>44652</v>
      </c>
      <c r="B87" s="45">
        <v>0</v>
      </c>
      <c r="C87" s="45">
        <v>-7.5630168794305065E-14</v>
      </c>
      <c r="D87" s="45">
        <v>0</v>
      </c>
      <c r="E87" s="45">
        <v>0</v>
      </c>
      <c r="F87" s="45">
        <v>-7.5630168794305065E-14</v>
      </c>
      <c r="G87" s="45">
        <v>0</v>
      </c>
    </row>
    <row r="88" spans="1:7" ht="11.25" customHeight="1" x14ac:dyDescent="0.2">
      <c r="A88" s="55">
        <v>44682</v>
      </c>
      <c r="B88" s="45">
        <v>0</v>
      </c>
      <c r="C88" s="45">
        <v>-2.4300561562995426E-14</v>
      </c>
      <c r="D88" s="45">
        <v>0</v>
      </c>
      <c r="E88" s="45">
        <v>0</v>
      </c>
      <c r="F88" s="45">
        <v>-2.4300561562995426E-14</v>
      </c>
      <c r="G88" s="45">
        <v>0</v>
      </c>
    </row>
    <row r="89" spans="1:7" ht="11.25" customHeight="1" x14ac:dyDescent="0.2">
      <c r="A89" s="55">
        <v>44713</v>
      </c>
      <c r="B89" s="45">
        <v>0</v>
      </c>
      <c r="C89" s="45">
        <v>-3.7545078157563692E-14</v>
      </c>
      <c r="D89" s="45">
        <v>0</v>
      </c>
      <c r="E89" s="45">
        <v>0</v>
      </c>
      <c r="F89" s="45">
        <v>-3.7545078157563692E-14</v>
      </c>
      <c r="G89" s="45">
        <v>0</v>
      </c>
    </row>
    <row r="90" spans="1:7" ht="11.25" customHeight="1" x14ac:dyDescent="0.2">
      <c r="A90" s="47" t="s">
        <v>588</v>
      </c>
      <c r="B90" s="45">
        <v>93912</v>
      </c>
      <c r="C90" s="45">
        <v>0</v>
      </c>
      <c r="D90" s="45">
        <v>244006.1963039416</v>
      </c>
      <c r="E90" s="45">
        <v>0</v>
      </c>
      <c r="F90" s="45">
        <v>93912</v>
      </c>
      <c r="G90" s="45">
        <v>244006.1963039416</v>
      </c>
    </row>
    <row r="91" spans="1:7" ht="11.25" customHeight="1" x14ac:dyDescent="0.2">
      <c r="A91" s="48" t="s">
        <v>35</v>
      </c>
      <c r="B91" s="45">
        <v>93912</v>
      </c>
      <c r="C91" s="45">
        <v>0</v>
      </c>
      <c r="D91" s="45">
        <v>244006.1963039416</v>
      </c>
      <c r="E91" s="45">
        <v>0</v>
      </c>
      <c r="F91" s="45">
        <v>93912</v>
      </c>
      <c r="G91" s="45">
        <v>244006.1963039416</v>
      </c>
    </row>
    <row r="92" spans="1:7" ht="11.25" customHeight="1" x14ac:dyDescent="0.2">
      <c r="A92" s="49" t="s">
        <v>53</v>
      </c>
      <c r="B92" s="45">
        <v>93912</v>
      </c>
      <c r="C92" s="45">
        <v>0</v>
      </c>
      <c r="D92" s="45">
        <v>244006.1963039416</v>
      </c>
      <c r="E92" s="45">
        <v>0</v>
      </c>
      <c r="F92" s="45">
        <v>93912</v>
      </c>
      <c r="G92" s="45">
        <v>244006.1963039416</v>
      </c>
    </row>
    <row r="93" spans="1:7" ht="11.25" customHeight="1" x14ac:dyDescent="0.2">
      <c r="A93" s="50" t="s">
        <v>25</v>
      </c>
      <c r="B93" s="45">
        <v>93912</v>
      </c>
      <c r="C93" s="45">
        <v>0</v>
      </c>
      <c r="D93" s="45">
        <v>244006.1963039416</v>
      </c>
      <c r="E93" s="45">
        <v>0</v>
      </c>
      <c r="F93" s="45">
        <v>93912</v>
      </c>
      <c r="G93" s="45">
        <v>244006.1963039416</v>
      </c>
    </row>
    <row r="94" spans="1:7" ht="11.25" customHeight="1" x14ac:dyDescent="0.2">
      <c r="A94" s="51" t="s">
        <v>25</v>
      </c>
      <c r="B94" s="45">
        <v>93912</v>
      </c>
      <c r="C94" s="45">
        <v>0</v>
      </c>
      <c r="D94" s="45">
        <v>244006.1963039416</v>
      </c>
      <c r="E94" s="45">
        <v>0</v>
      </c>
      <c r="F94" s="45">
        <v>93912</v>
      </c>
      <c r="G94" s="45">
        <v>244006.1963039416</v>
      </c>
    </row>
    <row r="95" spans="1:7" ht="11.25" customHeight="1" x14ac:dyDescent="0.2">
      <c r="A95" s="52" t="s">
        <v>25</v>
      </c>
      <c r="B95" s="45">
        <v>93912</v>
      </c>
      <c r="C95" s="45">
        <v>0</v>
      </c>
      <c r="D95" s="45">
        <v>244006.1963039416</v>
      </c>
      <c r="E95" s="45">
        <v>0</v>
      </c>
      <c r="F95" s="45">
        <v>93912</v>
      </c>
      <c r="G95" s="45">
        <v>244006.1963039416</v>
      </c>
    </row>
    <row r="96" spans="1:7" ht="11.25" customHeight="1" x14ac:dyDescent="0.2">
      <c r="A96" s="53" t="s">
        <v>54</v>
      </c>
      <c r="B96" s="45">
        <v>39312</v>
      </c>
      <c r="C96" s="45">
        <v>0</v>
      </c>
      <c r="D96" s="45">
        <v>102142.12868537092</v>
      </c>
      <c r="E96" s="45">
        <v>0</v>
      </c>
      <c r="F96" s="45">
        <v>39312</v>
      </c>
      <c r="G96" s="45">
        <v>102142.12868537092</v>
      </c>
    </row>
    <row r="97" spans="1:7" ht="11.25" customHeight="1" x14ac:dyDescent="0.2">
      <c r="A97" s="54" t="s">
        <v>25</v>
      </c>
      <c r="B97" s="45">
        <v>39312</v>
      </c>
      <c r="C97" s="45">
        <v>0</v>
      </c>
      <c r="D97" s="45">
        <v>102142.12868537092</v>
      </c>
      <c r="E97" s="45">
        <v>0</v>
      </c>
      <c r="F97" s="45">
        <v>39312</v>
      </c>
      <c r="G97" s="45">
        <v>102142.12868537092</v>
      </c>
    </row>
    <row r="98" spans="1:7" ht="11.25" customHeight="1" x14ac:dyDescent="0.2">
      <c r="A98" s="55">
        <v>44378</v>
      </c>
      <c r="B98" s="45">
        <v>3276</v>
      </c>
      <c r="C98" s="45">
        <v>0</v>
      </c>
      <c r="D98" s="45">
        <v>8511.8440571142455</v>
      </c>
      <c r="E98" s="45">
        <v>0</v>
      </c>
      <c r="F98" s="45">
        <v>3276</v>
      </c>
      <c r="G98" s="45">
        <v>8511.8440571142455</v>
      </c>
    </row>
    <row r="99" spans="1:7" ht="11.25" customHeight="1" x14ac:dyDescent="0.2">
      <c r="A99" s="55">
        <v>44409</v>
      </c>
      <c r="B99" s="45">
        <v>3276</v>
      </c>
      <c r="C99" s="45">
        <v>0</v>
      </c>
      <c r="D99" s="45">
        <v>8511.8440571142455</v>
      </c>
      <c r="E99" s="45">
        <v>0</v>
      </c>
      <c r="F99" s="45">
        <v>3276</v>
      </c>
      <c r="G99" s="45">
        <v>8511.8440571142455</v>
      </c>
    </row>
    <row r="100" spans="1:7" ht="11.25" customHeight="1" x14ac:dyDescent="0.2">
      <c r="A100" s="55">
        <v>44440</v>
      </c>
      <c r="B100" s="45">
        <v>3276</v>
      </c>
      <c r="C100" s="45">
        <v>0</v>
      </c>
      <c r="D100" s="45">
        <v>8511.8440571142455</v>
      </c>
      <c r="E100" s="45">
        <v>0</v>
      </c>
      <c r="F100" s="45">
        <v>3276</v>
      </c>
      <c r="G100" s="45">
        <v>8511.8440571142455</v>
      </c>
    </row>
    <row r="101" spans="1:7" ht="11.25" customHeight="1" x14ac:dyDescent="0.2">
      <c r="A101" s="55">
        <v>44470</v>
      </c>
      <c r="B101" s="45">
        <v>3276</v>
      </c>
      <c r="C101" s="45">
        <v>0</v>
      </c>
      <c r="D101" s="45">
        <v>8511.8440571142455</v>
      </c>
      <c r="E101" s="45">
        <v>0</v>
      </c>
      <c r="F101" s="45">
        <v>3276</v>
      </c>
      <c r="G101" s="45">
        <v>8511.8440571142455</v>
      </c>
    </row>
    <row r="102" spans="1:7" ht="11.25" customHeight="1" x14ac:dyDescent="0.2">
      <c r="A102" s="55">
        <v>44501</v>
      </c>
      <c r="B102" s="45">
        <v>3276</v>
      </c>
      <c r="C102" s="45">
        <v>0</v>
      </c>
      <c r="D102" s="45">
        <v>8511.8440571142455</v>
      </c>
      <c r="E102" s="45">
        <v>0</v>
      </c>
      <c r="F102" s="45">
        <v>3276</v>
      </c>
      <c r="G102" s="45">
        <v>8511.8440571142455</v>
      </c>
    </row>
    <row r="103" spans="1:7" ht="11.25" customHeight="1" x14ac:dyDescent="0.2">
      <c r="A103" s="55">
        <v>44531</v>
      </c>
      <c r="B103" s="45">
        <v>3276</v>
      </c>
      <c r="C103" s="45">
        <v>0</v>
      </c>
      <c r="D103" s="45">
        <v>8511.8440571142455</v>
      </c>
      <c r="E103" s="45">
        <v>0</v>
      </c>
      <c r="F103" s="45">
        <v>3276</v>
      </c>
      <c r="G103" s="45">
        <v>8511.8440571142455</v>
      </c>
    </row>
    <row r="104" spans="1:7" ht="11.25" customHeight="1" x14ac:dyDescent="0.2">
      <c r="A104" s="55">
        <v>44562</v>
      </c>
      <c r="B104" s="45">
        <v>3276</v>
      </c>
      <c r="C104" s="45">
        <v>0</v>
      </c>
      <c r="D104" s="45">
        <v>8511.8440571142455</v>
      </c>
      <c r="E104" s="45">
        <v>0</v>
      </c>
      <c r="F104" s="45">
        <v>3276</v>
      </c>
      <c r="G104" s="45">
        <v>8511.8440571142455</v>
      </c>
    </row>
    <row r="105" spans="1:7" ht="11.25" customHeight="1" x14ac:dyDescent="0.2">
      <c r="A105" s="55">
        <v>44593</v>
      </c>
      <c r="B105" s="45">
        <v>3276</v>
      </c>
      <c r="C105" s="45">
        <v>0</v>
      </c>
      <c r="D105" s="45">
        <v>8511.8440571142455</v>
      </c>
      <c r="E105" s="45">
        <v>0</v>
      </c>
      <c r="F105" s="45">
        <v>3276</v>
      </c>
      <c r="G105" s="45">
        <v>8511.8440571142455</v>
      </c>
    </row>
    <row r="106" spans="1:7" ht="11.25" customHeight="1" x14ac:dyDescent="0.2">
      <c r="A106" s="55">
        <v>44621</v>
      </c>
      <c r="B106" s="45">
        <v>3276</v>
      </c>
      <c r="C106" s="45">
        <v>0</v>
      </c>
      <c r="D106" s="45">
        <v>8511.8440571142455</v>
      </c>
      <c r="E106" s="45">
        <v>0</v>
      </c>
      <c r="F106" s="45">
        <v>3276</v>
      </c>
      <c r="G106" s="45">
        <v>8511.8440571142455</v>
      </c>
    </row>
    <row r="107" spans="1:7" ht="11.25" customHeight="1" x14ac:dyDescent="0.2">
      <c r="A107" s="55">
        <v>44652</v>
      </c>
      <c r="B107" s="45">
        <v>3276</v>
      </c>
      <c r="C107" s="45">
        <v>0</v>
      </c>
      <c r="D107" s="45">
        <v>8511.8440571142455</v>
      </c>
      <c r="E107" s="45">
        <v>0</v>
      </c>
      <c r="F107" s="45">
        <v>3276</v>
      </c>
      <c r="G107" s="45">
        <v>8511.8440571142455</v>
      </c>
    </row>
    <row r="108" spans="1:7" ht="11.25" customHeight="1" x14ac:dyDescent="0.2">
      <c r="A108" s="55">
        <v>44682</v>
      </c>
      <c r="B108" s="45">
        <v>3276</v>
      </c>
      <c r="C108" s="45">
        <v>0</v>
      </c>
      <c r="D108" s="45">
        <v>8511.8440571142455</v>
      </c>
      <c r="E108" s="45">
        <v>0</v>
      </c>
      <c r="F108" s="45">
        <v>3276</v>
      </c>
      <c r="G108" s="45">
        <v>8511.8440571142455</v>
      </c>
    </row>
    <row r="109" spans="1:7" ht="11.25" customHeight="1" x14ac:dyDescent="0.2">
      <c r="A109" s="55">
        <v>44713</v>
      </c>
      <c r="B109" s="45">
        <v>3276</v>
      </c>
      <c r="C109" s="45">
        <v>0</v>
      </c>
      <c r="D109" s="45">
        <v>8511.8440571142455</v>
      </c>
      <c r="E109" s="45">
        <v>0</v>
      </c>
      <c r="F109" s="45">
        <v>3276</v>
      </c>
      <c r="G109" s="45">
        <v>8511.8440571142455</v>
      </c>
    </row>
    <row r="110" spans="1:7" ht="11.25" customHeight="1" x14ac:dyDescent="0.2">
      <c r="A110" s="53" t="s">
        <v>56</v>
      </c>
      <c r="B110" s="45">
        <v>54600</v>
      </c>
      <c r="C110" s="45">
        <v>0</v>
      </c>
      <c r="D110" s="45">
        <v>141864.06761857079</v>
      </c>
      <c r="E110" s="45">
        <v>0</v>
      </c>
      <c r="F110" s="45">
        <v>54600</v>
      </c>
      <c r="G110" s="45">
        <v>141864.06761857079</v>
      </c>
    </row>
    <row r="111" spans="1:7" ht="11.25" customHeight="1" x14ac:dyDescent="0.2">
      <c r="A111" s="54" t="s">
        <v>25</v>
      </c>
      <c r="B111" s="45">
        <v>54600</v>
      </c>
      <c r="C111" s="45">
        <v>0</v>
      </c>
      <c r="D111" s="45">
        <v>141864.06761857079</v>
      </c>
      <c r="E111" s="45">
        <v>0</v>
      </c>
      <c r="F111" s="45">
        <v>54600</v>
      </c>
      <c r="G111" s="45">
        <v>141864.06761857079</v>
      </c>
    </row>
    <row r="112" spans="1:7" ht="11.25" customHeight="1" x14ac:dyDescent="0.2">
      <c r="A112" s="55">
        <v>44378</v>
      </c>
      <c r="B112" s="45">
        <v>4550</v>
      </c>
      <c r="C112" s="45">
        <v>0</v>
      </c>
      <c r="D112" s="45">
        <v>11822.005634880896</v>
      </c>
      <c r="E112" s="45">
        <v>0</v>
      </c>
      <c r="F112" s="45">
        <v>4550</v>
      </c>
      <c r="G112" s="45">
        <v>11822.005634880896</v>
      </c>
    </row>
    <row r="113" spans="1:7" ht="11.25" customHeight="1" x14ac:dyDescent="0.2">
      <c r="A113" s="55">
        <v>44409</v>
      </c>
      <c r="B113" s="45">
        <v>4550</v>
      </c>
      <c r="C113" s="45">
        <v>0</v>
      </c>
      <c r="D113" s="45">
        <v>11822.005634880896</v>
      </c>
      <c r="E113" s="45">
        <v>0</v>
      </c>
      <c r="F113" s="45">
        <v>4550</v>
      </c>
      <c r="G113" s="45">
        <v>11822.005634880896</v>
      </c>
    </row>
    <row r="114" spans="1:7" ht="11.25" customHeight="1" x14ac:dyDescent="0.2">
      <c r="A114" s="55">
        <v>44440</v>
      </c>
      <c r="B114" s="45">
        <v>4550</v>
      </c>
      <c r="C114" s="45">
        <v>0</v>
      </c>
      <c r="D114" s="45">
        <v>11822.005634880896</v>
      </c>
      <c r="E114" s="45">
        <v>0</v>
      </c>
      <c r="F114" s="45">
        <v>4550</v>
      </c>
      <c r="G114" s="45">
        <v>11822.005634880896</v>
      </c>
    </row>
    <row r="115" spans="1:7" ht="11.25" customHeight="1" x14ac:dyDescent="0.2">
      <c r="A115" s="55">
        <v>44470</v>
      </c>
      <c r="B115" s="45">
        <v>4550</v>
      </c>
      <c r="C115" s="45">
        <v>0</v>
      </c>
      <c r="D115" s="45">
        <v>11822.005634880896</v>
      </c>
      <c r="E115" s="45">
        <v>0</v>
      </c>
      <c r="F115" s="45">
        <v>4550</v>
      </c>
      <c r="G115" s="45">
        <v>11822.005634880896</v>
      </c>
    </row>
    <row r="116" spans="1:7" ht="11.25" customHeight="1" x14ac:dyDescent="0.2">
      <c r="A116" s="55">
        <v>44501</v>
      </c>
      <c r="B116" s="45">
        <v>4550</v>
      </c>
      <c r="C116" s="45">
        <v>0</v>
      </c>
      <c r="D116" s="45">
        <v>11822.005634880896</v>
      </c>
      <c r="E116" s="45">
        <v>0</v>
      </c>
      <c r="F116" s="45">
        <v>4550</v>
      </c>
      <c r="G116" s="45">
        <v>11822.005634880896</v>
      </c>
    </row>
    <row r="117" spans="1:7" ht="11.25" customHeight="1" x14ac:dyDescent="0.2">
      <c r="A117" s="55">
        <v>44531</v>
      </c>
      <c r="B117" s="45">
        <v>4550</v>
      </c>
      <c r="C117" s="45">
        <v>0</v>
      </c>
      <c r="D117" s="45">
        <v>11822.005634880896</v>
      </c>
      <c r="E117" s="45">
        <v>0</v>
      </c>
      <c r="F117" s="45">
        <v>4550</v>
      </c>
      <c r="G117" s="45">
        <v>11822.005634880896</v>
      </c>
    </row>
    <row r="118" spans="1:7" ht="11.25" customHeight="1" x14ac:dyDescent="0.2">
      <c r="A118" s="55">
        <v>44562</v>
      </c>
      <c r="B118" s="45">
        <v>4550</v>
      </c>
      <c r="C118" s="45">
        <v>0</v>
      </c>
      <c r="D118" s="45">
        <v>11822.005634880896</v>
      </c>
      <c r="E118" s="45">
        <v>0</v>
      </c>
      <c r="F118" s="45">
        <v>4550</v>
      </c>
      <c r="G118" s="45">
        <v>11822.005634880896</v>
      </c>
    </row>
    <row r="119" spans="1:7" ht="11.25" customHeight="1" x14ac:dyDescent="0.2">
      <c r="A119" s="55">
        <v>44593</v>
      </c>
      <c r="B119" s="45">
        <v>4550</v>
      </c>
      <c r="C119" s="45">
        <v>0</v>
      </c>
      <c r="D119" s="45">
        <v>11822.005634880896</v>
      </c>
      <c r="E119" s="45">
        <v>0</v>
      </c>
      <c r="F119" s="45">
        <v>4550</v>
      </c>
      <c r="G119" s="45">
        <v>11822.005634880896</v>
      </c>
    </row>
    <row r="120" spans="1:7" ht="11.25" customHeight="1" x14ac:dyDescent="0.2">
      <c r="A120" s="55">
        <v>44621</v>
      </c>
      <c r="B120" s="45">
        <v>4550</v>
      </c>
      <c r="C120" s="45">
        <v>0</v>
      </c>
      <c r="D120" s="45">
        <v>11822.005634880896</v>
      </c>
      <c r="E120" s="45">
        <v>0</v>
      </c>
      <c r="F120" s="45">
        <v>4550</v>
      </c>
      <c r="G120" s="45">
        <v>11822.005634880896</v>
      </c>
    </row>
    <row r="121" spans="1:7" ht="11.25" customHeight="1" x14ac:dyDescent="0.2">
      <c r="A121" s="55">
        <v>44652</v>
      </c>
      <c r="B121" s="45">
        <v>4550</v>
      </c>
      <c r="C121" s="45">
        <v>0</v>
      </c>
      <c r="D121" s="45">
        <v>11822.005634880896</v>
      </c>
      <c r="E121" s="45">
        <v>0</v>
      </c>
      <c r="F121" s="45">
        <v>4550</v>
      </c>
      <c r="G121" s="45">
        <v>11822.005634880896</v>
      </c>
    </row>
    <row r="122" spans="1:7" ht="11.25" customHeight="1" x14ac:dyDescent="0.2">
      <c r="A122" s="55">
        <v>44682</v>
      </c>
      <c r="B122" s="45">
        <v>4550</v>
      </c>
      <c r="C122" s="45">
        <v>0</v>
      </c>
      <c r="D122" s="45">
        <v>11822.005634880896</v>
      </c>
      <c r="E122" s="45">
        <v>0</v>
      </c>
      <c r="F122" s="45">
        <v>4550</v>
      </c>
      <c r="G122" s="45">
        <v>11822.005634880896</v>
      </c>
    </row>
    <row r="123" spans="1:7" ht="11.25" customHeight="1" x14ac:dyDescent="0.2">
      <c r="A123" s="55">
        <v>44713</v>
      </c>
      <c r="B123" s="45">
        <v>4550</v>
      </c>
      <c r="C123" s="45">
        <v>0</v>
      </c>
      <c r="D123" s="45">
        <v>11822.005634880896</v>
      </c>
      <c r="E123" s="45">
        <v>0</v>
      </c>
      <c r="F123" s="45">
        <v>4550</v>
      </c>
      <c r="G123" s="45">
        <v>11822.005634880896</v>
      </c>
    </row>
    <row r="124" spans="1:7" ht="11.25" customHeight="1" x14ac:dyDescent="0.2">
      <c r="A124" s="47" t="s">
        <v>590</v>
      </c>
      <c r="B124" s="45">
        <v>0</v>
      </c>
      <c r="C124" s="45">
        <v>210568.58993099999</v>
      </c>
      <c r="D124" s="45">
        <v>0</v>
      </c>
      <c r="E124" s="45">
        <v>218508.00776892007</v>
      </c>
      <c r="F124" s="45">
        <v>210568.58993099999</v>
      </c>
      <c r="G124" s="45">
        <v>218508.00776892007</v>
      </c>
    </row>
    <row r="125" spans="1:7" ht="11.25" customHeight="1" x14ac:dyDescent="0.2">
      <c r="A125" s="48" t="s">
        <v>35</v>
      </c>
      <c r="B125" s="45">
        <v>0</v>
      </c>
      <c r="C125" s="45">
        <v>89986.44692100001</v>
      </c>
      <c r="D125" s="45">
        <v>0</v>
      </c>
      <c r="E125" s="45">
        <v>94218.449000889625</v>
      </c>
      <c r="F125" s="45">
        <v>89986.44692100001</v>
      </c>
      <c r="G125" s="45">
        <v>94218.449000889625</v>
      </c>
    </row>
    <row r="126" spans="1:7" ht="11.25" customHeight="1" x14ac:dyDescent="0.2">
      <c r="A126" s="49" t="s">
        <v>39</v>
      </c>
      <c r="B126" s="45">
        <v>0</v>
      </c>
      <c r="C126" s="45">
        <v>89986.44692100001</v>
      </c>
      <c r="D126" s="45">
        <v>0</v>
      </c>
      <c r="E126" s="45">
        <v>94218.449000889625</v>
      </c>
      <c r="F126" s="45">
        <v>89986.44692100001</v>
      </c>
      <c r="G126" s="45">
        <v>94218.449000889625</v>
      </c>
    </row>
    <row r="127" spans="1:7" ht="11.25" customHeight="1" x14ac:dyDescent="0.2">
      <c r="A127" s="50" t="s">
        <v>42</v>
      </c>
      <c r="B127" s="45">
        <v>0</v>
      </c>
      <c r="C127" s="45">
        <v>89986.44692100001</v>
      </c>
      <c r="D127" s="45">
        <v>0</v>
      </c>
      <c r="E127" s="45">
        <v>94218.449000889625</v>
      </c>
      <c r="F127" s="45">
        <v>89986.44692100001</v>
      </c>
      <c r="G127" s="45">
        <v>94218.449000889625</v>
      </c>
    </row>
    <row r="128" spans="1:7" ht="11.25" customHeight="1" x14ac:dyDescent="0.2">
      <c r="A128" s="51" t="s">
        <v>49</v>
      </c>
      <c r="B128" s="45">
        <v>0</v>
      </c>
      <c r="C128" s="45">
        <v>89986.44692100001</v>
      </c>
      <c r="D128" s="45">
        <v>0</v>
      </c>
      <c r="E128" s="45">
        <v>94218.449000889625</v>
      </c>
      <c r="F128" s="45">
        <v>89986.44692100001</v>
      </c>
      <c r="G128" s="45">
        <v>94218.449000889625</v>
      </c>
    </row>
    <row r="129" spans="1:7" ht="11.25" customHeight="1" x14ac:dyDescent="0.2">
      <c r="A129" s="52" t="s">
        <v>51</v>
      </c>
      <c r="B129" s="45">
        <v>0</v>
      </c>
      <c r="C129" s="45">
        <v>89986.44692100001</v>
      </c>
      <c r="D129" s="45">
        <v>0</v>
      </c>
      <c r="E129" s="45">
        <v>94218.449000889625</v>
      </c>
      <c r="F129" s="45">
        <v>89986.44692100001</v>
      </c>
      <c r="G129" s="45">
        <v>94218.449000889625</v>
      </c>
    </row>
    <row r="130" spans="1:7" ht="11.25" customHeight="1" x14ac:dyDescent="0.2">
      <c r="A130" s="53" t="s">
        <v>25</v>
      </c>
      <c r="B130" s="45">
        <v>0</v>
      </c>
      <c r="C130" s="45">
        <v>89986.44692100001</v>
      </c>
      <c r="D130" s="45">
        <v>0</v>
      </c>
      <c r="E130" s="45">
        <v>94218.449000889625</v>
      </c>
      <c r="F130" s="45">
        <v>89986.44692100001</v>
      </c>
      <c r="G130" s="45">
        <v>94218.449000889625</v>
      </c>
    </row>
    <row r="131" spans="1:7" ht="11.25" customHeight="1" x14ac:dyDescent="0.2">
      <c r="A131" s="54" t="s">
        <v>38</v>
      </c>
      <c r="B131" s="45">
        <v>0</v>
      </c>
      <c r="C131" s="45">
        <v>89986.44692100001</v>
      </c>
      <c r="D131" s="45">
        <v>0</v>
      </c>
      <c r="E131" s="45">
        <v>94218.449000889625</v>
      </c>
      <c r="F131" s="45">
        <v>89986.44692100001</v>
      </c>
      <c r="G131" s="45">
        <v>94218.449000889625</v>
      </c>
    </row>
    <row r="132" spans="1:7" ht="11.25" customHeight="1" x14ac:dyDescent="0.2">
      <c r="A132" s="55">
        <v>44378</v>
      </c>
      <c r="B132" s="45">
        <v>0</v>
      </c>
      <c r="C132" s="45">
        <v>1338.9142269999998</v>
      </c>
      <c r="D132" s="45">
        <v>0</v>
      </c>
      <c r="E132" s="45">
        <v>1401.8824626325536</v>
      </c>
      <c r="F132" s="45">
        <v>1338.9142269999998</v>
      </c>
      <c r="G132" s="45">
        <v>1401.8824626325536</v>
      </c>
    </row>
    <row r="133" spans="1:7" ht="11.25" customHeight="1" x14ac:dyDescent="0.2">
      <c r="A133" s="55">
        <v>44409</v>
      </c>
      <c r="B133" s="45">
        <v>0</v>
      </c>
      <c r="C133" s="45">
        <v>1985.726064</v>
      </c>
      <c r="D133" s="45">
        <v>0</v>
      </c>
      <c r="E133" s="45">
        <v>2079.1134253247187</v>
      </c>
      <c r="F133" s="45">
        <v>1985.726064</v>
      </c>
      <c r="G133" s="45">
        <v>2079.1134253247187</v>
      </c>
    </row>
    <row r="134" spans="1:7" ht="11.25" customHeight="1" x14ac:dyDescent="0.2">
      <c r="A134" s="55">
        <v>44440</v>
      </c>
      <c r="B134" s="45">
        <v>0</v>
      </c>
      <c r="C134" s="45">
        <v>2893.6938169999999</v>
      </c>
      <c r="D134" s="45">
        <v>0</v>
      </c>
      <c r="E134" s="45">
        <v>3029.7822911105377</v>
      </c>
      <c r="F134" s="45">
        <v>2893.6938169999999</v>
      </c>
      <c r="G134" s="45">
        <v>3029.7822911105377</v>
      </c>
    </row>
    <row r="135" spans="1:7" ht="11.25" customHeight="1" x14ac:dyDescent="0.2">
      <c r="A135" s="55">
        <v>44470</v>
      </c>
      <c r="B135" s="45">
        <v>0</v>
      </c>
      <c r="C135" s="45">
        <v>5822.6789740000004</v>
      </c>
      <c r="D135" s="45">
        <v>0</v>
      </c>
      <c r="E135" s="45">
        <v>6096.5156502067048</v>
      </c>
      <c r="F135" s="45">
        <v>5822.6789740000004</v>
      </c>
      <c r="G135" s="45">
        <v>6096.5156502067048</v>
      </c>
    </row>
    <row r="136" spans="1:7" ht="11.25" customHeight="1" x14ac:dyDescent="0.2">
      <c r="A136" s="55">
        <v>44501</v>
      </c>
      <c r="B136" s="45">
        <v>0</v>
      </c>
      <c r="C136" s="45">
        <v>23327.57574</v>
      </c>
      <c r="D136" s="45">
        <v>0</v>
      </c>
      <c r="E136" s="45">
        <v>24424.655938500695</v>
      </c>
      <c r="F136" s="45">
        <v>23327.57574</v>
      </c>
      <c r="G136" s="45">
        <v>24424.655938500695</v>
      </c>
    </row>
    <row r="137" spans="1:7" ht="11.25" customHeight="1" x14ac:dyDescent="0.2">
      <c r="A137" s="55">
        <v>44531</v>
      </c>
      <c r="B137" s="45">
        <v>0</v>
      </c>
      <c r="C137" s="45">
        <v>26006.776635000006</v>
      </c>
      <c r="D137" s="45">
        <v>0</v>
      </c>
      <c r="E137" s="45">
        <v>27229.857849743028</v>
      </c>
      <c r="F137" s="45">
        <v>26006.776635000006</v>
      </c>
      <c r="G137" s="45">
        <v>27229.857849743028</v>
      </c>
    </row>
    <row r="138" spans="1:7" ht="11.25" customHeight="1" x14ac:dyDescent="0.2">
      <c r="A138" s="55">
        <v>44562</v>
      </c>
      <c r="B138" s="45">
        <v>0</v>
      </c>
      <c r="C138" s="45">
        <v>7806.6404709999997</v>
      </c>
      <c r="D138" s="45">
        <v>0</v>
      </c>
      <c r="E138" s="45">
        <v>8173.7815221321407</v>
      </c>
      <c r="F138" s="45">
        <v>7806.6404709999997</v>
      </c>
      <c r="G138" s="45">
        <v>8173.7815221321407</v>
      </c>
    </row>
    <row r="139" spans="1:7" ht="11.25" customHeight="1" x14ac:dyDescent="0.2">
      <c r="A139" s="55">
        <v>44593</v>
      </c>
      <c r="B139" s="45">
        <v>0</v>
      </c>
      <c r="C139" s="45">
        <v>11109.321705999999</v>
      </c>
      <c r="D139" s="45">
        <v>0</v>
      </c>
      <c r="E139" s="45">
        <v>11631.78563445391</v>
      </c>
      <c r="F139" s="45">
        <v>11109.321705999999</v>
      </c>
      <c r="G139" s="45">
        <v>11631.78563445391</v>
      </c>
    </row>
    <row r="140" spans="1:7" ht="11.25" customHeight="1" x14ac:dyDescent="0.2">
      <c r="A140" s="55">
        <v>44621</v>
      </c>
      <c r="B140" s="45">
        <v>0</v>
      </c>
      <c r="C140" s="45">
        <v>5732.0978680000007</v>
      </c>
      <c r="D140" s="45">
        <v>0</v>
      </c>
      <c r="E140" s="45">
        <v>6001.6745757102572</v>
      </c>
      <c r="F140" s="45">
        <v>5732.0978680000007</v>
      </c>
      <c r="G140" s="45">
        <v>6001.6745757102572</v>
      </c>
    </row>
    <row r="141" spans="1:7" ht="11.25" customHeight="1" x14ac:dyDescent="0.2">
      <c r="A141" s="55">
        <v>44652</v>
      </c>
      <c r="B141" s="45">
        <v>0</v>
      </c>
      <c r="C141" s="45">
        <v>3347.5796620000001</v>
      </c>
      <c r="D141" s="45">
        <v>0</v>
      </c>
      <c r="E141" s="45">
        <v>3505.0140821479317</v>
      </c>
      <c r="F141" s="45">
        <v>3347.5796620000001</v>
      </c>
      <c r="G141" s="45">
        <v>3505.0140821479317</v>
      </c>
    </row>
    <row r="142" spans="1:7" ht="11.25" customHeight="1" x14ac:dyDescent="0.2">
      <c r="A142" s="55">
        <v>44682</v>
      </c>
      <c r="B142" s="45">
        <v>0</v>
      </c>
      <c r="C142" s="45">
        <v>260.95985300000001</v>
      </c>
      <c r="D142" s="45">
        <v>0</v>
      </c>
      <c r="E142" s="45">
        <v>273.23261938262249</v>
      </c>
      <c r="F142" s="45">
        <v>260.95985300000001</v>
      </c>
      <c r="G142" s="45">
        <v>273.23261938262249</v>
      </c>
    </row>
    <row r="143" spans="1:7" ht="11.25" customHeight="1" x14ac:dyDescent="0.2">
      <c r="A143" s="55">
        <v>44713</v>
      </c>
      <c r="B143" s="45">
        <v>0</v>
      </c>
      <c r="C143" s="45">
        <v>354.48190399999999</v>
      </c>
      <c r="D143" s="45">
        <v>0</v>
      </c>
      <c r="E143" s="45">
        <v>371.15294954453907</v>
      </c>
      <c r="F143" s="45">
        <v>354.48190399999999</v>
      </c>
      <c r="G143" s="45">
        <v>371.15294954453907</v>
      </c>
    </row>
    <row r="144" spans="1:7" ht="11.25" customHeight="1" x14ac:dyDescent="0.2">
      <c r="A144" s="48" t="s">
        <v>41</v>
      </c>
      <c r="B144" s="45">
        <v>0</v>
      </c>
      <c r="C144" s="45">
        <v>120582.14301000003</v>
      </c>
      <c r="D144" s="45">
        <v>0</v>
      </c>
      <c r="E144" s="45">
        <v>124289.55876803047</v>
      </c>
      <c r="F144" s="45">
        <v>120582.14301000003</v>
      </c>
      <c r="G144" s="45">
        <v>124289.55876803047</v>
      </c>
    </row>
    <row r="145" spans="1:7" ht="11.25" customHeight="1" x14ac:dyDescent="0.2">
      <c r="A145" s="49" t="s">
        <v>23</v>
      </c>
      <c r="B145" s="45">
        <v>0</v>
      </c>
      <c r="C145" s="45">
        <v>120582.14301000003</v>
      </c>
      <c r="D145" s="45">
        <v>0</v>
      </c>
      <c r="E145" s="45">
        <v>124289.55876803047</v>
      </c>
      <c r="F145" s="45">
        <v>120582.14301000003</v>
      </c>
      <c r="G145" s="45">
        <v>124289.55876803047</v>
      </c>
    </row>
    <row r="146" spans="1:7" ht="11.25" customHeight="1" x14ac:dyDescent="0.2">
      <c r="A146" s="50" t="s">
        <v>42</v>
      </c>
      <c r="B146" s="45">
        <v>0</v>
      </c>
      <c r="C146" s="45">
        <v>120582.14301000003</v>
      </c>
      <c r="D146" s="45">
        <v>0</v>
      </c>
      <c r="E146" s="45">
        <v>124289.55876803047</v>
      </c>
      <c r="F146" s="45">
        <v>120582.14301000003</v>
      </c>
      <c r="G146" s="45">
        <v>124289.55876803047</v>
      </c>
    </row>
    <row r="147" spans="1:7" ht="11.25" customHeight="1" x14ac:dyDescent="0.2">
      <c r="A147" s="51" t="s">
        <v>49</v>
      </c>
      <c r="B147" s="45">
        <v>0</v>
      </c>
      <c r="C147" s="45">
        <v>112957.06653000001</v>
      </c>
      <c r="D147" s="45">
        <v>0</v>
      </c>
      <c r="E147" s="45">
        <v>116430.04186432865</v>
      </c>
      <c r="F147" s="45">
        <v>112957.06653000001</v>
      </c>
      <c r="G147" s="45">
        <v>116430.04186432865</v>
      </c>
    </row>
    <row r="148" spans="1:7" ht="11.25" customHeight="1" x14ac:dyDescent="0.2">
      <c r="A148" s="52" t="s">
        <v>51</v>
      </c>
      <c r="B148" s="45">
        <v>0</v>
      </c>
      <c r="C148" s="45">
        <v>112957.06653000001</v>
      </c>
      <c r="D148" s="45">
        <v>0</v>
      </c>
      <c r="E148" s="45">
        <v>116430.04186432865</v>
      </c>
      <c r="F148" s="45">
        <v>112957.06653000001</v>
      </c>
      <c r="G148" s="45">
        <v>116430.04186432865</v>
      </c>
    </row>
    <row r="149" spans="1:7" ht="11.25" customHeight="1" x14ac:dyDescent="0.2">
      <c r="A149" s="53" t="s">
        <v>25</v>
      </c>
      <c r="B149" s="45">
        <v>0</v>
      </c>
      <c r="C149" s="45">
        <v>112957.06653000001</v>
      </c>
      <c r="D149" s="45">
        <v>0</v>
      </c>
      <c r="E149" s="45">
        <v>116430.04186432865</v>
      </c>
      <c r="F149" s="45">
        <v>112957.06653000001</v>
      </c>
      <c r="G149" s="45">
        <v>116430.04186432865</v>
      </c>
    </row>
    <row r="150" spans="1:7" ht="11.25" customHeight="1" x14ac:dyDescent="0.2">
      <c r="A150" s="54" t="s">
        <v>25</v>
      </c>
      <c r="B150" s="45">
        <v>0</v>
      </c>
      <c r="C150" s="45">
        <v>112957.06653000001</v>
      </c>
      <c r="D150" s="45">
        <v>0</v>
      </c>
      <c r="E150" s="45">
        <v>116430.04186432865</v>
      </c>
      <c r="F150" s="45">
        <v>112957.06653000001</v>
      </c>
      <c r="G150" s="45">
        <v>116430.04186432865</v>
      </c>
    </row>
    <row r="151" spans="1:7" ht="11.25" customHeight="1" x14ac:dyDescent="0.2">
      <c r="A151" s="55">
        <v>44378</v>
      </c>
      <c r="B151" s="45">
        <v>0</v>
      </c>
      <c r="C151" s="45">
        <v>845.53748999999982</v>
      </c>
      <c r="D151" s="45">
        <v>0</v>
      </c>
      <c r="E151" s="45">
        <v>871.53436595676214</v>
      </c>
      <c r="F151" s="45">
        <v>845.53748999999982</v>
      </c>
      <c r="G151" s="45">
        <v>871.53436595676214</v>
      </c>
    </row>
    <row r="152" spans="1:7" ht="11.25" customHeight="1" x14ac:dyDescent="0.2">
      <c r="A152" s="55">
        <v>44409</v>
      </c>
      <c r="B152" s="45">
        <v>0</v>
      </c>
      <c r="C152" s="45">
        <v>2019.4076699999998</v>
      </c>
      <c r="D152" s="45">
        <v>0</v>
      </c>
      <c r="E152" s="45">
        <v>2081.4963311463252</v>
      </c>
      <c r="F152" s="45">
        <v>2019.4076699999998</v>
      </c>
      <c r="G152" s="45">
        <v>2081.4963311463252</v>
      </c>
    </row>
    <row r="153" spans="1:7" ht="11.25" customHeight="1" x14ac:dyDescent="0.2">
      <c r="A153" s="55">
        <v>44440</v>
      </c>
      <c r="B153" s="45">
        <v>0</v>
      </c>
      <c r="C153" s="45">
        <v>2531.9945699999994</v>
      </c>
      <c r="D153" s="45">
        <v>0</v>
      </c>
      <c r="E153" s="45">
        <v>2609.843216024537</v>
      </c>
      <c r="F153" s="45">
        <v>2531.9945699999994</v>
      </c>
      <c r="G153" s="45">
        <v>2609.843216024537</v>
      </c>
    </row>
    <row r="154" spans="1:7" ht="11.25" customHeight="1" x14ac:dyDescent="0.2">
      <c r="A154" s="55">
        <v>44470</v>
      </c>
      <c r="B154" s="45">
        <v>0</v>
      </c>
      <c r="C154" s="45">
        <v>820.1390399999998</v>
      </c>
      <c r="D154" s="45">
        <v>0</v>
      </c>
      <c r="E154" s="45">
        <v>845.35501580513915</v>
      </c>
      <c r="F154" s="45">
        <v>820.1390399999998</v>
      </c>
      <c r="G154" s="45">
        <v>845.35501580513915</v>
      </c>
    </row>
    <row r="155" spans="1:7" ht="11.25" customHeight="1" x14ac:dyDescent="0.2">
      <c r="A155" s="55">
        <v>44501</v>
      </c>
      <c r="B155" s="45">
        <v>0</v>
      </c>
      <c r="C155" s="45">
        <v>22246.271459999996</v>
      </c>
      <c r="D155" s="45">
        <v>0</v>
      </c>
      <c r="E155" s="45">
        <v>22930.254803714401</v>
      </c>
      <c r="F155" s="45">
        <v>22246.271459999996</v>
      </c>
      <c r="G155" s="45">
        <v>22930.254803714401</v>
      </c>
    </row>
    <row r="156" spans="1:7" ht="11.25" customHeight="1" x14ac:dyDescent="0.2">
      <c r="A156" s="55">
        <v>44531</v>
      </c>
      <c r="B156" s="45">
        <v>0</v>
      </c>
      <c r="C156" s="45">
        <v>37514.896019999993</v>
      </c>
      <c r="D156" s="45">
        <v>0</v>
      </c>
      <c r="E156" s="45">
        <v>38668.32813850107</v>
      </c>
      <c r="F156" s="45">
        <v>37514.896019999993</v>
      </c>
      <c r="G156" s="45">
        <v>38668.32813850107</v>
      </c>
    </row>
    <row r="157" spans="1:7" ht="11.25" customHeight="1" x14ac:dyDescent="0.2">
      <c r="A157" s="55">
        <v>44562</v>
      </c>
      <c r="B157" s="45">
        <v>0</v>
      </c>
      <c r="C157" s="45">
        <v>24243.513209999997</v>
      </c>
      <c r="D157" s="45">
        <v>0</v>
      </c>
      <c r="E157" s="45">
        <v>24988.903702001127</v>
      </c>
      <c r="F157" s="45">
        <v>24243.513209999997</v>
      </c>
      <c r="G157" s="45">
        <v>24988.903702001127</v>
      </c>
    </row>
    <row r="158" spans="1:7" ht="11.25" customHeight="1" x14ac:dyDescent="0.2">
      <c r="A158" s="55">
        <v>44593</v>
      </c>
      <c r="B158" s="45">
        <v>0</v>
      </c>
      <c r="C158" s="45">
        <v>12972.142889999999</v>
      </c>
      <c r="D158" s="45">
        <v>0</v>
      </c>
      <c r="E158" s="45">
        <v>13370.984092895365</v>
      </c>
      <c r="F158" s="45">
        <v>12972.142889999999</v>
      </c>
      <c r="G158" s="45">
        <v>13370.984092895365</v>
      </c>
    </row>
    <row r="159" spans="1:7" ht="11.25" customHeight="1" x14ac:dyDescent="0.2">
      <c r="A159" s="55">
        <v>44621</v>
      </c>
      <c r="B159" s="45">
        <v>0</v>
      </c>
      <c r="C159" s="45">
        <v>10337.630939999999</v>
      </c>
      <c r="D159" s="45">
        <v>0</v>
      </c>
      <c r="E159" s="45">
        <v>10655.471499895184</v>
      </c>
      <c r="F159" s="45">
        <v>10337.630939999999</v>
      </c>
      <c r="G159" s="45">
        <v>10655.471499895184</v>
      </c>
    </row>
    <row r="160" spans="1:7" ht="11.25" customHeight="1" x14ac:dyDescent="0.2">
      <c r="A160" s="55">
        <v>44652</v>
      </c>
      <c r="B160" s="45">
        <v>0</v>
      </c>
      <c r="C160" s="45">
        <v>-982.22732999999971</v>
      </c>
      <c r="D160" s="45">
        <v>0</v>
      </c>
      <c r="E160" s="45">
        <v>-1012.4268685909524</v>
      </c>
      <c r="F160" s="45">
        <v>-982.22732999999971</v>
      </c>
      <c r="G160" s="45">
        <v>-1012.4268685909524</v>
      </c>
    </row>
    <row r="161" spans="1:7" ht="11.25" customHeight="1" x14ac:dyDescent="0.2">
      <c r="A161" s="55">
        <v>44682</v>
      </c>
      <c r="B161" s="45">
        <v>0</v>
      </c>
      <c r="C161" s="45">
        <v>257.21703000000002</v>
      </c>
      <c r="D161" s="45">
        <v>0</v>
      </c>
      <c r="E161" s="45">
        <v>265.12541880825597</v>
      </c>
      <c r="F161" s="45">
        <v>257.21703000000002</v>
      </c>
      <c r="G161" s="45">
        <v>265.12541880825597</v>
      </c>
    </row>
    <row r="162" spans="1:7" ht="11.25" customHeight="1" x14ac:dyDescent="0.2">
      <c r="A162" s="55">
        <v>44713</v>
      </c>
      <c r="B162" s="45">
        <v>0</v>
      </c>
      <c r="C162" s="45">
        <v>150.54354000000001</v>
      </c>
      <c r="D162" s="45">
        <v>0</v>
      </c>
      <c r="E162" s="45">
        <v>155.17214817143886</v>
      </c>
      <c r="F162" s="45">
        <v>150.54354000000001</v>
      </c>
      <c r="G162" s="45">
        <v>155.17214817143886</v>
      </c>
    </row>
    <row r="163" spans="1:7" ht="11.25" customHeight="1" x14ac:dyDescent="0.2">
      <c r="A163" s="51" t="s">
        <v>52</v>
      </c>
      <c r="B163" s="45">
        <v>0</v>
      </c>
      <c r="C163" s="45">
        <v>7625.0764799999997</v>
      </c>
      <c r="D163" s="45">
        <v>0</v>
      </c>
      <c r="E163" s="45">
        <v>7859.516903701835</v>
      </c>
      <c r="F163" s="45">
        <v>7625.0764799999997</v>
      </c>
      <c r="G163" s="45">
        <v>7859.516903701835</v>
      </c>
    </row>
    <row r="164" spans="1:7" ht="11.25" customHeight="1" x14ac:dyDescent="0.2">
      <c r="A164" s="52" t="s">
        <v>51</v>
      </c>
      <c r="B164" s="45">
        <v>0</v>
      </c>
      <c r="C164" s="45">
        <v>7625.0764799999997</v>
      </c>
      <c r="D164" s="45">
        <v>0</v>
      </c>
      <c r="E164" s="45">
        <v>7859.516903701835</v>
      </c>
      <c r="F164" s="45">
        <v>7625.0764799999997</v>
      </c>
      <c r="G164" s="45">
        <v>7859.516903701835</v>
      </c>
    </row>
    <row r="165" spans="1:7" ht="11.25" customHeight="1" x14ac:dyDescent="0.2">
      <c r="A165" s="53" t="s">
        <v>25</v>
      </c>
      <c r="B165" s="45">
        <v>0</v>
      </c>
      <c r="C165" s="45">
        <v>7625.0764799999997</v>
      </c>
      <c r="D165" s="45">
        <v>0</v>
      </c>
      <c r="E165" s="45">
        <v>7859.516903701835</v>
      </c>
      <c r="F165" s="45">
        <v>7625.0764799999997</v>
      </c>
      <c r="G165" s="45">
        <v>7859.516903701835</v>
      </c>
    </row>
    <row r="166" spans="1:7" ht="11.25" customHeight="1" x14ac:dyDescent="0.2">
      <c r="A166" s="54" t="s">
        <v>25</v>
      </c>
      <c r="B166" s="45">
        <v>0</v>
      </c>
      <c r="C166" s="45">
        <v>7625.0764799999997</v>
      </c>
      <c r="D166" s="45">
        <v>0</v>
      </c>
      <c r="E166" s="45">
        <v>7859.516903701835</v>
      </c>
      <c r="F166" s="45">
        <v>7625.0764799999997</v>
      </c>
      <c r="G166" s="45">
        <v>7859.516903701835</v>
      </c>
    </row>
    <row r="167" spans="1:7" ht="11.25" customHeight="1" x14ac:dyDescent="0.2">
      <c r="A167" s="55">
        <v>44378</v>
      </c>
      <c r="B167" s="45">
        <v>0</v>
      </c>
      <c r="C167" s="45">
        <v>1199.7304199999999</v>
      </c>
      <c r="D167" s="45">
        <v>0</v>
      </c>
      <c r="E167" s="45">
        <v>1236.6173035257611</v>
      </c>
      <c r="F167" s="45">
        <v>1199.7304199999999</v>
      </c>
      <c r="G167" s="45">
        <v>1236.6173035257611</v>
      </c>
    </row>
    <row r="168" spans="1:7" ht="11.25" customHeight="1" x14ac:dyDescent="0.2">
      <c r="A168" s="55">
        <v>44409</v>
      </c>
      <c r="B168" s="45">
        <v>0</v>
      </c>
      <c r="C168" s="45">
        <v>408.22235999999992</v>
      </c>
      <c r="D168" s="45">
        <v>0</v>
      </c>
      <c r="E168" s="45">
        <v>420.77355516426974</v>
      </c>
      <c r="F168" s="45">
        <v>408.22235999999992</v>
      </c>
      <c r="G168" s="45">
        <v>420.77355516426974</v>
      </c>
    </row>
    <row r="169" spans="1:7" ht="11.25" customHeight="1" x14ac:dyDescent="0.2">
      <c r="A169" s="55">
        <v>44440</v>
      </c>
      <c r="B169" s="45">
        <v>0</v>
      </c>
      <c r="C169" s="45">
        <v>286.77158999999995</v>
      </c>
      <c r="D169" s="45">
        <v>0</v>
      </c>
      <c r="E169" s="45">
        <v>295.58866262105374</v>
      </c>
      <c r="F169" s="45">
        <v>286.77158999999995</v>
      </c>
      <c r="G169" s="45">
        <v>295.58866262105374</v>
      </c>
    </row>
    <row r="170" spans="1:7" ht="11.25" customHeight="1" x14ac:dyDescent="0.2">
      <c r="A170" s="55">
        <v>44470</v>
      </c>
      <c r="B170" s="45">
        <v>0</v>
      </c>
      <c r="C170" s="45">
        <v>395.75402999999994</v>
      </c>
      <c r="D170" s="45">
        <v>0</v>
      </c>
      <c r="E170" s="45">
        <v>407.92187418074565</v>
      </c>
      <c r="F170" s="45">
        <v>395.75402999999994</v>
      </c>
      <c r="G170" s="45">
        <v>407.92187418074565</v>
      </c>
    </row>
    <row r="171" spans="1:7" ht="11.25" customHeight="1" x14ac:dyDescent="0.2">
      <c r="A171" s="55">
        <v>44501</v>
      </c>
      <c r="B171" s="45">
        <v>0</v>
      </c>
      <c r="C171" s="45">
        <v>833.99273999999991</v>
      </c>
      <c r="D171" s="45">
        <v>0</v>
      </c>
      <c r="E171" s="45">
        <v>859.6346613423882</v>
      </c>
      <c r="F171" s="45">
        <v>833.99273999999991</v>
      </c>
      <c r="G171" s="45">
        <v>859.6346613423882</v>
      </c>
    </row>
    <row r="172" spans="1:7" ht="11.25" customHeight="1" x14ac:dyDescent="0.2">
      <c r="A172" s="55">
        <v>44531</v>
      </c>
      <c r="B172" s="45">
        <v>0</v>
      </c>
      <c r="C172" s="45">
        <v>934.66295999999988</v>
      </c>
      <c r="D172" s="45">
        <v>0</v>
      </c>
      <c r="E172" s="45">
        <v>963.40008557973067</v>
      </c>
      <c r="F172" s="45">
        <v>934.66295999999988</v>
      </c>
      <c r="G172" s="45">
        <v>963.40008557973067</v>
      </c>
    </row>
    <row r="173" spans="1:7" ht="11.25" customHeight="1" x14ac:dyDescent="0.2">
      <c r="A173" s="55">
        <v>44562</v>
      </c>
      <c r="B173" s="45">
        <v>0</v>
      </c>
      <c r="C173" s="45">
        <v>784.58121000000006</v>
      </c>
      <c r="D173" s="45">
        <v>0</v>
      </c>
      <c r="E173" s="45">
        <v>808.70392559286699</v>
      </c>
      <c r="F173" s="45">
        <v>784.58121000000006</v>
      </c>
      <c r="G173" s="45">
        <v>808.70392559286699</v>
      </c>
    </row>
    <row r="174" spans="1:7" ht="11.25" customHeight="1" x14ac:dyDescent="0.2">
      <c r="A174" s="55">
        <v>44593</v>
      </c>
      <c r="B174" s="45">
        <v>0</v>
      </c>
      <c r="C174" s="45">
        <v>1625.5007999999998</v>
      </c>
      <c r="D174" s="45">
        <v>0</v>
      </c>
      <c r="E174" s="45">
        <v>1675.4784097038796</v>
      </c>
      <c r="F174" s="45">
        <v>1625.5007999999998</v>
      </c>
      <c r="G174" s="45">
        <v>1675.4784097038796</v>
      </c>
    </row>
    <row r="175" spans="1:7" ht="11.25" customHeight="1" x14ac:dyDescent="0.2">
      <c r="A175" s="55">
        <v>44621</v>
      </c>
      <c r="B175" s="45">
        <v>0</v>
      </c>
      <c r="C175" s="45">
        <v>721.77776999999992</v>
      </c>
      <c r="D175" s="45">
        <v>0</v>
      </c>
      <c r="E175" s="45">
        <v>743.96953249067155</v>
      </c>
      <c r="F175" s="45">
        <v>721.77776999999992</v>
      </c>
      <c r="G175" s="45">
        <v>743.96953249067155</v>
      </c>
    </row>
    <row r="176" spans="1:7" ht="11.25" customHeight="1" x14ac:dyDescent="0.2">
      <c r="A176" s="55">
        <v>44652</v>
      </c>
      <c r="B176" s="45">
        <v>0</v>
      </c>
      <c r="C176" s="45">
        <v>315.40257000000003</v>
      </c>
      <c r="D176" s="45">
        <v>0</v>
      </c>
      <c r="E176" s="45">
        <v>325.09993006470165</v>
      </c>
      <c r="F176" s="45">
        <v>315.40257000000003</v>
      </c>
      <c r="G176" s="45">
        <v>325.09993006470165</v>
      </c>
    </row>
    <row r="177" spans="1:7" ht="11.25" customHeight="1" x14ac:dyDescent="0.2">
      <c r="A177" s="55">
        <v>44682</v>
      </c>
      <c r="B177" s="45">
        <v>0</v>
      </c>
      <c r="C177" s="45">
        <v>40.637519999999988</v>
      </c>
      <c r="D177" s="45">
        <v>0</v>
      </c>
      <c r="E177" s="45">
        <v>41.886960242596977</v>
      </c>
      <c r="F177" s="45">
        <v>40.637519999999988</v>
      </c>
      <c r="G177" s="45">
        <v>41.886960242596977</v>
      </c>
    </row>
    <row r="178" spans="1:7" ht="11.25" customHeight="1" x14ac:dyDescent="0.2">
      <c r="A178" s="55">
        <v>44713</v>
      </c>
      <c r="B178" s="45">
        <v>0</v>
      </c>
      <c r="C178" s="45">
        <v>78.042509999999993</v>
      </c>
      <c r="D178" s="45">
        <v>0</v>
      </c>
      <c r="E178" s="45">
        <v>80.442003193169228</v>
      </c>
      <c r="F178" s="45">
        <v>78.042509999999993</v>
      </c>
      <c r="G178" s="45">
        <v>80.442003193169228</v>
      </c>
    </row>
    <row r="179" spans="1:7" ht="11.25" customHeight="1" x14ac:dyDescent="0.2">
      <c r="A179" s="47" t="s">
        <v>589</v>
      </c>
      <c r="B179" s="45">
        <v>13609.886399999998</v>
      </c>
      <c r="C179" s="45">
        <v>1780849.2904003987</v>
      </c>
      <c r="D179" s="45">
        <v>15515.91142948179</v>
      </c>
      <c r="E179" s="45">
        <v>974411.43104848242</v>
      </c>
      <c r="F179" s="45">
        <v>1794459.1768003986</v>
      </c>
      <c r="G179" s="45">
        <v>989927.34247796435</v>
      </c>
    </row>
    <row r="180" spans="1:7" ht="11.25" customHeight="1" x14ac:dyDescent="0.2">
      <c r="A180" s="48" t="s">
        <v>35</v>
      </c>
      <c r="B180" s="45">
        <v>13609.886399999998</v>
      </c>
      <c r="C180" s="45">
        <v>9504.4192603999963</v>
      </c>
      <c r="D180" s="45">
        <v>15515.91142948179</v>
      </c>
      <c r="E180" s="45">
        <v>9979.9614553467527</v>
      </c>
      <c r="F180" s="45">
        <v>23114.305660399994</v>
      </c>
      <c r="G180" s="45">
        <v>25495.872884828543</v>
      </c>
    </row>
    <row r="181" spans="1:7" ht="11.25" customHeight="1" x14ac:dyDescent="0.2">
      <c r="A181" s="49" t="s">
        <v>39</v>
      </c>
      <c r="B181" s="45">
        <v>13609.886399999998</v>
      </c>
      <c r="C181" s="45">
        <v>9504.4192603999963</v>
      </c>
      <c r="D181" s="45">
        <v>15515.91142948179</v>
      </c>
      <c r="E181" s="45">
        <v>9979.9614553467527</v>
      </c>
      <c r="F181" s="45">
        <v>23114.305660399994</v>
      </c>
      <c r="G181" s="45">
        <v>25495.872884828543</v>
      </c>
    </row>
    <row r="182" spans="1:7" ht="11.25" customHeight="1" x14ac:dyDescent="0.2">
      <c r="A182" s="50" t="s">
        <v>42</v>
      </c>
      <c r="B182" s="45">
        <v>13609.886399999998</v>
      </c>
      <c r="C182" s="45">
        <v>9504.4192603999963</v>
      </c>
      <c r="D182" s="45">
        <v>15515.91142948179</v>
      </c>
      <c r="E182" s="45">
        <v>9979.9614553467527</v>
      </c>
      <c r="F182" s="45">
        <v>23114.305660399994</v>
      </c>
      <c r="G182" s="45">
        <v>25495.872884828543</v>
      </c>
    </row>
    <row r="183" spans="1:7" ht="11.25" customHeight="1" x14ac:dyDescent="0.2">
      <c r="A183" s="51" t="s">
        <v>49</v>
      </c>
      <c r="B183" s="45">
        <v>11514.398400000002</v>
      </c>
      <c r="C183" s="45">
        <v>4164.9676111999952</v>
      </c>
      <c r="D183" s="45">
        <v>13126.956426187864</v>
      </c>
      <c r="E183" s="45">
        <v>4365.7422459248864</v>
      </c>
      <c r="F183" s="45">
        <v>15679.366011199996</v>
      </c>
      <c r="G183" s="45">
        <v>17492.698672112751</v>
      </c>
    </row>
    <row r="184" spans="1:7" ht="11.25" customHeight="1" x14ac:dyDescent="0.2">
      <c r="A184" s="52" t="s">
        <v>25</v>
      </c>
      <c r="B184" s="45">
        <v>11514.398400000002</v>
      </c>
      <c r="C184" s="45">
        <v>4164.9676111999952</v>
      </c>
      <c r="D184" s="45">
        <v>13126.956426187864</v>
      </c>
      <c r="E184" s="45">
        <v>4365.7422459248864</v>
      </c>
      <c r="F184" s="45">
        <v>15679.366011199996</v>
      </c>
      <c r="G184" s="45">
        <v>17492.698672112751</v>
      </c>
    </row>
    <row r="185" spans="1:7" ht="11.25" customHeight="1" x14ac:dyDescent="0.2">
      <c r="A185" s="53" t="s">
        <v>25</v>
      </c>
      <c r="B185" s="45">
        <v>11514.398400000002</v>
      </c>
      <c r="C185" s="45">
        <v>4164.9676111999952</v>
      </c>
      <c r="D185" s="45">
        <v>13126.956426187864</v>
      </c>
      <c r="E185" s="45">
        <v>4365.7422459248864</v>
      </c>
      <c r="F185" s="45">
        <v>15679.366011199996</v>
      </c>
      <c r="G185" s="45">
        <v>17492.698672112751</v>
      </c>
    </row>
    <row r="186" spans="1:7" ht="11.25" customHeight="1" x14ac:dyDescent="0.2">
      <c r="A186" s="54" t="s">
        <v>38</v>
      </c>
      <c r="B186" s="45">
        <v>0</v>
      </c>
      <c r="C186" s="45">
        <v>3729.2751103999958</v>
      </c>
      <c r="D186" s="45">
        <v>0</v>
      </c>
      <c r="E186" s="45">
        <v>3904.660410783606</v>
      </c>
      <c r="F186" s="45">
        <v>3729.2751103999958</v>
      </c>
      <c r="G186" s="45">
        <v>3904.660410783606</v>
      </c>
    </row>
    <row r="187" spans="1:7" ht="11.25" customHeight="1" x14ac:dyDescent="0.2">
      <c r="A187" s="55">
        <v>44378</v>
      </c>
      <c r="B187" s="45">
        <v>0</v>
      </c>
      <c r="C187" s="45">
        <v>9.2429699999999766</v>
      </c>
      <c r="D187" s="45">
        <v>0</v>
      </c>
      <c r="E187" s="45">
        <v>9.677660662902781</v>
      </c>
      <c r="F187" s="45">
        <v>9.2429699999999766</v>
      </c>
      <c r="G187" s="45">
        <v>9.677660662902781</v>
      </c>
    </row>
    <row r="188" spans="1:7" ht="11.25" customHeight="1" x14ac:dyDescent="0.2">
      <c r="A188" s="55">
        <v>44409</v>
      </c>
      <c r="B188" s="45">
        <v>0</v>
      </c>
      <c r="C188" s="45">
        <v>19.863982799999963</v>
      </c>
      <c r="D188" s="45">
        <v>0</v>
      </c>
      <c r="E188" s="45">
        <v>20.79817255191108</v>
      </c>
      <c r="F188" s="45">
        <v>19.863982799999963</v>
      </c>
      <c r="G188" s="45">
        <v>20.79817255191108</v>
      </c>
    </row>
    <row r="189" spans="1:7" ht="11.25" customHeight="1" x14ac:dyDescent="0.2">
      <c r="A189" s="55">
        <v>44440</v>
      </c>
      <c r="B189" s="45">
        <v>0</v>
      </c>
      <c r="C189" s="45">
        <v>16.054758800000009</v>
      </c>
      <c r="D189" s="45">
        <v>0</v>
      </c>
      <c r="E189" s="45">
        <v>16.809803309017852</v>
      </c>
      <c r="F189" s="45">
        <v>16.054758800000009</v>
      </c>
      <c r="G189" s="45">
        <v>16.809803309017852</v>
      </c>
    </row>
    <row r="190" spans="1:7" ht="11.25" customHeight="1" x14ac:dyDescent="0.2">
      <c r="A190" s="55">
        <v>44470</v>
      </c>
      <c r="B190" s="45">
        <v>0</v>
      </c>
      <c r="C190" s="45">
        <v>49.36306159999998</v>
      </c>
      <c r="D190" s="45">
        <v>0</v>
      </c>
      <c r="E190" s="45">
        <v>51.684573188787567</v>
      </c>
      <c r="F190" s="45">
        <v>49.36306159999998</v>
      </c>
      <c r="G190" s="45">
        <v>51.684573188787567</v>
      </c>
    </row>
    <row r="191" spans="1:7" ht="11.25" customHeight="1" x14ac:dyDescent="0.2">
      <c r="A191" s="55">
        <v>44501</v>
      </c>
      <c r="B191" s="45">
        <v>0</v>
      </c>
      <c r="C191" s="45">
        <v>1370.1330583999973</v>
      </c>
      <c r="D191" s="45">
        <v>0</v>
      </c>
      <c r="E191" s="45">
        <v>1434.5694946776161</v>
      </c>
      <c r="F191" s="45">
        <v>1370.1330583999973</v>
      </c>
      <c r="G191" s="45">
        <v>1434.5694946776161</v>
      </c>
    </row>
    <row r="192" spans="1:7" ht="11.25" customHeight="1" x14ac:dyDescent="0.2">
      <c r="A192" s="55">
        <v>44531</v>
      </c>
      <c r="B192" s="45">
        <v>0</v>
      </c>
      <c r="C192" s="45">
        <v>1403.9791339999977</v>
      </c>
      <c r="D192" s="45">
        <v>0</v>
      </c>
      <c r="E192" s="45">
        <v>1470.0073284505006</v>
      </c>
      <c r="F192" s="45">
        <v>1403.9791339999977</v>
      </c>
      <c r="G192" s="45">
        <v>1470.0073284505006</v>
      </c>
    </row>
    <row r="193" spans="1:7" ht="11.25" customHeight="1" x14ac:dyDescent="0.2">
      <c r="A193" s="55">
        <v>44562</v>
      </c>
      <c r="B193" s="45">
        <v>0</v>
      </c>
      <c r="C193" s="45">
        <v>273.07654639999981</v>
      </c>
      <c r="D193" s="45">
        <v>0</v>
      </c>
      <c r="E193" s="45">
        <v>285.91915272435489</v>
      </c>
      <c r="F193" s="45">
        <v>273.07654639999981</v>
      </c>
      <c r="G193" s="45">
        <v>285.91915272435489</v>
      </c>
    </row>
    <row r="194" spans="1:7" ht="11.25" customHeight="1" x14ac:dyDescent="0.2">
      <c r="A194" s="55">
        <v>44593</v>
      </c>
      <c r="B194" s="45">
        <v>0</v>
      </c>
      <c r="C194" s="45">
        <v>275.1716196000001</v>
      </c>
      <c r="D194" s="45">
        <v>0</v>
      </c>
      <c r="E194" s="45">
        <v>288.11275580794648</v>
      </c>
      <c r="F194" s="45">
        <v>275.1716196000001</v>
      </c>
      <c r="G194" s="45">
        <v>288.11275580794648</v>
      </c>
    </row>
    <row r="195" spans="1:7" ht="11.25" customHeight="1" x14ac:dyDescent="0.2">
      <c r="A195" s="55">
        <v>44621</v>
      </c>
      <c r="B195" s="45">
        <v>0</v>
      </c>
      <c r="C195" s="45">
        <v>121.36859880000003</v>
      </c>
      <c r="D195" s="45">
        <v>0</v>
      </c>
      <c r="E195" s="45">
        <v>127.07648237724376</v>
      </c>
      <c r="F195" s="45">
        <v>121.36859880000003</v>
      </c>
      <c r="G195" s="45">
        <v>127.07648237724376</v>
      </c>
    </row>
    <row r="196" spans="1:7" ht="11.25" customHeight="1" x14ac:dyDescent="0.2">
      <c r="A196" s="55">
        <v>44652</v>
      </c>
      <c r="B196" s="45">
        <v>0</v>
      </c>
      <c r="C196" s="45">
        <v>105.44828320000023</v>
      </c>
      <c r="D196" s="45">
        <v>0</v>
      </c>
      <c r="E196" s="45">
        <v>110.40744504150472</v>
      </c>
      <c r="F196" s="45">
        <v>105.44828320000023</v>
      </c>
      <c r="G196" s="45">
        <v>110.40744504150472</v>
      </c>
    </row>
    <row r="197" spans="1:7" ht="11.25" customHeight="1" x14ac:dyDescent="0.2">
      <c r="A197" s="55">
        <v>44682</v>
      </c>
      <c r="B197" s="45">
        <v>0</v>
      </c>
      <c r="C197" s="45">
        <v>36.848640400000093</v>
      </c>
      <c r="D197" s="45">
        <v>0</v>
      </c>
      <c r="E197" s="45">
        <v>38.581607176105948</v>
      </c>
      <c r="F197" s="45">
        <v>36.848640400000093</v>
      </c>
      <c r="G197" s="45">
        <v>38.581607176105948</v>
      </c>
    </row>
    <row r="198" spans="1:7" ht="11.25" customHeight="1" x14ac:dyDescent="0.2">
      <c r="A198" s="55">
        <v>44713</v>
      </c>
      <c r="B198" s="45">
        <v>0</v>
      </c>
      <c r="C198" s="45">
        <v>48.724456400000037</v>
      </c>
      <c r="D198" s="45">
        <v>0</v>
      </c>
      <c r="E198" s="45">
        <v>51.015934815714331</v>
      </c>
      <c r="F198" s="45">
        <v>48.724456400000037</v>
      </c>
      <c r="G198" s="45">
        <v>51.015934815714331</v>
      </c>
    </row>
    <row r="199" spans="1:7" ht="11.25" customHeight="1" x14ac:dyDescent="0.2">
      <c r="A199" s="54" t="s">
        <v>25</v>
      </c>
      <c r="B199" s="45">
        <v>11514.398400000002</v>
      </c>
      <c r="C199" s="45">
        <v>0</v>
      </c>
      <c r="D199" s="45">
        <v>13126.956426187864</v>
      </c>
      <c r="E199" s="45">
        <v>0</v>
      </c>
      <c r="F199" s="45">
        <v>11514.398400000002</v>
      </c>
      <c r="G199" s="45">
        <v>13126.956426187864</v>
      </c>
    </row>
    <row r="200" spans="1:7" ht="11.25" customHeight="1" x14ac:dyDescent="0.2">
      <c r="A200" s="55">
        <v>44378</v>
      </c>
      <c r="B200" s="45">
        <v>360.54720000000054</v>
      </c>
      <c r="C200" s="45">
        <v>0</v>
      </c>
      <c r="D200" s="45">
        <v>411.04078733145514</v>
      </c>
      <c r="E200" s="45">
        <v>0</v>
      </c>
      <c r="F200" s="45">
        <v>360.54720000000054</v>
      </c>
      <c r="G200" s="45">
        <v>411.04078733145514</v>
      </c>
    </row>
    <row r="201" spans="1:7" ht="11.25" customHeight="1" x14ac:dyDescent="0.2">
      <c r="A201" s="55">
        <v>44409</v>
      </c>
      <c r="B201" s="45">
        <v>559.31039999999939</v>
      </c>
      <c r="C201" s="45">
        <v>0</v>
      </c>
      <c r="D201" s="45">
        <v>637.64019573212738</v>
      </c>
      <c r="E201" s="45">
        <v>0</v>
      </c>
      <c r="F201" s="45">
        <v>559.31039999999939</v>
      </c>
      <c r="G201" s="45">
        <v>637.64019573212738</v>
      </c>
    </row>
    <row r="202" spans="1:7" ht="11.25" customHeight="1" x14ac:dyDescent="0.2">
      <c r="A202" s="55">
        <v>44440</v>
      </c>
      <c r="B202" s="45">
        <v>1086.2640000000019</v>
      </c>
      <c r="C202" s="45">
        <v>0</v>
      </c>
      <c r="D202" s="45">
        <v>1238.3921156781023</v>
      </c>
      <c r="E202" s="45">
        <v>0</v>
      </c>
      <c r="F202" s="45">
        <v>1086.2640000000019</v>
      </c>
      <c r="G202" s="45">
        <v>1238.3921156781023</v>
      </c>
    </row>
    <row r="203" spans="1:7" ht="11.25" customHeight="1" x14ac:dyDescent="0.2">
      <c r="A203" s="55">
        <v>44470</v>
      </c>
      <c r="B203" s="45">
        <v>981.48960000000079</v>
      </c>
      <c r="C203" s="45">
        <v>0</v>
      </c>
      <c r="D203" s="45">
        <v>1118.9443655134048</v>
      </c>
      <c r="E203" s="45">
        <v>0</v>
      </c>
      <c r="F203" s="45">
        <v>981.48960000000079</v>
      </c>
      <c r="G203" s="45">
        <v>1118.9443655134048</v>
      </c>
    </row>
    <row r="204" spans="1:7" ht="11.25" customHeight="1" x14ac:dyDescent="0.2">
      <c r="A204" s="55">
        <v>44501</v>
      </c>
      <c r="B204" s="45">
        <v>1260.3744000000011</v>
      </c>
      <c r="C204" s="45">
        <v>0</v>
      </c>
      <c r="D204" s="45">
        <v>1436.8861710988465</v>
      </c>
      <c r="E204" s="45">
        <v>0</v>
      </c>
      <c r="F204" s="45">
        <v>1260.3744000000011</v>
      </c>
      <c r="G204" s="45">
        <v>1436.8861710988465</v>
      </c>
    </row>
    <row r="205" spans="1:7" ht="11.25" customHeight="1" x14ac:dyDescent="0.2">
      <c r="A205" s="55">
        <v>44531</v>
      </c>
      <c r="B205" s="45">
        <v>1235.7216000000017</v>
      </c>
      <c r="C205" s="45">
        <v>0</v>
      </c>
      <c r="D205" s="45">
        <v>1408.7808181189187</v>
      </c>
      <c r="E205" s="45">
        <v>0</v>
      </c>
      <c r="F205" s="45">
        <v>1235.7216000000017</v>
      </c>
      <c r="G205" s="45">
        <v>1408.7808181189187</v>
      </c>
    </row>
    <row r="206" spans="1:7" ht="11.25" customHeight="1" x14ac:dyDescent="0.2">
      <c r="A206" s="55">
        <v>44562</v>
      </c>
      <c r="B206" s="45">
        <v>1038.4992000000016</v>
      </c>
      <c r="C206" s="45">
        <v>0</v>
      </c>
      <c r="D206" s="45">
        <v>1183.9379942794903</v>
      </c>
      <c r="E206" s="45">
        <v>0</v>
      </c>
      <c r="F206" s="45">
        <v>1038.4992000000016</v>
      </c>
      <c r="G206" s="45">
        <v>1183.9379942794903</v>
      </c>
    </row>
    <row r="207" spans="1:7" ht="11.25" customHeight="1" x14ac:dyDescent="0.2">
      <c r="A207" s="55">
        <v>44593</v>
      </c>
      <c r="B207" s="45">
        <v>1073.9376</v>
      </c>
      <c r="C207" s="45">
        <v>0</v>
      </c>
      <c r="D207" s="45">
        <v>1224.3394391881359</v>
      </c>
      <c r="E207" s="45">
        <v>0</v>
      </c>
      <c r="F207" s="45">
        <v>1073.9376</v>
      </c>
      <c r="G207" s="45">
        <v>1224.3394391881359</v>
      </c>
    </row>
    <row r="208" spans="1:7" ht="11.25" customHeight="1" x14ac:dyDescent="0.2">
      <c r="A208" s="55">
        <v>44621</v>
      </c>
      <c r="B208" s="45">
        <v>1070.8559999999984</v>
      </c>
      <c r="C208" s="45">
        <v>0</v>
      </c>
      <c r="D208" s="45">
        <v>1220.826270065643</v>
      </c>
      <c r="E208" s="45">
        <v>0</v>
      </c>
      <c r="F208" s="45">
        <v>1070.8559999999984</v>
      </c>
      <c r="G208" s="45">
        <v>1220.826270065643</v>
      </c>
    </row>
    <row r="209" spans="1:7" ht="11.25" customHeight="1" x14ac:dyDescent="0.2">
      <c r="A209" s="55">
        <v>44652</v>
      </c>
      <c r="B209" s="45">
        <v>1066.2335999999982</v>
      </c>
      <c r="C209" s="45">
        <v>0</v>
      </c>
      <c r="D209" s="45">
        <v>1215.556516381906</v>
      </c>
      <c r="E209" s="45">
        <v>0</v>
      </c>
      <c r="F209" s="45">
        <v>1066.2335999999982</v>
      </c>
      <c r="G209" s="45">
        <v>1215.556516381906</v>
      </c>
    </row>
    <row r="210" spans="1:7" ht="11.25" customHeight="1" x14ac:dyDescent="0.2">
      <c r="A210" s="55">
        <v>44682</v>
      </c>
      <c r="B210" s="45">
        <v>320.48639999999978</v>
      </c>
      <c r="C210" s="45">
        <v>0</v>
      </c>
      <c r="D210" s="45">
        <v>365.36958873907042</v>
      </c>
      <c r="E210" s="45">
        <v>0</v>
      </c>
      <c r="F210" s="45">
        <v>320.48639999999978</v>
      </c>
      <c r="G210" s="45">
        <v>365.36958873907042</v>
      </c>
    </row>
    <row r="211" spans="1:7" ht="11.25" customHeight="1" x14ac:dyDescent="0.2">
      <c r="A211" s="55">
        <v>44713</v>
      </c>
      <c r="B211" s="45">
        <v>1460.6783999999986</v>
      </c>
      <c r="C211" s="45">
        <v>0</v>
      </c>
      <c r="D211" s="45">
        <v>1665.2421640607629</v>
      </c>
      <c r="E211" s="45">
        <v>0</v>
      </c>
      <c r="F211" s="45">
        <v>1460.6783999999986</v>
      </c>
      <c r="G211" s="45">
        <v>1665.2421640607629</v>
      </c>
    </row>
    <row r="212" spans="1:7" ht="11.25" customHeight="1" x14ac:dyDescent="0.2">
      <c r="A212" s="54" t="s">
        <v>37</v>
      </c>
      <c r="B212" s="45">
        <v>0</v>
      </c>
      <c r="C212" s="45">
        <v>435.69250079999938</v>
      </c>
      <c r="D212" s="45">
        <v>0</v>
      </c>
      <c r="E212" s="45">
        <v>461.08183514128018</v>
      </c>
      <c r="F212" s="45">
        <v>435.69250079999938</v>
      </c>
      <c r="G212" s="45">
        <v>461.08183514128018</v>
      </c>
    </row>
    <row r="213" spans="1:7" ht="11.25" customHeight="1" x14ac:dyDescent="0.2">
      <c r="A213" s="55">
        <v>44378</v>
      </c>
      <c r="B213" s="45">
        <v>0</v>
      </c>
      <c r="C213" s="45">
        <v>11.541523199999983</v>
      </c>
      <c r="D213" s="45">
        <v>0</v>
      </c>
      <c r="E213" s="45">
        <v>12.21408834811338</v>
      </c>
      <c r="F213" s="45">
        <v>11.541523199999983</v>
      </c>
      <c r="G213" s="45">
        <v>12.21408834811338</v>
      </c>
    </row>
    <row r="214" spans="1:7" ht="11.25" customHeight="1" x14ac:dyDescent="0.2">
      <c r="A214" s="55">
        <v>44409</v>
      </c>
      <c r="B214" s="45">
        <v>0</v>
      </c>
      <c r="C214" s="45">
        <v>2.5130736000000025</v>
      </c>
      <c r="D214" s="45">
        <v>0</v>
      </c>
      <c r="E214" s="45">
        <v>2.6595192370892109</v>
      </c>
      <c r="F214" s="45">
        <v>2.5130736000000025</v>
      </c>
      <c r="G214" s="45">
        <v>2.6595192370892109</v>
      </c>
    </row>
    <row r="215" spans="1:7" ht="11.25" customHeight="1" x14ac:dyDescent="0.2">
      <c r="A215" s="55">
        <v>44440</v>
      </c>
      <c r="B215" s="45">
        <v>0</v>
      </c>
      <c r="C215" s="45">
        <v>13.589212799999963</v>
      </c>
      <c r="D215" s="45">
        <v>0</v>
      </c>
      <c r="E215" s="45">
        <v>14.381104022778642</v>
      </c>
      <c r="F215" s="45">
        <v>13.589212799999963</v>
      </c>
      <c r="G215" s="45">
        <v>14.381104022778642</v>
      </c>
    </row>
    <row r="216" spans="1:7" ht="11.25" customHeight="1" x14ac:dyDescent="0.2">
      <c r="A216" s="55">
        <v>44470</v>
      </c>
      <c r="B216" s="45">
        <v>0</v>
      </c>
      <c r="C216" s="45">
        <v>14.706134399999982</v>
      </c>
      <c r="D216" s="45">
        <v>0</v>
      </c>
      <c r="E216" s="45">
        <v>15.563112572596088</v>
      </c>
      <c r="F216" s="45">
        <v>14.706134399999982</v>
      </c>
      <c r="G216" s="45">
        <v>15.563112572596088</v>
      </c>
    </row>
    <row r="217" spans="1:7" ht="11.25" customHeight="1" x14ac:dyDescent="0.2">
      <c r="A217" s="55">
        <v>44501</v>
      </c>
      <c r="B217" s="45">
        <v>0</v>
      </c>
      <c r="C217" s="45">
        <v>38.533795199999915</v>
      </c>
      <c r="D217" s="45">
        <v>0</v>
      </c>
      <c r="E217" s="45">
        <v>40.779294968701095</v>
      </c>
      <c r="F217" s="45">
        <v>38.533795199999915</v>
      </c>
      <c r="G217" s="45">
        <v>40.779294968701095</v>
      </c>
    </row>
    <row r="218" spans="1:7" ht="11.25" customHeight="1" x14ac:dyDescent="0.2">
      <c r="A218" s="55">
        <v>44531</v>
      </c>
      <c r="B218" s="45">
        <v>0</v>
      </c>
      <c r="C218" s="45">
        <v>72.320673600000006</v>
      </c>
      <c r="D218" s="45">
        <v>0</v>
      </c>
      <c r="E218" s="45">
        <v>76.53505360067831</v>
      </c>
      <c r="F218" s="45">
        <v>72.320673600000006</v>
      </c>
      <c r="G218" s="45">
        <v>76.53505360067831</v>
      </c>
    </row>
    <row r="219" spans="1:7" ht="11.25" customHeight="1" x14ac:dyDescent="0.2">
      <c r="A219" s="55">
        <v>44562</v>
      </c>
      <c r="B219" s="45">
        <v>0</v>
      </c>
      <c r="C219" s="45">
        <v>22.989969600000002</v>
      </c>
      <c r="D219" s="45">
        <v>0</v>
      </c>
      <c r="E219" s="45">
        <v>24.329675983742014</v>
      </c>
      <c r="F219" s="45">
        <v>22.989969600000002</v>
      </c>
      <c r="G219" s="45">
        <v>24.329675983742014</v>
      </c>
    </row>
    <row r="220" spans="1:7" ht="11.25" customHeight="1" x14ac:dyDescent="0.2">
      <c r="A220" s="55">
        <v>44593</v>
      </c>
      <c r="B220" s="45">
        <v>0</v>
      </c>
      <c r="C220" s="45">
        <v>94.845259199999788</v>
      </c>
      <c r="D220" s="45">
        <v>0</v>
      </c>
      <c r="E220" s="45">
        <v>100.37222602199617</v>
      </c>
      <c r="F220" s="45">
        <v>94.845259199999788</v>
      </c>
      <c r="G220" s="45">
        <v>100.37222602199617</v>
      </c>
    </row>
    <row r="221" spans="1:7" ht="11.25" customHeight="1" x14ac:dyDescent="0.2">
      <c r="A221" s="55">
        <v>44621</v>
      </c>
      <c r="B221" s="45">
        <v>0</v>
      </c>
      <c r="C221" s="45">
        <v>106.66601279999972</v>
      </c>
      <c r="D221" s="45">
        <v>0</v>
      </c>
      <c r="E221" s="45">
        <v>112.88181650756387</v>
      </c>
      <c r="F221" s="45">
        <v>106.66601279999972</v>
      </c>
      <c r="G221" s="45">
        <v>112.88181650756387</v>
      </c>
    </row>
    <row r="222" spans="1:7" ht="11.25" customHeight="1" x14ac:dyDescent="0.2">
      <c r="A222" s="55">
        <v>44652</v>
      </c>
      <c r="B222" s="45">
        <v>0</v>
      </c>
      <c r="C222" s="45">
        <v>43.280712000000015</v>
      </c>
      <c r="D222" s="45">
        <v>0</v>
      </c>
      <c r="E222" s="45">
        <v>45.802831305425265</v>
      </c>
      <c r="F222" s="45">
        <v>43.280712000000015</v>
      </c>
      <c r="G222" s="45">
        <v>45.802831305425265</v>
      </c>
    </row>
    <row r="223" spans="1:7" ht="11.25" customHeight="1" x14ac:dyDescent="0.2">
      <c r="A223" s="55">
        <v>44682</v>
      </c>
      <c r="B223" s="45">
        <v>0</v>
      </c>
      <c r="C223" s="45">
        <v>5.7707615999999913</v>
      </c>
      <c r="D223" s="45">
        <v>0</v>
      </c>
      <c r="E223" s="45">
        <v>6.1070441740566901</v>
      </c>
      <c r="F223" s="45">
        <v>5.7707615999999913</v>
      </c>
      <c r="G223" s="45">
        <v>6.1070441740566901</v>
      </c>
    </row>
    <row r="224" spans="1:7" ht="11.25" customHeight="1" x14ac:dyDescent="0.2">
      <c r="A224" s="55">
        <v>44713</v>
      </c>
      <c r="B224" s="45">
        <v>0</v>
      </c>
      <c r="C224" s="45">
        <v>8.9353727999999926</v>
      </c>
      <c r="D224" s="45">
        <v>0</v>
      </c>
      <c r="E224" s="45">
        <v>9.4560683985393972</v>
      </c>
      <c r="F224" s="45">
        <v>8.9353727999999926</v>
      </c>
      <c r="G224" s="45">
        <v>9.4560683985393972</v>
      </c>
    </row>
    <row r="225" spans="1:7" ht="11.25" customHeight="1" x14ac:dyDescent="0.2">
      <c r="A225" s="51" t="s">
        <v>25</v>
      </c>
      <c r="B225" s="45">
        <v>2095.4880000000021</v>
      </c>
      <c r="C225" s="45">
        <v>5339.4516491999993</v>
      </c>
      <c r="D225" s="45">
        <v>2388.9550032939264</v>
      </c>
      <c r="E225" s="45">
        <v>5614.2192094218663</v>
      </c>
      <c r="F225" s="45">
        <v>7434.9396492000014</v>
      </c>
      <c r="G225" s="45">
        <v>8003.1742127157922</v>
      </c>
    </row>
    <row r="226" spans="1:7" ht="11.25" customHeight="1" x14ac:dyDescent="0.2">
      <c r="A226" s="52" t="s">
        <v>25</v>
      </c>
      <c r="B226" s="45">
        <v>2095.4880000000021</v>
      </c>
      <c r="C226" s="45">
        <v>5339.4516491999993</v>
      </c>
      <c r="D226" s="45">
        <v>2388.9550032939264</v>
      </c>
      <c r="E226" s="45">
        <v>5614.2192094218663</v>
      </c>
      <c r="F226" s="45">
        <v>7434.9396492000014</v>
      </c>
      <c r="G226" s="45">
        <v>8003.1742127157922</v>
      </c>
    </row>
    <row r="227" spans="1:7" ht="11.25" customHeight="1" x14ac:dyDescent="0.2">
      <c r="A227" s="53" t="s">
        <v>25</v>
      </c>
      <c r="B227" s="45">
        <v>2095.4880000000021</v>
      </c>
      <c r="C227" s="45">
        <v>5339.4516491999993</v>
      </c>
      <c r="D227" s="45">
        <v>2388.9550032939264</v>
      </c>
      <c r="E227" s="45">
        <v>5614.2192094218663</v>
      </c>
      <c r="F227" s="45">
        <v>7434.9396492000014</v>
      </c>
      <c r="G227" s="45">
        <v>8003.1742127157922</v>
      </c>
    </row>
    <row r="228" spans="1:7" ht="11.25" customHeight="1" x14ac:dyDescent="0.2">
      <c r="A228" s="54" t="s">
        <v>38</v>
      </c>
      <c r="B228" s="45">
        <v>0</v>
      </c>
      <c r="C228" s="45">
        <v>3235.543662</v>
      </c>
      <c r="D228" s="45">
        <v>0</v>
      </c>
      <c r="E228" s="45">
        <v>3387.7091044157755</v>
      </c>
      <c r="F228" s="45">
        <v>3235.543662</v>
      </c>
      <c r="G228" s="45">
        <v>3387.7091044157755</v>
      </c>
    </row>
    <row r="229" spans="1:7" ht="11.25" customHeight="1" x14ac:dyDescent="0.2">
      <c r="A229" s="55">
        <v>44378</v>
      </c>
      <c r="B229" s="45">
        <v>0</v>
      </c>
      <c r="C229" s="45">
        <v>93.225155599999994</v>
      </c>
      <c r="D229" s="45">
        <v>0</v>
      </c>
      <c r="E229" s="45">
        <v>97.60947197092635</v>
      </c>
      <c r="F229" s="45">
        <v>93.225155599999994</v>
      </c>
      <c r="G229" s="45">
        <v>97.60947197092635</v>
      </c>
    </row>
    <row r="230" spans="1:7" ht="11.25" customHeight="1" x14ac:dyDescent="0.2">
      <c r="A230" s="55">
        <v>44409</v>
      </c>
      <c r="B230" s="45">
        <v>0</v>
      </c>
      <c r="C230" s="45">
        <v>16.155591199999986</v>
      </c>
      <c r="D230" s="45">
        <v>0</v>
      </c>
      <c r="E230" s="45">
        <v>16.915377788976766</v>
      </c>
      <c r="F230" s="45">
        <v>16.155591199999986</v>
      </c>
      <c r="G230" s="45">
        <v>16.915377788976766</v>
      </c>
    </row>
    <row r="231" spans="1:7" ht="11.25" customHeight="1" x14ac:dyDescent="0.2">
      <c r="A231" s="55">
        <v>44440</v>
      </c>
      <c r="B231" s="45">
        <v>0</v>
      </c>
      <c r="C231" s="45">
        <v>33.577189199999935</v>
      </c>
      <c r="D231" s="45">
        <v>0</v>
      </c>
      <c r="E231" s="45">
        <v>35.156301826326846</v>
      </c>
      <c r="F231" s="45">
        <v>33.577189199999935</v>
      </c>
      <c r="G231" s="45">
        <v>35.156301826326846</v>
      </c>
    </row>
    <row r="232" spans="1:7" ht="11.25" customHeight="1" x14ac:dyDescent="0.2">
      <c r="A232" s="55">
        <v>44470</v>
      </c>
      <c r="B232" s="45">
        <v>0</v>
      </c>
      <c r="C232" s="45">
        <v>200.34277519999998</v>
      </c>
      <c r="D232" s="45">
        <v>0</v>
      </c>
      <c r="E232" s="45">
        <v>209.76476118063988</v>
      </c>
      <c r="F232" s="45">
        <v>200.34277519999998</v>
      </c>
      <c r="G232" s="45">
        <v>209.76476118063988</v>
      </c>
    </row>
    <row r="233" spans="1:7" ht="11.25" customHeight="1" x14ac:dyDescent="0.2">
      <c r="A233" s="55">
        <v>44501</v>
      </c>
      <c r="B233" s="45">
        <v>0</v>
      </c>
      <c r="C233" s="45">
        <v>335.14449040000045</v>
      </c>
      <c r="D233" s="45">
        <v>0</v>
      </c>
      <c r="E233" s="45">
        <v>350.90611038796953</v>
      </c>
      <c r="F233" s="45">
        <v>335.14449040000045</v>
      </c>
      <c r="G233" s="45">
        <v>350.90611038796953</v>
      </c>
    </row>
    <row r="234" spans="1:7" ht="11.25" customHeight="1" x14ac:dyDescent="0.2">
      <c r="A234" s="55">
        <v>44531</v>
      </c>
      <c r="B234" s="45">
        <v>0</v>
      </c>
      <c r="C234" s="45">
        <v>397.03317680000089</v>
      </c>
      <c r="D234" s="45">
        <v>0</v>
      </c>
      <c r="E234" s="45">
        <v>415.70538008721257</v>
      </c>
      <c r="F234" s="45">
        <v>397.03317680000089</v>
      </c>
      <c r="G234" s="45">
        <v>415.70538008721257</v>
      </c>
    </row>
    <row r="235" spans="1:7" ht="11.25" customHeight="1" x14ac:dyDescent="0.2">
      <c r="A235" s="55">
        <v>44562</v>
      </c>
      <c r="B235" s="45">
        <v>0</v>
      </c>
      <c r="C235" s="45">
        <v>752.90432719999978</v>
      </c>
      <c r="D235" s="45">
        <v>0</v>
      </c>
      <c r="E235" s="45">
        <v>788.31291135562913</v>
      </c>
      <c r="F235" s="45">
        <v>752.90432719999978</v>
      </c>
      <c r="G235" s="45">
        <v>788.31291135562913</v>
      </c>
    </row>
    <row r="236" spans="1:7" ht="11.25" customHeight="1" x14ac:dyDescent="0.2">
      <c r="A236" s="55">
        <v>44593</v>
      </c>
      <c r="B236" s="45">
        <v>0</v>
      </c>
      <c r="C236" s="45">
        <v>373.72968879999945</v>
      </c>
      <c r="D236" s="45">
        <v>0</v>
      </c>
      <c r="E236" s="45">
        <v>391.30594471892277</v>
      </c>
      <c r="F236" s="45">
        <v>373.72968879999945</v>
      </c>
      <c r="G236" s="45">
        <v>391.30594471892277</v>
      </c>
    </row>
    <row r="237" spans="1:7" ht="11.25" customHeight="1" x14ac:dyDescent="0.2">
      <c r="A237" s="55">
        <v>44621</v>
      </c>
      <c r="B237" s="45">
        <v>0</v>
      </c>
      <c r="C237" s="45">
        <v>348.49918160000038</v>
      </c>
      <c r="D237" s="45">
        <v>0</v>
      </c>
      <c r="E237" s="45">
        <v>364.88886373364232</v>
      </c>
      <c r="F237" s="45">
        <v>348.49918160000038</v>
      </c>
      <c r="G237" s="45">
        <v>364.88886373364232</v>
      </c>
    </row>
    <row r="238" spans="1:7" ht="11.25" customHeight="1" x14ac:dyDescent="0.2">
      <c r="A238" s="55">
        <v>44652</v>
      </c>
      <c r="B238" s="45">
        <v>0</v>
      </c>
      <c r="C238" s="45">
        <v>264.38255279999959</v>
      </c>
      <c r="D238" s="45">
        <v>0</v>
      </c>
      <c r="E238" s="45">
        <v>276.8162864523394</v>
      </c>
      <c r="F238" s="45">
        <v>264.38255279999959</v>
      </c>
      <c r="G238" s="45">
        <v>276.8162864523394</v>
      </c>
    </row>
    <row r="239" spans="1:7" ht="11.25" customHeight="1" x14ac:dyDescent="0.2">
      <c r="A239" s="55">
        <v>44682</v>
      </c>
      <c r="B239" s="45">
        <v>0</v>
      </c>
      <c r="C239" s="45">
        <v>217.99964879999922</v>
      </c>
      <c r="D239" s="45">
        <v>0</v>
      </c>
      <c r="E239" s="45">
        <v>228.25202567122676</v>
      </c>
      <c r="F239" s="45">
        <v>217.99964879999922</v>
      </c>
      <c r="G239" s="45">
        <v>228.25202567122676</v>
      </c>
    </row>
    <row r="240" spans="1:7" ht="11.25" customHeight="1" x14ac:dyDescent="0.2">
      <c r="A240" s="55">
        <v>44713</v>
      </c>
      <c r="B240" s="45">
        <v>0</v>
      </c>
      <c r="C240" s="45">
        <v>202.5498844</v>
      </c>
      <c r="D240" s="45">
        <v>0</v>
      </c>
      <c r="E240" s="45">
        <v>212.07566924196337</v>
      </c>
      <c r="F240" s="45">
        <v>202.5498844</v>
      </c>
      <c r="G240" s="45">
        <v>212.07566924196337</v>
      </c>
    </row>
    <row r="241" spans="1:7" ht="11.25" customHeight="1" x14ac:dyDescent="0.2">
      <c r="A241" s="54" t="s">
        <v>25</v>
      </c>
      <c r="B241" s="45">
        <v>2095.4880000000021</v>
      </c>
      <c r="C241" s="45">
        <v>0</v>
      </c>
      <c r="D241" s="45">
        <v>2388.9550032939264</v>
      </c>
      <c r="E241" s="45">
        <v>0</v>
      </c>
      <c r="F241" s="45">
        <v>2095.4880000000021</v>
      </c>
      <c r="G241" s="45">
        <v>2388.9550032939264</v>
      </c>
    </row>
    <row r="242" spans="1:7" ht="11.25" customHeight="1" x14ac:dyDescent="0.2">
      <c r="A242" s="55">
        <v>44378</v>
      </c>
      <c r="B242" s="45">
        <v>169.48800000000023</v>
      </c>
      <c r="C242" s="45">
        <v>0</v>
      </c>
      <c r="D242" s="45">
        <v>193.2243017370088</v>
      </c>
      <c r="E242" s="45">
        <v>0</v>
      </c>
      <c r="F242" s="45">
        <v>169.48800000000023</v>
      </c>
      <c r="G242" s="45">
        <v>193.2243017370088</v>
      </c>
    </row>
    <row r="243" spans="1:7" ht="11.25" customHeight="1" x14ac:dyDescent="0.2">
      <c r="A243" s="55">
        <v>44409</v>
      </c>
      <c r="B243" s="45">
        <v>169.48800000000023</v>
      </c>
      <c r="C243" s="45">
        <v>0</v>
      </c>
      <c r="D243" s="45">
        <v>193.2243017370088</v>
      </c>
      <c r="E243" s="45">
        <v>0</v>
      </c>
      <c r="F243" s="45">
        <v>169.48800000000023</v>
      </c>
      <c r="G243" s="45">
        <v>193.2243017370088</v>
      </c>
    </row>
    <row r="244" spans="1:7" ht="11.25" customHeight="1" x14ac:dyDescent="0.2">
      <c r="A244" s="55">
        <v>44440</v>
      </c>
      <c r="B244" s="45">
        <v>169.48800000000023</v>
      </c>
      <c r="C244" s="45">
        <v>0</v>
      </c>
      <c r="D244" s="45">
        <v>193.2243017370088</v>
      </c>
      <c r="E244" s="45">
        <v>0</v>
      </c>
      <c r="F244" s="45">
        <v>169.48800000000023</v>
      </c>
      <c r="G244" s="45">
        <v>193.2243017370088</v>
      </c>
    </row>
    <row r="245" spans="1:7" ht="11.25" customHeight="1" x14ac:dyDescent="0.2">
      <c r="A245" s="55">
        <v>44470</v>
      </c>
      <c r="B245" s="45">
        <v>169.48800000000023</v>
      </c>
      <c r="C245" s="45">
        <v>0</v>
      </c>
      <c r="D245" s="45">
        <v>193.2243017370088</v>
      </c>
      <c r="E245" s="45">
        <v>0</v>
      </c>
      <c r="F245" s="45">
        <v>169.48800000000023</v>
      </c>
      <c r="G245" s="45">
        <v>193.2243017370088</v>
      </c>
    </row>
    <row r="246" spans="1:7" ht="11.25" customHeight="1" x14ac:dyDescent="0.2">
      <c r="A246" s="55">
        <v>44501</v>
      </c>
      <c r="B246" s="45">
        <v>183.35520000000022</v>
      </c>
      <c r="C246" s="45">
        <v>0</v>
      </c>
      <c r="D246" s="45">
        <v>209.03356278821857</v>
      </c>
      <c r="E246" s="45">
        <v>0</v>
      </c>
      <c r="F246" s="45">
        <v>183.35520000000022</v>
      </c>
      <c r="G246" s="45">
        <v>209.03356278821857</v>
      </c>
    </row>
    <row r="247" spans="1:7" ht="11.25" customHeight="1" x14ac:dyDescent="0.2">
      <c r="A247" s="55">
        <v>44531</v>
      </c>
      <c r="B247" s="45">
        <v>178.73280000000003</v>
      </c>
      <c r="C247" s="45">
        <v>0</v>
      </c>
      <c r="D247" s="45">
        <v>203.76380910448177</v>
      </c>
      <c r="E247" s="45">
        <v>0</v>
      </c>
      <c r="F247" s="45">
        <v>178.73280000000003</v>
      </c>
      <c r="G247" s="45">
        <v>203.76380910448177</v>
      </c>
    </row>
    <row r="248" spans="1:7" ht="11.25" customHeight="1" x14ac:dyDescent="0.2">
      <c r="A248" s="55">
        <v>44562</v>
      </c>
      <c r="B248" s="45">
        <v>183.35520000000022</v>
      </c>
      <c r="C248" s="45">
        <v>0</v>
      </c>
      <c r="D248" s="45">
        <v>209.03356278821857</v>
      </c>
      <c r="E248" s="45">
        <v>0</v>
      </c>
      <c r="F248" s="45">
        <v>183.35520000000022</v>
      </c>
      <c r="G248" s="45">
        <v>209.03356278821857</v>
      </c>
    </row>
    <row r="249" spans="1:7" ht="11.25" customHeight="1" x14ac:dyDescent="0.2">
      <c r="A249" s="55">
        <v>44593</v>
      </c>
      <c r="B249" s="45">
        <v>180.27360000000027</v>
      </c>
      <c r="C249" s="45">
        <v>0</v>
      </c>
      <c r="D249" s="45">
        <v>205.52039366572757</v>
      </c>
      <c r="E249" s="45">
        <v>0</v>
      </c>
      <c r="F249" s="45">
        <v>180.27360000000027</v>
      </c>
      <c r="G249" s="45">
        <v>205.52039366572757</v>
      </c>
    </row>
    <row r="250" spans="1:7" ht="11.25" customHeight="1" x14ac:dyDescent="0.2">
      <c r="A250" s="55">
        <v>44621</v>
      </c>
      <c r="B250" s="45">
        <v>181.81439999999998</v>
      </c>
      <c r="C250" s="45">
        <v>0</v>
      </c>
      <c r="D250" s="45">
        <v>207.27697822697274</v>
      </c>
      <c r="E250" s="45">
        <v>0</v>
      </c>
      <c r="F250" s="45">
        <v>181.81439999999998</v>
      </c>
      <c r="G250" s="45">
        <v>207.27697822697274</v>
      </c>
    </row>
    <row r="251" spans="1:7" ht="11.25" customHeight="1" x14ac:dyDescent="0.2">
      <c r="A251" s="55">
        <v>44652</v>
      </c>
      <c r="B251" s="45">
        <v>171.02879999999993</v>
      </c>
      <c r="C251" s="45">
        <v>0</v>
      </c>
      <c r="D251" s="45">
        <v>194.98088629825398</v>
      </c>
      <c r="E251" s="45">
        <v>0</v>
      </c>
      <c r="F251" s="45">
        <v>171.02879999999993</v>
      </c>
      <c r="G251" s="45">
        <v>194.98088629825398</v>
      </c>
    </row>
    <row r="252" spans="1:7" ht="11.25" customHeight="1" x14ac:dyDescent="0.2">
      <c r="A252" s="55">
        <v>44682</v>
      </c>
      <c r="B252" s="45">
        <v>169.48800000000023</v>
      </c>
      <c r="C252" s="45">
        <v>0</v>
      </c>
      <c r="D252" s="45">
        <v>193.2243017370088</v>
      </c>
      <c r="E252" s="45">
        <v>0</v>
      </c>
      <c r="F252" s="45">
        <v>169.48800000000023</v>
      </c>
      <c r="G252" s="45">
        <v>193.2243017370088</v>
      </c>
    </row>
    <row r="253" spans="1:7" ht="11.25" customHeight="1" x14ac:dyDescent="0.2">
      <c r="A253" s="55">
        <v>44713</v>
      </c>
      <c r="B253" s="45">
        <v>169.48800000000023</v>
      </c>
      <c r="C253" s="45">
        <v>0</v>
      </c>
      <c r="D253" s="45">
        <v>193.2243017370088</v>
      </c>
      <c r="E253" s="45">
        <v>0</v>
      </c>
      <c r="F253" s="45">
        <v>169.48800000000023</v>
      </c>
      <c r="G253" s="45">
        <v>193.2243017370088</v>
      </c>
    </row>
    <row r="254" spans="1:7" ht="11.25" customHeight="1" x14ac:dyDescent="0.2">
      <c r="A254" s="54" t="s">
        <v>37</v>
      </c>
      <c r="B254" s="45">
        <v>0</v>
      </c>
      <c r="C254" s="45">
        <v>2103.9079872000002</v>
      </c>
      <c r="D254" s="45">
        <v>0</v>
      </c>
      <c r="E254" s="45">
        <v>2226.5101050060912</v>
      </c>
      <c r="F254" s="45">
        <v>2103.9079872000002</v>
      </c>
      <c r="G254" s="45">
        <v>2226.5101050060912</v>
      </c>
    </row>
    <row r="255" spans="1:7" ht="11.25" customHeight="1" x14ac:dyDescent="0.2">
      <c r="A255" s="55">
        <v>44378</v>
      </c>
      <c r="B255" s="45">
        <v>0</v>
      </c>
      <c r="C255" s="45">
        <v>56.497617599999927</v>
      </c>
      <c r="D255" s="45">
        <v>0</v>
      </c>
      <c r="E255" s="45">
        <v>59.78993247826471</v>
      </c>
      <c r="F255" s="45">
        <v>56.497617599999927</v>
      </c>
      <c r="G255" s="45">
        <v>59.78993247826471</v>
      </c>
    </row>
    <row r="256" spans="1:7" ht="11.25" customHeight="1" x14ac:dyDescent="0.2">
      <c r="A256" s="55">
        <v>44409</v>
      </c>
      <c r="B256" s="45">
        <v>0</v>
      </c>
      <c r="C256" s="45">
        <v>17.963822400000009</v>
      </c>
      <c r="D256" s="45">
        <v>0</v>
      </c>
      <c r="E256" s="45">
        <v>19.010637509563612</v>
      </c>
      <c r="F256" s="45">
        <v>17.963822400000009</v>
      </c>
      <c r="G256" s="45">
        <v>19.010637509563612</v>
      </c>
    </row>
    <row r="257" spans="1:7" ht="11.25" customHeight="1" x14ac:dyDescent="0.2">
      <c r="A257" s="55">
        <v>44440</v>
      </c>
      <c r="B257" s="45">
        <v>0</v>
      </c>
      <c r="C257" s="45">
        <v>29.226115200000038</v>
      </c>
      <c r="D257" s="45">
        <v>0</v>
      </c>
      <c r="E257" s="45">
        <v>30.92922372022268</v>
      </c>
      <c r="F257" s="45">
        <v>29.226115200000038</v>
      </c>
      <c r="G257" s="45">
        <v>30.92922372022268</v>
      </c>
    </row>
    <row r="258" spans="1:7" ht="11.25" customHeight="1" x14ac:dyDescent="0.2">
      <c r="A258" s="55">
        <v>44470</v>
      </c>
      <c r="B258" s="45">
        <v>0</v>
      </c>
      <c r="C258" s="45">
        <v>115.97369280000025</v>
      </c>
      <c r="D258" s="45">
        <v>0</v>
      </c>
      <c r="E258" s="45">
        <v>122.73188775604297</v>
      </c>
      <c r="F258" s="45">
        <v>115.97369280000025</v>
      </c>
      <c r="G258" s="45">
        <v>122.73188775604297</v>
      </c>
    </row>
    <row r="259" spans="1:7" ht="11.25" customHeight="1" x14ac:dyDescent="0.2">
      <c r="A259" s="55">
        <v>44501</v>
      </c>
      <c r="B259" s="45">
        <v>0</v>
      </c>
      <c r="C259" s="45">
        <v>243.48890880000067</v>
      </c>
      <c r="D259" s="45">
        <v>0</v>
      </c>
      <c r="E259" s="45">
        <v>257.67786386019952</v>
      </c>
      <c r="F259" s="45">
        <v>243.48890880000067</v>
      </c>
      <c r="G259" s="45">
        <v>257.67786386019952</v>
      </c>
    </row>
    <row r="260" spans="1:7" ht="11.25" customHeight="1" x14ac:dyDescent="0.2">
      <c r="A260" s="55">
        <v>44531</v>
      </c>
      <c r="B260" s="45">
        <v>0</v>
      </c>
      <c r="C260" s="45">
        <v>328.18879679999964</v>
      </c>
      <c r="D260" s="45">
        <v>0</v>
      </c>
      <c r="E260" s="45">
        <v>347.31351222135322</v>
      </c>
      <c r="F260" s="45">
        <v>328.18879679999964</v>
      </c>
      <c r="G260" s="45">
        <v>347.31351222135322</v>
      </c>
    </row>
    <row r="261" spans="1:7" ht="11.25" customHeight="1" x14ac:dyDescent="0.2">
      <c r="A261" s="55">
        <v>44562</v>
      </c>
      <c r="B261" s="45">
        <v>0</v>
      </c>
      <c r="C261" s="45">
        <v>354.0641471999997</v>
      </c>
      <c r="D261" s="45">
        <v>0</v>
      </c>
      <c r="E261" s="45">
        <v>374.69671029212361</v>
      </c>
      <c r="F261" s="45">
        <v>354.0641471999997</v>
      </c>
      <c r="G261" s="45">
        <v>374.69671029212361</v>
      </c>
    </row>
    <row r="262" spans="1:7" ht="11.25" customHeight="1" x14ac:dyDescent="0.2">
      <c r="A262" s="55">
        <v>44593</v>
      </c>
      <c r="B262" s="45">
        <v>0</v>
      </c>
      <c r="C262" s="45">
        <v>286.86269759999965</v>
      </c>
      <c r="D262" s="45">
        <v>0</v>
      </c>
      <c r="E262" s="45">
        <v>303.57919587810846</v>
      </c>
      <c r="F262" s="45">
        <v>286.86269759999965</v>
      </c>
      <c r="G262" s="45">
        <v>303.57919587810846</v>
      </c>
    </row>
    <row r="263" spans="1:7" ht="11.25" customHeight="1" x14ac:dyDescent="0.2">
      <c r="A263" s="55">
        <v>44621</v>
      </c>
      <c r="B263" s="45">
        <v>0</v>
      </c>
      <c r="C263" s="45">
        <v>257.0781215999998</v>
      </c>
      <c r="D263" s="45">
        <v>0</v>
      </c>
      <c r="E263" s="45">
        <v>272.0589678829773</v>
      </c>
      <c r="F263" s="45">
        <v>257.0781215999998</v>
      </c>
      <c r="G263" s="45">
        <v>272.0589678829773</v>
      </c>
    </row>
    <row r="264" spans="1:7" ht="11.25" customHeight="1" x14ac:dyDescent="0.2">
      <c r="A264" s="55">
        <v>44652</v>
      </c>
      <c r="B264" s="45">
        <v>0</v>
      </c>
      <c r="C264" s="45">
        <v>161.67440160000049</v>
      </c>
      <c r="D264" s="45">
        <v>0</v>
      </c>
      <c r="E264" s="45">
        <v>171.09573758607289</v>
      </c>
      <c r="F264" s="45">
        <v>161.67440160000049</v>
      </c>
      <c r="G264" s="45">
        <v>171.09573758607289</v>
      </c>
    </row>
    <row r="265" spans="1:7" ht="11.25" customHeight="1" x14ac:dyDescent="0.2">
      <c r="A265" s="55">
        <v>44682</v>
      </c>
      <c r="B265" s="45">
        <v>0</v>
      </c>
      <c r="C265" s="45">
        <v>133.00674720000023</v>
      </c>
      <c r="D265" s="45">
        <v>0</v>
      </c>
      <c r="E265" s="45">
        <v>140.75751814075869</v>
      </c>
      <c r="F265" s="45">
        <v>133.00674720000023</v>
      </c>
      <c r="G265" s="45">
        <v>140.75751814075869</v>
      </c>
    </row>
    <row r="266" spans="1:7" ht="11.25" customHeight="1" x14ac:dyDescent="0.2">
      <c r="A266" s="55">
        <v>44713</v>
      </c>
      <c r="B266" s="45">
        <v>0</v>
      </c>
      <c r="C266" s="45">
        <v>119.88291840000004</v>
      </c>
      <c r="D266" s="45">
        <v>0</v>
      </c>
      <c r="E266" s="45">
        <v>126.86891768040373</v>
      </c>
      <c r="F266" s="45">
        <v>119.88291840000004</v>
      </c>
      <c r="G266" s="45">
        <v>126.86891768040373</v>
      </c>
    </row>
    <row r="267" spans="1:7" ht="11.25" customHeight="1" x14ac:dyDescent="0.2">
      <c r="A267" s="48" t="s">
        <v>41</v>
      </c>
      <c r="B267" s="45">
        <v>0</v>
      </c>
      <c r="C267" s="45">
        <v>1771344.8711399983</v>
      </c>
      <c r="D267" s="45">
        <v>0</v>
      </c>
      <c r="E267" s="45">
        <v>964431.46959313564</v>
      </c>
      <c r="F267" s="45">
        <v>1771344.8711399985</v>
      </c>
      <c r="G267" s="45">
        <v>964431.46959313587</v>
      </c>
    </row>
    <row r="268" spans="1:7" ht="11.25" customHeight="1" x14ac:dyDescent="0.2">
      <c r="A268" s="49" t="s">
        <v>23</v>
      </c>
      <c r="B268" s="45">
        <v>0</v>
      </c>
      <c r="C268" s="45">
        <v>1771344.8711399983</v>
      </c>
      <c r="D268" s="45">
        <v>0</v>
      </c>
      <c r="E268" s="45">
        <v>964431.46959313564</v>
      </c>
      <c r="F268" s="45">
        <v>1771344.8711399985</v>
      </c>
      <c r="G268" s="45">
        <v>964431.46959313587</v>
      </c>
    </row>
    <row r="269" spans="1:7" ht="11.25" customHeight="1" x14ac:dyDescent="0.2">
      <c r="A269" s="50" t="s">
        <v>42</v>
      </c>
      <c r="B269" s="45">
        <v>0</v>
      </c>
      <c r="C269" s="45">
        <v>1771344.8711399983</v>
      </c>
      <c r="D269" s="45">
        <v>0</v>
      </c>
      <c r="E269" s="45">
        <v>964431.46959313564</v>
      </c>
      <c r="F269" s="45">
        <v>1771344.8711399985</v>
      </c>
      <c r="G269" s="45">
        <v>964431.46959313587</v>
      </c>
    </row>
    <row r="270" spans="1:7" ht="11.25" customHeight="1" x14ac:dyDescent="0.2">
      <c r="A270" s="51" t="s">
        <v>49</v>
      </c>
      <c r="B270" s="45">
        <v>0</v>
      </c>
      <c r="C270" s="45">
        <v>15017.675159999984</v>
      </c>
      <c r="D270" s="45">
        <v>0</v>
      </c>
      <c r="E270" s="45">
        <v>8165.1196254368433</v>
      </c>
      <c r="F270" s="45">
        <v>15017.675159999982</v>
      </c>
      <c r="G270" s="45">
        <v>8165.1196254368442</v>
      </c>
    </row>
    <row r="271" spans="1:7" ht="11.25" customHeight="1" x14ac:dyDescent="0.2">
      <c r="A271" s="52" t="s">
        <v>50</v>
      </c>
      <c r="B271" s="45">
        <v>0</v>
      </c>
      <c r="C271" s="45">
        <v>14905.351079999986</v>
      </c>
      <c r="D271" s="45">
        <v>0</v>
      </c>
      <c r="E271" s="45">
        <v>8115.5070108138361</v>
      </c>
      <c r="F271" s="45">
        <v>14905.351079999984</v>
      </c>
      <c r="G271" s="45">
        <v>8115.507010813837</v>
      </c>
    </row>
    <row r="272" spans="1:7" ht="11.25" customHeight="1" x14ac:dyDescent="0.2">
      <c r="A272" s="53" t="s">
        <v>25</v>
      </c>
      <c r="B272" s="45">
        <v>0</v>
      </c>
      <c r="C272" s="45">
        <v>14905.351079999986</v>
      </c>
      <c r="D272" s="45">
        <v>0</v>
      </c>
      <c r="E272" s="45">
        <v>8115.5070108138361</v>
      </c>
      <c r="F272" s="45">
        <v>14905.351079999984</v>
      </c>
      <c r="G272" s="45">
        <v>8115.507010813837</v>
      </c>
    </row>
    <row r="273" spans="1:7" ht="11.25" customHeight="1" x14ac:dyDescent="0.2">
      <c r="A273" s="54" t="s">
        <v>25</v>
      </c>
      <c r="B273" s="45">
        <v>0</v>
      </c>
      <c r="C273" s="45">
        <v>14905.351079999986</v>
      </c>
      <c r="D273" s="45">
        <v>0</v>
      </c>
      <c r="E273" s="45">
        <v>8115.5070108138361</v>
      </c>
      <c r="F273" s="45">
        <v>14905.351079999984</v>
      </c>
      <c r="G273" s="45">
        <v>8115.507010813837</v>
      </c>
    </row>
    <row r="274" spans="1:7" ht="11.25" customHeight="1" x14ac:dyDescent="0.2">
      <c r="A274" s="55">
        <v>44378</v>
      </c>
      <c r="B274" s="45">
        <v>0</v>
      </c>
      <c r="C274" s="45">
        <v>200.73527999999982</v>
      </c>
      <c r="D274" s="45">
        <v>0</v>
      </c>
      <c r="E274" s="45">
        <v>109.29421007355963</v>
      </c>
      <c r="F274" s="45">
        <v>200.73527999999982</v>
      </c>
      <c r="G274" s="45">
        <v>109.29421007355963</v>
      </c>
    </row>
    <row r="275" spans="1:7" ht="11.25" customHeight="1" x14ac:dyDescent="0.2">
      <c r="A275" s="55">
        <v>44409</v>
      </c>
      <c r="B275" s="45">
        <v>0</v>
      </c>
      <c r="C275" s="45">
        <v>307.40741999999972</v>
      </c>
      <c r="D275" s="45">
        <v>0</v>
      </c>
      <c r="E275" s="45">
        <v>167.37392221063965</v>
      </c>
      <c r="F275" s="45">
        <v>307.40741999999972</v>
      </c>
      <c r="G275" s="45">
        <v>167.37392221063965</v>
      </c>
    </row>
    <row r="276" spans="1:7" ht="11.25" customHeight="1" x14ac:dyDescent="0.2">
      <c r="A276" s="55">
        <v>44440</v>
      </c>
      <c r="B276" s="45">
        <v>0</v>
      </c>
      <c r="C276" s="45">
        <v>301.94351999999969</v>
      </c>
      <c r="D276" s="45">
        <v>0</v>
      </c>
      <c r="E276" s="45">
        <v>164.39899605704611</v>
      </c>
      <c r="F276" s="45">
        <v>301.94351999999969</v>
      </c>
      <c r="G276" s="45">
        <v>164.39899605704611</v>
      </c>
    </row>
    <row r="277" spans="1:7" ht="11.25" customHeight="1" x14ac:dyDescent="0.2">
      <c r="A277" s="55">
        <v>44470</v>
      </c>
      <c r="B277" s="45">
        <v>0</v>
      </c>
      <c r="C277" s="45">
        <v>204.5179799999998</v>
      </c>
      <c r="D277" s="45">
        <v>0</v>
      </c>
      <c r="E277" s="45">
        <v>111.35377433373975</v>
      </c>
      <c r="F277" s="45">
        <v>204.5179799999998</v>
      </c>
      <c r="G277" s="45">
        <v>111.35377433373975</v>
      </c>
    </row>
    <row r="278" spans="1:7" ht="11.25" customHeight="1" x14ac:dyDescent="0.2">
      <c r="A278" s="55">
        <v>44501</v>
      </c>
      <c r="B278" s="45">
        <v>0</v>
      </c>
      <c r="C278" s="45">
        <v>1878.7409999999979</v>
      </c>
      <c r="D278" s="45">
        <v>0</v>
      </c>
      <c r="E278" s="45">
        <v>1022.9169158894711</v>
      </c>
      <c r="F278" s="45">
        <v>1878.7409999999979</v>
      </c>
      <c r="G278" s="45">
        <v>1022.9169158894711</v>
      </c>
    </row>
    <row r="279" spans="1:7" ht="11.25" customHeight="1" x14ac:dyDescent="0.2">
      <c r="A279" s="55">
        <v>44531</v>
      </c>
      <c r="B279" s="45">
        <v>0</v>
      </c>
      <c r="C279" s="45">
        <v>4623.6362399999953</v>
      </c>
      <c r="D279" s="45">
        <v>0</v>
      </c>
      <c r="E279" s="45">
        <v>2517.4282792655245</v>
      </c>
      <c r="F279" s="45">
        <v>4623.6362399999953</v>
      </c>
      <c r="G279" s="45">
        <v>2517.4282792655245</v>
      </c>
    </row>
    <row r="280" spans="1:7" ht="11.25" customHeight="1" x14ac:dyDescent="0.2">
      <c r="A280" s="55">
        <v>44562</v>
      </c>
      <c r="B280" s="45">
        <v>0</v>
      </c>
      <c r="C280" s="45">
        <v>3271.5311399999973</v>
      </c>
      <c r="D280" s="45">
        <v>0</v>
      </c>
      <c r="E280" s="45">
        <v>1781.2484764878002</v>
      </c>
      <c r="F280" s="45">
        <v>3271.5311399999973</v>
      </c>
      <c r="G280" s="45">
        <v>1781.2484764878002</v>
      </c>
    </row>
    <row r="281" spans="1:7" ht="11.25" customHeight="1" x14ac:dyDescent="0.2">
      <c r="A281" s="55">
        <v>44593</v>
      </c>
      <c r="B281" s="45">
        <v>0</v>
      </c>
      <c r="C281" s="45">
        <v>2663.7773399999974</v>
      </c>
      <c r="D281" s="45">
        <v>0</v>
      </c>
      <c r="E281" s="45">
        <v>1450.3451520188569</v>
      </c>
      <c r="F281" s="45">
        <v>2663.7773399999974</v>
      </c>
      <c r="G281" s="45">
        <v>1450.3451520188569</v>
      </c>
    </row>
    <row r="282" spans="1:7" ht="11.25" customHeight="1" x14ac:dyDescent="0.2">
      <c r="A282" s="55">
        <v>44621</v>
      </c>
      <c r="B282" s="45">
        <v>0</v>
      </c>
      <c r="C282" s="45">
        <v>3526.3169999999964</v>
      </c>
      <c r="D282" s="45">
        <v>0</v>
      </c>
      <c r="E282" s="45">
        <v>1919.9715714346003</v>
      </c>
      <c r="F282" s="45">
        <v>3526.3169999999964</v>
      </c>
      <c r="G282" s="45">
        <v>1919.9715714346003</v>
      </c>
    </row>
    <row r="283" spans="1:7" ht="11.25" customHeight="1" x14ac:dyDescent="0.2">
      <c r="A283" s="55">
        <v>44652</v>
      </c>
      <c r="B283" s="45">
        <v>0</v>
      </c>
      <c r="C283" s="45">
        <v>-2413.0263599999976</v>
      </c>
      <c r="D283" s="45">
        <v>0</v>
      </c>
      <c r="E283" s="45">
        <v>-1313.8189256162489</v>
      </c>
      <c r="F283" s="45">
        <v>-2413.0263599999976</v>
      </c>
      <c r="G283" s="45">
        <v>-1313.8189256162489</v>
      </c>
    </row>
    <row r="284" spans="1:7" ht="11.25" customHeight="1" x14ac:dyDescent="0.2">
      <c r="A284" s="55">
        <v>44682</v>
      </c>
      <c r="B284" s="45">
        <v>0</v>
      </c>
      <c r="C284" s="45">
        <v>168.79247999999984</v>
      </c>
      <c r="D284" s="45">
        <v>0</v>
      </c>
      <c r="E284" s="45">
        <v>91.902334098705069</v>
      </c>
      <c r="F284" s="45">
        <v>168.79247999999984</v>
      </c>
      <c r="G284" s="45">
        <v>91.902334098705069</v>
      </c>
    </row>
    <row r="285" spans="1:7" ht="11.25" customHeight="1" x14ac:dyDescent="0.2">
      <c r="A285" s="55">
        <v>44713</v>
      </c>
      <c r="B285" s="45">
        <v>0</v>
      </c>
      <c r="C285" s="45">
        <v>170.97803999999985</v>
      </c>
      <c r="D285" s="45">
        <v>0</v>
      </c>
      <c r="E285" s="45">
        <v>93.09230456014248</v>
      </c>
      <c r="F285" s="45">
        <v>170.97803999999985</v>
      </c>
      <c r="G285" s="45">
        <v>93.09230456014248</v>
      </c>
    </row>
    <row r="286" spans="1:7" ht="11.25" customHeight="1" x14ac:dyDescent="0.2">
      <c r="A286" s="52" t="s">
        <v>51</v>
      </c>
      <c r="B286" s="45">
        <v>0</v>
      </c>
      <c r="C286" s="45">
        <v>112.32407999999991</v>
      </c>
      <c r="D286" s="45">
        <v>0</v>
      </c>
      <c r="E286" s="45">
        <v>49.612614623006124</v>
      </c>
      <c r="F286" s="45">
        <v>112.32407999999991</v>
      </c>
      <c r="G286" s="45">
        <v>49.612614623006124</v>
      </c>
    </row>
    <row r="287" spans="1:7" ht="11.25" customHeight="1" x14ac:dyDescent="0.2">
      <c r="A287" s="53" t="s">
        <v>25</v>
      </c>
      <c r="B287" s="45">
        <v>0</v>
      </c>
      <c r="C287" s="45">
        <v>112.32407999999991</v>
      </c>
      <c r="D287" s="45">
        <v>0</v>
      </c>
      <c r="E287" s="45">
        <v>49.612614623006124</v>
      </c>
      <c r="F287" s="45">
        <v>112.32407999999991</v>
      </c>
      <c r="G287" s="45">
        <v>49.612614623006124</v>
      </c>
    </row>
    <row r="288" spans="1:7" ht="11.25" customHeight="1" x14ac:dyDescent="0.2">
      <c r="A288" s="54" t="s">
        <v>25</v>
      </c>
      <c r="B288" s="45">
        <v>0</v>
      </c>
      <c r="C288" s="45">
        <v>112.32407999999991</v>
      </c>
      <c r="D288" s="45">
        <v>0</v>
      </c>
      <c r="E288" s="45">
        <v>49.612614623006124</v>
      </c>
      <c r="F288" s="45">
        <v>112.32407999999991</v>
      </c>
      <c r="G288" s="45">
        <v>49.612614623006124</v>
      </c>
    </row>
    <row r="289" spans="1:7" ht="11.25" customHeight="1" x14ac:dyDescent="0.2">
      <c r="A289" s="55">
        <v>44470</v>
      </c>
      <c r="B289" s="45">
        <v>0</v>
      </c>
      <c r="C289" s="45">
        <v>0.41447999999999968</v>
      </c>
      <c r="D289" s="45">
        <v>0</v>
      </c>
      <c r="E289" s="45">
        <v>0.18307237868267942</v>
      </c>
      <c r="F289" s="45">
        <v>0.41447999999999968</v>
      </c>
      <c r="G289" s="45">
        <v>0.18307237868267942</v>
      </c>
    </row>
    <row r="290" spans="1:7" ht="11.25" customHeight="1" x14ac:dyDescent="0.2">
      <c r="A290" s="55">
        <v>44501</v>
      </c>
      <c r="B290" s="45">
        <v>0</v>
      </c>
      <c r="C290" s="45">
        <v>6.8389199999999946</v>
      </c>
      <c r="D290" s="45">
        <v>0</v>
      </c>
      <c r="E290" s="45">
        <v>3.0206942482642103</v>
      </c>
      <c r="F290" s="45">
        <v>6.8389199999999946</v>
      </c>
      <c r="G290" s="45">
        <v>3.0206942482642103</v>
      </c>
    </row>
    <row r="291" spans="1:7" ht="11.25" customHeight="1" x14ac:dyDescent="0.2">
      <c r="A291" s="55">
        <v>44531</v>
      </c>
      <c r="B291" s="45">
        <v>0</v>
      </c>
      <c r="C291" s="45">
        <v>13.056119999999989</v>
      </c>
      <c r="D291" s="45">
        <v>0</v>
      </c>
      <c r="E291" s="45">
        <v>5.7667799285044019</v>
      </c>
      <c r="F291" s="45">
        <v>13.056119999999989</v>
      </c>
      <c r="G291" s="45">
        <v>5.7667799285044019</v>
      </c>
    </row>
    <row r="292" spans="1:7" ht="11.25" customHeight="1" x14ac:dyDescent="0.2">
      <c r="A292" s="55">
        <v>44562</v>
      </c>
      <c r="B292" s="45">
        <v>0</v>
      </c>
      <c r="C292" s="45">
        <v>90.045779999999922</v>
      </c>
      <c r="D292" s="45">
        <v>0</v>
      </c>
      <c r="E292" s="45">
        <v>39.772474268812104</v>
      </c>
      <c r="F292" s="45">
        <v>90.045779999999922</v>
      </c>
      <c r="G292" s="45">
        <v>39.772474268812104</v>
      </c>
    </row>
    <row r="293" spans="1:7" ht="11.25" customHeight="1" x14ac:dyDescent="0.2">
      <c r="A293" s="55">
        <v>44682</v>
      </c>
      <c r="B293" s="45">
        <v>0</v>
      </c>
      <c r="C293" s="45">
        <v>1.9687799999999984</v>
      </c>
      <c r="D293" s="45">
        <v>0</v>
      </c>
      <c r="E293" s="45">
        <v>0.86959379874272724</v>
      </c>
      <c r="F293" s="45">
        <v>1.9687799999999984</v>
      </c>
      <c r="G293" s="45">
        <v>0.86959379874272724</v>
      </c>
    </row>
    <row r="294" spans="1:7" ht="11.25" customHeight="1" x14ac:dyDescent="0.2">
      <c r="A294" s="51" t="s">
        <v>52</v>
      </c>
      <c r="B294" s="45">
        <v>0</v>
      </c>
      <c r="C294" s="45">
        <v>1008.299699999999</v>
      </c>
      <c r="D294" s="45">
        <v>0</v>
      </c>
      <c r="E294" s="45">
        <v>548.98829557468491</v>
      </c>
      <c r="F294" s="45">
        <v>1008.299699999999</v>
      </c>
      <c r="G294" s="45">
        <v>548.98829557468491</v>
      </c>
    </row>
    <row r="295" spans="1:7" ht="11.25" customHeight="1" x14ac:dyDescent="0.2">
      <c r="A295" s="52" t="s">
        <v>50</v>
      </c>
      <c r="B295" s="45">
        <v>0</v>
      </c>
      <c r="C295" s="45">
        <v>1008.299699999999</v>
      </c>
      <c r="D295" s="45">
        <v>0</v>
      </c>
      <c r="E295" s="45">
        <v>548.98829557468491</v>
      </c>
      <c r="F295" s="45">
        <v>1008.299699999999</v>
      </c>
      <c r="G295" s="45">
        <v>548.98829557468491</v>
      </c>
    </row>
    <row r="296" spans="1:7" ht="11.25" customHeight="1" x14ac:dyDescent="0.2">
      <c r="A296" s="53" t="s">
        <v>25</v>
      </c>
      <c r="B296" s="45">
        <v>0</v>
      </c>
      <c r="C296" s="45">
        <v>1008.299699999999</v>
      </c>
      <c r="D296" s="45">
        <v>0</v>
      </c>
      <c r="E296" s="45">
        <v>548.98829557468491</v>
      </c>
      <c r="F296" s="45">
        <v>1008.299699999999</v>
      </c>
      <c r="G296" s="45">
        <v>548.98829557468491</v>
      </c>
    </row>
    <row r="297" spans="1:7" ht="11.25" customHeight="1" x14ac:dyDescent="0.2">
      <c r="A297" s="54" t="s">
        <v>25</v>
      </c>
      <c r="B297" s="45">
        <v>0</v>
      </c>
      <c r="C297" s="45">
        <v>1008.299699999999</v>
      </c>
      <c r="D297" s="45">
        <v>0</v>
      </c>
      <c r="E297" s="45">
        <v>548.98829557468491</v>
      </c>
      <c r="F297" s="45">
        <v>1008.299699999999</v>
      </c>
      <c r="G297" s="45">
        <v>548.98829557468491</v>
      </c>
    </row>
    <row r="298" spans="1:7" ht="11.25" customHeight="1" x14ac:dyDescent="0.2">
      <c r="A298" s="55">
        <v>44378</v>
      </c>
      <c r="B298" s="45">
        <v>0</v>
      </c>
      <c r="C298" s="45">
        <v>182.74643999999981</v>
      </c>
      <c r="D298" s="45">
        <v>0</v>
      </c>
      <c r="E298" s="45">
        <v>99.499837814036255</v>
      </c>
      <c r="F298" s="45">
        <v>182.74643999999981</v>
      </c>
      <c r="G298" s="45">
        <v>99.499837814036255</v>
      </c>
    </row>
    <row r="299" spans="1:7" ht="11.25" customHeight="1" x14ac:dyDescent="0.2">
      <c r="A299" s="55">
        <v>44409</v>
      </c>
      <c r="B299" s="45">
        <v>0</v>
      </c>
      <c r="C299" s="45">
        <v>89.523899999999912</v>
      </c>
      <c r="D299" s="45">
        <v>0</v>
      </c>
      <c r="E299" s="45">
        <v>48.74302082426339</v>
      </c>
      <c r="F299" s="45">
        <v>89.523899999999912</v>
      </c>
      <c r="G299" s="45">
        <v>48.74302082426339</v>
      </c>
    </row>
    <row r="300" spans="1:7" ht="11.25" customHeight="1" x14ac:dyDescent="0.2">
      <c r="A300" s="55">
        <v>44440</v>
      </c>
      <c r="B300" s="45">
        <v>0</v>
      </c>
      <c r="C300" s="45">
        <v>27.655739999999973</v>
      </c>
      <c r="D300" s="45">
        <v>0</v>
      </c>
      <c r="E300" s="45">
        <v>15.057703146650383</v>
      </c>
      <c r="F300" s="45">
        <v>27.655739999999973</v>
      </c>
      <c r="G300" s="45">
        <v>15.057703146650383</v>
      </c>
    </row>
    <row r="301" spans="1:7" ht="11.25" customHeight="1" x14ac:dyDescent="0.2">
      <c r="A301" s="55">
        <v>44470</v>
      </c>
      <c r="B301" s="45">
        <v>0</v>
      </c>
      <c r="C301" s="45">
        <v>49.427279999999946</v>
      </c>
      <c r="D301" s="45">
        <v>0</v>
      </c>
      <c r="E301" s="45">
        <v>26.911639666353871</v>
      </c>
      <c r="F301" s="45">
        <v>49.427279999999946</v>
      </c>
      <c r="G301" s="45">
        <v>26.911639666353871</v>
      </c>
    </row>
    <row r="302" spans="1:7" ht="11.25" customHeight="1" x14ac:dyDescent="0.2">
      <c r="A302" s="55">
        <v>44501</v>
      </c>
      <c r="B302" s="45">
        <v>0</v>
      </c>
      <c r="C302" s="45">
        <v>74.224979999999931</v>
      </c>
      <c r="D302" s="45">
        <v>0</v>
      </c>
      <c r="E302" s="45">
        <v>40.41322759420148</v>
      </c>
      <c r="F302" s="45">
        <v>74.224979999999931</v>
      </c>
      <c r="G302" s="45">
        <v>40.41322759420148</v>
      </c>
    </row>
    <row r="303" spans="1:7" ht="11.25" customHeight="1" x14ac:dyDescent="0.2">
      <c r="A303" s="55">
        <v>44531</v>
      </c>
      <c r="B303" s="45">
        <v>0</v>
      </c>
      <c r="C303" s="45">
        <v>59.93477999999994</v>
      </c>
      <c r="D303" s="45">
        <v>0</v>
      </c>
      <c r="E303" s="45">
        <v>32.632651500187606</v>
      </c>
      <c r="F303" s="45">
        <v>59.93477999999994</v>
      </c>
      <c r="G303" s="45">
        <v>32.632651500187606</v>
      </c>
    </row>
    <row r="304" spans="1:7" ht="11.25" customHeight="1" x14ac:dyDescent="0.2">
      <c r="A304" s="55">
        <v>44562</v>
      </c>
      <c r="B304" s="45">
        <v>0</v>
      </c>
      <c r="C304" s="45">
        <v>154.67039999999986</v>
      </c>
      <c r="D304" s="45">
        <v>0</v>
      </c>
      <c r="E304" s="45">
        <v>84.213294194032528</v>
      </c>
      <c r="F304" s="45">
        <v>154.67039999999986</v>
      </c>
      <c r="G304" s="45">
        <v>84.213294194032528</v>
      </c>
    </row>
    <row r="305" spans="1:7" ht="11.25" customHeight="1" x14ac:dyDescent="0.2">
      <c r="A305" s="55">
        <v>44593</v>
      </c>
      <c r="B305" s="45">
        <v>0</v>
      </c>
      <c r="C305" s="45">
        <v>132.89885999999987</v>
      </c>
      <c r="D305" s="45">
        <v>0</v>
      </c>
      <c r="E305" s="45">
        <v>72.359357674329033</v>
      </c>
      <c r="F305" s="45">
        <v>132.89885999999987</v>
      </c>
      <c r="G305" s="45">
        <v>72.359357674329033</v>
      </c>
    </row>
    <row r="306" spans="1:7" ht="11.25" customHeight="1" x14ac:dyDescent="0.2">
      <c r="A306" s="55">
        <v>44621</v>
      </c>
      <c r="B306" s="45">
        <v>0</v>
      </c>
      <c r="C306" s="45">
        <v>127.18277999999987</v>
      </c>
      <c r="D306" s="45">
        <v>0</v>
      </c>
      <c r="E306" s="45">
        <v>69.247127236723486</v>
      </c>
      <c r="F306" s="45">
        <v>127.18277999999987</v>
      </c>
      <c r="G306" s="45">
        <v>69.247127236723486</v>
      </c>
    </row>
    <row r="307" spans="1:7" ht="11.25" customHeight="1" x14ac:dyDescent="0.2">
      <c r="A307" s="55">
        <v>44652</v>
      </c>
      <c r="B307" s="45">
        <v>0</v>
      </c>
      <c r="C307" s="45">
        <v>74.645279999999929</v>
      </c>
      <c r="D307" s="45">
        <v>0</v>
      </c>
      <c r="E307" s="45">
        <v>40.642068067554831</v>
      </c>
      <c r="F307" s="45">
        <v>74.645279999999929</v>
      </c>
      <c r="G307" s="45">
        <v>40.642068067554831</v>
      </c>
    </row>
    <row r="308" spans="1:7" ht="11.25" customHeight="1" x14ac:dyDescent="0.2">
      <c r="A308" s="55">
        <v>44682</v>
      </c>
      <c r="B308" s="45">
        <v>0</v>
      </c>
      <c r="C308" s="45">
        <v>7.9856999999999925</v>
      </c>
      <c r="D308" s="45">
        <v>0</v>
      </c>
      <c r="E308" s="45">
        <v>4.3479689937136365</v>
      </c>
      <c r="F308" s="45">
        <v>7.9856999999999925</v>
      </c>
      <c r="G308" s="45">
        <v>4.3479689937136365</v>
      </c>
    </row>
    <row r="309" spans="1:7" ht="11.25" customHeight="1" x14ac:dyDescent="0.2">
      <c r="A309" s="55">
        <v>44713</v>
      </c>
      <c r="B309" s="45">
        <v>0</v>
      </c>
      <c r="C309" s="45">
        <v>27.403559999999974</v>
      </c>
      <c r="D309" s="45">
        <v>0</v>
      </c>
      <c r="E309" s="45">
        <v>14.920398862638374</v>
      </c>
      <c r="F309" s="45">
        <v>27.403559999999974</v>
      </c>
      <c r="G309" s="45">
        <v>14.920398862638374</v>
      </c>
    </row>
    <row r="310" spans="1:7" ht="11.25" customHeight="1" x14ac:dyDescent="0.2">
      <c r="A310" s="51" t="s">
        <v>25</v>
      </c>
      <c r="B310" s="45">
        <v>0</v>
      </c>
      <c r="C310" s="45">
        <v>1755318.8962799984</v>
      </c>
      <c r="D310" s="45">
        <v>0</v>
      </c>
      <c r="E310" s="45">
        <v>955717.36167212413</v>
      </c>
      <c r="F310" s="45">
        <v>1755318.8962799986</v>
      </c>
      <c r="G310" s="45">
        <v>955717.36167212436</v>
      </c>
    </row>
    <row r="311" spans="1:7" ht="11.25" customHeight="1" x14ac:dyDescent="0.2">
      <c r="A311" s="52" t="s">
        <v>25</v>
      </c>
      <c r="B311" s="45">
        <v>0</v>
      </c>
      <c r="C311" s="45">
        <v>1755318.8962799984</v>
      </c>
      <c r="D311" s="45">
        <v>0</v>
      </c>
      <c r="E311" s="45">
        <v>955717.36167212413</v>
      </c>
      <c r="F311" s="45">
        <v>1755318.8962799986</v>
      </c>
      <c r="G311" s="45">
        <v>955717.36167212436</v>
      </c>
    </row>
    <row r="312" spans="1:7" ht="11.25" customHeight="1" x14ac:dyDescent="0.2">
      <c r="A312" s="53" t="s">
        <v>25</v>
      </c>
      <c r="B312" s="45">
        <v>0</v>
      </c>
      <c r="C312" s="45">
        <v>1755318.8962799984</v>
      </c>
      <c r="D312" s="45">
        <v>0</v>
      </c>
      <c r="E312" s="45">
        <v>955717.36167212413</v>
      </c>
      <c r="F312" s="45">
        <v>1755318.8962799986</v>
      </c>
      <c r="G312" s="45">
        <v>955717.36167212436</v>
      </c>
    </row>
    <row r="313" spans="1:7" ht="11.25" customHeight="1" x14ac:dyDescent="0.2">
      <c r="A313" s="54" t="s">
        <v>25</v>
      </c>
      <c r="B313" s="45">
        <v>0</v>
      </c>
      <c r="C313" s="45">
        <v>1755318.8962799984</v>
      </c>
      <c r="D313" s="45">
        <v>0</v>
      </c>
      <c r="E313" s="45">
        <v>955717.36167212413</v>
      </c>
      <c r="F313" s="45">
        <v>1755318.8962799986</v>
      </c>
      <c r="G313" s="45">
        <v>955717.36167212436</v>
      </c>
    </row>
    <row r="314" spans="1:7" ht="11.25" customHeight="1" x14ac:dyDescent="0.2">
      <c r="A314" s="55">
        <v>44378</v>
      </c>
      <c r="B314" s="45">
        <v>0</v>
      </c>
      <c r="C314" s="45">
        <v>134376.46667999987</v>
      </c>
      <c r="D314" s="45">
        <v>0</v>
      </c>
      <c r="E314" s="45">
        <v>73163.869242450077</v>
      </c>
      <c r="F314" s="45">
        <v>134376.46667999987</v>
      </c>
      <c r="G314" s="45">
        <v>73163.869242450077</v>
      </c>
    </row>
    <row r="315" spans="1:7" ht="11.25" customHeight="1" x14ac:dyDescent="0.2">
      <c r="A315" s="55">
        <v>44409</v>
      </c>
      <c r="B315" s="45">
        <v>0</v>
      </c>
      <c r="C315" s="45">
        <v>130599.48275999987</v>
      </c>
      <c r="D315" s="45">
        <v>0</v>
      </c>
      <c r="E315" s="45">
        <v>71107.417212707529</v>
      </c>
      <c r="F315" s="45">
        <v>130599.48275999987</v>
      </c>
      <c r="G315" s="45">
        <v>71107.417212707529</v>
      </c>
    </row>
    <row r="316" spans="1:7" ht="11.25" customHeight="1" x14ac:dyDescent="0.2">
      <c r="A316" s="55">
        <v>44440</v>
      </c>
      <c r="B316" s="45">
        <v>0</v>
      </c>
      <c r="C316" s="45">
        <v>139377.11201999985</v>
      </c>
      <c r="D316" s="45">
        <v>0</v>
      </c>
      <c r="E316" s="45">
        <v>75886.567426313559</v>
      </c>
      <c r="F316" s="45">
        <v>139377.11201999985</v>
      </c>
      <c r="G316" s="45">
        <v>75886.567426313559</v>
      </c>
    </row>
    <row r="317" spans="1:7" ht="11.25" customHeight="1" x14ac:dyDescent="0.2">
      <c r="A317" s="55">
        <v>44470</v>
      </c>
      <c r="B317" s="45">
        <v>0</v>
      </c>
      <c r="C317" s="45">
        <v>138680.59085999985</v>
      </c>
      <c r="D317" s="45">
        <v>0</v>
      </c>
      <c r="E317" s="45">
        <v>75507.332993872376</v>
      </c>
      <c r="F317" s="45">
        <v>138680.59085999985</v>
      </c>
      <c r="G317" s="45">
        <v>75507.332993872376</v>
      </c>
    </row>
    <row r="318" spans="1:7" ht="11.25" customHeight="1" x14ac:dyDescent="0.2">
      <c r="A318" s="55">
        <v>44501</v>
      </c>
      <c r="B318" s="45">
        <v>0</v>
      </c>
      <c r="C318" s="45">
        <v>144055.97567999983</v>
      </c>
      <c r="D318" s="45">
        <v>0</v>
      </c>
      <c r="E318" s="45">
        <v>78434.065343777707</v>
      </c>
      <c r="F318" s="45">
        <v>144055.97567999983</v>
      </c>
      <c r="G318" s="45">
        <v>78434.065343777707</v>
      </c>
    </row>
    <row r="319" spans="1:7" ht="11.25" customHeight="1" x14ac:dyDescent="0.2">
      <c r="A319" s="55">
        <v>44531</v>
      </c>
      <c r="B319" s="45">
        <v>0</v>
      </c>
      <c r="C319" s="45">
        <v>152415.57455999983</v>
      </c>
      <c r="D319" s="45">
        <v>0</v>
      </c>
      <c r="E319" s="45">
        <v>82985.610822586474</v>
      </c>
      <c r="F319" s="45">
        <v>152415.57455999983</v>
      </c>
      <c r="G319" s="45">
        <v>82985.610822586474</v>
      </c>
    </row>
    <row r="320" spans="1:7" ht="11.25" customHeight="1" x14ac:dyDescent="0.2">
      <c r="A320" s="55">
        <v>44562</v>
      </c>
      <c r="B320" s="45">
        <v>0</v>
      </c>
      <c r="C320" s="45">
        <v>165317.85989999984</v>
      </c>
      <c r="D320" s="45">
        <v>0</v>
      </c>
      <c r="E320" s="45">
        <v>90010.509905492916</v>
      </c>
      <c r="F320" s="45">
        <v>165317.85989999984</v>
      </c>
      <c r="G320" s="45">
        <v>90010.509905492916</v>
      </c>
    </row>
    <row r="321" spans="1:7" ht="11.25" customHeight="1" x14ac:dyDescent="0.2">
      <c r="A321" s="55">
        <v>44593</v>
      </c>
      <c r="B321" s="45">
        <v>0</v>
      </c>
      <c r="C321" s="45">
        <v>166231.67615999983</v>
      </c>
      <c r="D321" s="45">
        <v>0</v>
      </c>
      <c r="E321" s="45">
        <v>90508.05486265778</v>
      </c>
      <c r="F321" s="45">
        <v>166231.67615999983</v>
      </c>
      <c r="G321" s="45">
        <v>90508.05486265778</v>
      </c>
    </row>
    <row r="322" spans="1:7" ht="11.25" customHeight="1" x14ac:dyDescent="0.2">
      <c r="A322" s="55">
        <v>44621</v>
      </c>
      <c r="B322" s="45">
        <v>0</v>
      </c>
      <c r="C322" s="45">
        <v>159103.80845999985</v>
      </c>
      <c r="D322" s="45">
        <v>0</v>
      </c>
      <c r="E322" s="45">
        <v>86627.149275058327</v>
      </c>
      <c r="F322" s="45">
        <v>159103.80845999985</v>
      </c>
      <c r="G322" s="45">
        <v>86627.149275058327</v>
      </c>
    </row>
    <row r="323" spans="1:7" ht="11.25" customHeight="1" x14ac:dyDescent="0.2">
      <c r="A323" s="55">
        <v>44652</v>
      </c>
      <c r="B323" s="45">
        <v>0</v>
      </c>
      <c r="C323" s="45">
        <v>142985.55563999986</v>
      </c>
      <c r="D323" s="45">
        <v>0</v>
      </c>
      <c r="E323" s="45">
        <v>77851.254426241387</v>
      </c>
      <c r="F323" s="45">
        <v>142985.55563999986</v>
      </c>
      <c r="G323" s="45">
        <v>77851.254426241387</v>
      </c>
    </row>
    <row r="324" spans="1:7" ht="11.25" customHeight="1" x14ac:dyDescent="0.2">
      <c r="A324" s="55">
        <v>44682</v>
      </c>
      <c r="B324" s="45">
        <v>0</v>
      </c>
      <c r="C324" s="45">
        <v>138867.37217999986</v>
      </c>
      <c r="D324" s="45">
        <v>0</v>
      </c>
      <c r="E324" s="45">
        <v>75609.029700230603</v>
      </c>
      <c r="F324" s="45">
        <v>138867.37217999986</v>
      </c>
      <c r="G324" s="45">
        <v>75609.029700230603</v>
      </c>
    </row>
    <row r="325" spans="1:7" ht="11.25" customHeight="1" x14ac:dyDescent="0.2">
      <c r="A325" s="55">
        <v>44713</v>
      </c>
      <c r="B325" s="45">
        <v>0</v>
      </c>
      <c r="C325" s="45">
        <v>143307.42137999987</v>
      </c>
      <c r="D325" s="45">
        <v>0</v>
      </c>
      <c r="E325" s="45">
        <v>78026.500460735377</v>
      </c>
      <c r="F325" s="45">
        <v>143307.42137999987</v>
      </c>
      <c r="G325" s="45">
        <v>78026.500460735377</v>
      </c>
    </row>
    <row r="326" spans="1:7" ht="11.25" customHeight="1" x14ac:dyDescent="0.2">
      <c r="A326" s="47" t="s">
        <v>598</v>
      </c>
      <c r="B326" s="45">
        <v>0</v>
      </c>
      <c r="C326" s="45">
        <v>0</v>
      </c>
      <c r="D326" s="45">
        <v>0</v>
      </c>
      <c r="E326" s="45">
        <v>0</v>
      </c>
      <c r="F326" s="45">
        <v>0</v>
      </c>
      <c r="G326" s="45">
        <v>0</v>
      </c>
    </row>
    <row r="327" spans="1:7" ht="11.25" customHeight="1" x14ac:dyDescent="0.2">
      <c r="A327" s="48" t="s">
        <v>22</v>
      </c>
      <c r="B327" s="45">
        <v>0</v>
      </c>
      <c r="C327" s="45">
        <v>0</v>
      </c>
      <c r="D327" s="45">
        <v>0</v>
      </c>
      <c r="E327" s="45">
        <v>0</v>
      </c>
      <c r="F327" s="45">
        <v>0</v>
      </c>
      <c r="G327" s="45">
        <v>0</v>
      </c>
    </row>
    <row r="328" spans="1:7" ht="11.25" customHeight="1" x14ac:dyDescent="0.2">
      <c r="A328" s="49" t="s">
        <v>23</v>
      </c>
      <c r="B328" s="45">
        <v>0</v>
      </c>
      <c r="C328" s="45">
        <v>0</v>
      </c>
      <c r="D328" s="45">
        <v>0</v>
      </c>
      <c r="E328" s="45">
        <v>0</v>
      </c>
      <c r="F328" s="45">
        <v>0</v>
      </c>
      <c r="G328" s="45">
        <v>0</v>
      </c>
    </row>
    <row r="329" spans="1:7" ht="11.25" customHeight="1" x14ac:dyDescent="0.2">
      <c r="A329" s="50" t="s">
        <v>24</v>
      </c>
      <c r="B329" s="45">
        <v>0</v>
      </c>
      <c r="C329" s="45">
        <v>0</v>
      </c>
      <c r="D329" s="45">
        <v>0</v>
      </c>
      <c r="E329" s="45">
        <v>0</v>
      </c>
      <c r="F329" s="45">
        <v>0</v>
      </c>
      <c r="G329" s="45">
        <v>0</v>
      </c>
    </row>
    <row r="330" spans="1:7" ht="11.25" customHeight="1" x14ac:dyDescent="0.2">
      <c r="A330" s="51" t="s">
        <v>24</v>
      </c>
      <c r="B330" s="45">
        <v>0</v>
      </c>
      <c r="C330" s="45">
        <v>0</v>
      </c>
      <c r="D330" s="45">
        <v>0</v>
      </c>
      <c r="E330" s="45">
        <v>0</v>
      </c>
      <c r="F330" s="45">
        <v>0</v>
      </c>
      <c r="G330" s="45">
        <v>0</v>
      </c>
    </row>
    <row r="331" spans="1:7" ht="11.25" customHeight="1" x14ac:dyDescent="0.2">
      <c r="A331" s="52" t="s">
        <v>25</v>
      </c>
      <c r="B331" s="45">
        <v>0</v>
      </c>
      <c r="C331" s="45">
        <v>0</v>
      </c>
      <c r="D331" s="45">
        <v>0</v>
      </c>
      <c r="E331" s="45">
        <v>0</v>
      </c>
      <c r="F331" s="45">
        <v>0</v>
      </c>
      <c r="G331" s="45">
        <v>0</v>
      </c>
    </row>
    <row r="332" spans="1:7" ht="11.25" customHeight="1" x14ac:dyDescent="0.2">
      <c r="A332" s="53" t="s">
        <v>25</v>
      </c>
      <c r="B332" s="45">
        <v>0</v>
      </c>
      <c r="C332" s="45">
        <v>0</v>
      </c>
      <c r="D332" s="45">
        <v>0</v>
      </c>
      <c r="E332" s="45">
        <v>0</v>
      </c>
      <c r="F332" s="45">
        <v>0</v>
      </c>
      <c r="G332" s="45">
        <v>0</v>
      </c>
    </row>
    <row r="333" spans="1:7" ht="11.25" customHeight="1" x14ac:dyDescent="0.2">
      <c r="A333" s="54" t="s">
        <v>25</v>
      </c>
      <c r="B333" s="45">
        <v>0</v>
      </c>
      <c r="C333" s="45">
        <v>0</v>
      </c>
      <c r="D333" s="45">
        <v>0</v>
      </c>
      <c r="E333" s="45">
        <v>0</v>
      </c>
      <c r="F333" s="45">
        <v>0</v>
      </c>
      <c r="G333" s="45">
        <v>0</v>
      </c>
    </row>
    <row r="334" spans="1:7" ht="11.25" customHeight="1" x14ac:dyDescent="0.2">
      <c r="A334" s="55">
        <v>44378</v>
      </c>
      <c r="B334" s="45">
        <v>0</v>
      </c>
      <c r="C334" s="45">
        <v>0</v>
      </c>
      <c r="D334" s="45">
        <v>0</v>
      </c>
      <c r="E334" s="45">
        <v>0</v>
      </c>
      <c r="F334" s="45">
        <v>0</v>
      </c>
      <c r="G334" s="45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E8F5-F512-4555-A46A-D0D1ECBB82FD}">
  <dimension ref="A1:V35"/>
  <sheetViews>
    <sheetView showGridLines="0" workbookViewId="0">
      <selection sqref="A1:J1"/>
    </sheetView>
  </sheetViews>
  <sheetFormatPr defaultRowHeight="11.25" customHeight="1" x14ac:dyDescent="0.25"/>
  <cols>
    <col min="1" max="1" width="9.28515625" style="8" bestFit="1" customWidth="1"/>
    <col min="2" max="2" width="11.140625" style="8" bestFit="1" customWidth="1"/>
    <col min="3" max="3" width="10.28515625" style="8" bestFit="1" customWidth="1"/>
    <col min="4" max="4" width="6.28515625" style="8" bestFit="1" customWidth="1"/>
    <col min="5" max="10" width="7.7109375" style="8" customWidth="1"/>
    <col min="11" max="12" width="9.140625" style="8"/>
    <col min="13" max="13" width="14.28515625" style="8" customWidth="1"/>
    <col min="14" max="14" width="16.7109375" style="8" customWidth="1"/>
    <col min="15" max="15" width="31.7109375" style="8" customWidth="1"/>
    <col min="16" max="22" width="7.7109375" style="8" customWidth="1"/>
    <col min="23" max="16384" width="9.140625" style="8"/>
  </cols>
  <sheetData>
    <row r="1" spans="1:22" ht="11.25" customHeight="1" x14ac:dyDescent="0.25">
      <c r="A1" s="98" t="s">
        <v>662</v>
      </c>
      <c r="B1" s="127"/>
      <c r="C1" s="127"/>
      <c r="D1" s="127"/>
      <c r="E1" s="127"/>
      <c r="F1" s="127"/>
      <c r="G1" s="127"/>
      <c r="H1" s="127"/>
      <c r="I1" s="127"/>
      <c r="J1" s="127"/>
      <c r="L1" s="98" t="s">
        <v>672</v>
      </c>
      <c r="M1" s="99"/>
      <c r="N1" s="99"/>
      <c r="O1" s="99"/>
      <c r="P1" s="99"/>
      <c r="Q1" s="99"/>
      <c r="R1" s="99"/>
      <c r="S1" s="99"/>
      <c r="T1" s="99"/>
      <c r="U1" s="99"/>
      <c r="V1" s="99"/>
    </row>
    <row r="2" spans="1:22" ht="11.25" customHeight="1" x14ac:dyDescent="0.25">
      <c r="A2" s="119" t="s">
        <v>63</v>
      </c>
      <c r="B2" s="119" t="s">
        <v>64</v>
      </c>
      <c r="C2" s="119" t="s">
        <v>663</v>
      </c>
      <c r="D2" s="119" t="s">
        <v>69</v>
      </c>
      <c r="E2" s="119" t="s">
        <v>664</v>
      </c>
      <c r="F2" s="125"/>
      <c r="G2" s="125"/>
      <c r="H2" s="119" t="s">
        <v>429</v>
      </c>
      <c r="I2" s="125"/>
      <c r="J2" s="125"/>
      <c r="L2" s="119" t="s">
        <v>63</v>
      </c>
      <c r="M2" s="119" t="s">
        <v>64</v>
      </c>
      <c r="N2" s="119" t="s">
        <v>65</v>
      </c>
      <c r="O2" s="119" t="s">
        <v>66</v>
      </c>
      <c r="P2" s="119" t="s">
        <v>69</v>
      </c>
      <c r="Q2" s="119" t="s">
        <v>664</v>
      </c>
      <c r="R2" s="126"/>
      <c r="S2" s="126"/>
      <c r="T2" s="119" t="s">
        <v>429</v>
      </c>
      <c r="U2" s="126"/>
      <c r="V2" s="126"/>
    </row>
    <row r="3" spans="1:22" ht="11.25" customHeight="1" x14ac:dyDescent="0.25">
      <c r="A3" s="125"/>
      <c r="B3" s="125"/>
      <c r="C3" s="125"/>
      <c r="D3" s="125"/>
      <c r="E3" s="119" t="s">
        <v>387</v>
      </c>
      <c r="F3" s="125"/>
      <c r="G3" s="36" t="s">
        <v>415</v>
      </c>
      <c r="H3" s="119" t="s">
        <v>387</v>
      </c>
      <c r="I3" s="125"/>
      <c r="J3" s="36" t="s">
        <v>415</v>
      </c>
      <c r="L3" s="126"/>
      <c r="M3" s="126"/>
      <c r="N3" s="126"/>
      <c r="O3" s="126"/>
      <c r="P3" s="126"/>
      <c r="Q3" s="119" t="s">
        <v>387</v>
      </c>
      <c r="R3" s="126"/>
      <c r="S3" s="36" t="s">
        <v>415</v>
      </c>
      <c r="T3" s="119" t="s">
        <v>387</v>
      </c>
      <c r="U3" s="126"/>
      <c r="V3" s="36" t="s">
        <v>415</v>
      </c>
    </row>
    <row r="4" spans="1:22" ht="11.25" customHeight="1" x14ac:dyDescent="0.25">
      <c r="A4" s="125"/>
      <c r="B4" s="125"/>
      <c r="C4" s="125"/>
      <c r="D4" s="125"/>
      <c r="E4" s="36" t="s">
        <v>665</v>
      </c>
      <c r="F4" s="36" t="s">
        <v>666</v>
      </c>
      <c r="G4" s="36" t="s">
        <v>666</v>
      </c>
      <c r="H4" s="36" t="s">
        <v>665</v>
      </c>
      <c r="I4" s="36" t="s">
        <v>666</v>
      </c>
      <c r="J4" s="36" t="s">
        <v>666</v>
      </c>
      <c r="L4" s="126"/>
      <c r="M4" s="126"/>
      <c r="N4" s="126"/>
      <c r="O4" s="126"/>
      <c r="P4" s="126"/>
      <c r="Q4" s="36" t="s">
        <v>665</v>
      </c>
      <c r="R4" s="36" t="s">
        <v>666</v>
      </c>
      <c r="S4" s="36" t="s">
        <v>666</v>
      </c>
      <c r="T4" s="36" t="s">
        <v>665</v>
      </c>
      <c r="U4" s="36" t="s">
        <v>666</v>
      </c>
      <c r="V4" s="36" t="s">
        <v>666</v>
      </c>
    </row>
    <row r="5" spans="1:22" ht="11.25" customHeight="1" x14ac:dyDescent="0.25">
      <c r="A5" s="124" t="s">
        <v>35</v>
      </c>
      <c r="B5" s="124" t="s">
        <v>36</v>
      </c>
      <c r="C5" s="124" t="s">
        <v>25</v>
      </c>
      <c r="D5" s="37" t="s">
        <v>667</v>
      </c>
      <c r="E5" s="35">
        <f ca="1">ROUND('TUSD BE'!$AM$5+'TUSD BF'!$AM$5+'TUSD CVA'!$AM$5,2)</f>
        <v>90.96</v>
      </c>
      <c r="F5" s="35">
        <f ca="1">ROUND('TUSD BE'!$AM$7+'TUSD BF'!$AM$7+'TUSD CVA'!$AM$7,2)</f>
        <v>96.69</v>
      </c>
      <c r="G5" s="35">
        <f>ROUND('TE BE'!$AB$5+'TE BF'!$AB$5+'TE CVA'!$AB$5,2)</f>
        <v>196.57</v>
      </c>
      <c r="H5" s="35">
        <f ca="1">ROUND('TUSD BE'!$AM$5,2)</f>
        <v>120.37</v>
      </c>
      <c r="I5" s="35">
        <f ca="1">ROUND('TUSD BE'!$AM$7,2)</f>
        <v>96.28</v>
      </c>
      <c r="J5" s="35">
        <f>ROUND('TE BE'!$AB$5,2)</f>
        <v>181.23</v>
      </c>
      <c r="L5" s="121" t="s">
        <v>22</v>
      </c>
      <c r="M5" s="121" t="s">
        <v>673</v>
      </c>
      <c r="N5" s="121" t="s">
        <v>674</v>
      </c>
      <c r="O5" s="121" t="s">
        <v>674</v>
      </c>
      <c r="P5" s="37" t="s">
        <v>667</v>
      </c>
      <c r="Q5" s="35">
        <v>0</v>
      </c>
      <c r="R5" s="35">
        <f ca="1">ROUND('TUSD BE'!$AM$17+'TUSD BF'!$AM$17+'TUSD CVA'!$AM$17,2)</f>
        <v>1480.15</v>
      </c>
      <c r="S5" s="35">
        <f>ROUND('TE BE'!$AB$8+'TE BF'!$AB$8+'TE CVA'!$AB$8,2)</f>
        <v>196.57</v>
      </c>
      <c r="T5" s="35">
        <v>0</v>
      </c>
      <c r="U5" s="35">
        <f ca="1">ROUND('TUSD BE'!$AM$17,2)</f>
        <v>2048.64</v>
      </c>
      <c r="V5" s="35">
        <f>ROUND('TE BE'!$AB$8,2)</f>
        <v>181.23</v>
      </c>
    </row>
    <row r="6" spans="1:22" ht="11.25" customHeight="1" x14ac:dyDescent="0.25">
      <c r="A6" s="125"/>
      <c r="B6" s="125"/>
      <c r="C6" s="125"/>
      <c r="D6" s="37" t="s">
        <v>668</v>
      </c>
      <c r="E6" s="35">
        <f ca="1">ROUND('TUSD BE'!$AM$6+'TUSD BF'!$AM$6+'TUSD CVA'!$AM$6,2)</f>
        <v>44.26</v>
      </c>
      <c r="F6" s="35">
        <f ca="1">ROUND('TUSD BE'!$AM$7+'TUSD BF'!$AM$7+'TUSD CVA'!$AM$7,2)</f>
        <v>96.69</v>
      </c>
      <c r="G6" s="35">
        <f>ROUND('TE BE'!$AB$6+'TE BF'!$AB$6+'TE CVA'!$AB$6,2)</f>
        <v>196.57</v>
      </c>
      <c r="H6" s="35">
        <f ca="1">ROUND('TUSD BE'!$AM$6,2)</f>
        <v>57.34</v>
      </c>
      <c r="I6" s="35">
        <f ca="1">ROUND('TUSD BE'!$AM$7,2)</f>
        <v>96.28</v>
      </c>
      <c r="J6" s="35">
        <f>ROUND('TE BE'!$AB$6,2)</f>
        <v>181.23</v>
      </c>
      <c r="L6" s="122"/>
      <c r="M6" s="122"/>
      <c r="N6" s="122"/>
      <c r="O6" s="122"/>
      <c r="P6" s="37" t="s">
        <v>675</v>
      </c>
      <c r="Q6" s="35">
        <v>0</v>
      </c>
      <c r="R6" s="35">
        <f ca="1">ROUND('TUSD BE'!$AM$18+'TUSD BF'!$AM$18+'TUSD CVA'!$AM$18,2)</f>
        <v>943.25</v>
      </c>
      <c r="S6" s="35">
        <f>ROUND('TE BE'!$AB$9+'TE BF'!$AB$9+'TE CVA'!$AB$9,2)</f>
        <v>196.57</v>
      </c>
      <c r="T6" s="35">
        <v>0</v>
      </c>
      <c r="U6" s="35">
        <f ca="1">ROUND('TUSD BE'!$AM$18,2)</f>
        <v>1283.4100000000001</v>
      </c>
      <c r="V6" s="35">
        <f>ROUND('TE BE'!$AB$9,2)</f>
        <v>181.23</v>
      </c>
    </row>
    <row r="7" spans="1:22" ht="11.25" customHeight="1" x14ac:dyDescent="0.25">
      <c r="A7" s="125"/>
      <c r="B7" s="124" t="s">
        <v>669</v>
      </c>
      <c r="C7" s="124" t="s">
        <v>25</v>
      </c>
      <c r="D7" s="37" t="s">
        <v>667</v>
      </c>
      <c r="E7" s="35">
        <f ca="1">ROUND('TUSD BE'!$AM$5+'TUSD BF'!$AM$5+'TUSD CVA'!$AM$5,2)</f>
        <v>90.96</v>
      </c>
      <c r="F7" s="35">
        <f ca="1">ROUND('TUSD BE'!$AM$8+'TUSD BF'!$AM$8+'TUSD CVA'!$AM$8,2)</f>
        <v>6.99</v>
      </c>
      <c r="G7" s="35">
        <v>0</v>
      </c>
      <c r="H7" s="35">
        <f ca="1">ROUND('TUSD BE'!$AM$5,2)</f>
        <v>120.37</v>
      </c>
      <c r="I7" s="35">
        <f ca="1">ROUND('TUSD BE'!$AM$8,2)</f>
        <v>6.54</v>
      </c>
      <c r="J7" s="35">
        <v>0</v>
      </c>
      <c r="L7" s="122"/>
      <c r="M7" s="123"/>
      <c r="N7" s="123"/>
      <c r="O7" s="123"/>
      <c r="P7" s="37" t="s">
        <v>668</v>
      </c>
      <c r="Q7" s="35">
        <v>0</v>
      </c>
      <c r="R7" s="35">
        <f ca="1">ROUND('TUSD BE'!$AM$19+'TUSD BF'!$AM$19+'TUSD CVA'!$AM$19,2)</f>
        <v>406.35</v>
      </c>
      <c r="S7" s="35">
        <f>ROUND('TE BE'!$AB$10+'TE BF'!$AB$10+'TE CVA'!$AB$10,2)</f>
        <v>196.57</v>
      </c>
      <c r="T7" s="35">
        <v>0</v>
      </c>
      <c r="U7" s="35">
        <f ca="1">ROUND('TUSD BE'!$AM$19,2)</f>
        <v>518.16999999999996</v>
      </c>
      <c r="V7" s="35">
        <f>ROUND('TE BE'!$AB$10,2)</f>
        <v>181.23</v>
      </c>
    </row>
    <row r="8" spans="1:22" ht="11.25" customHeight="1" x14ac:dyDescent="0.25">
      <c r="A8" s="125"/>
      <c r="B8" s="125"/>
      <c r="C8" s="125"/>
      <c r="D8" s="37" t="s">
        <v>668</v>
      </c>
      <c r="E8" s="35">
        <f ca="1">ROUND('TUSD BE'!$AM$6+'TUSD BF'!$AM$6+'TUSD CVA'!$AM$6,2)</f>
        <v>44.26</v>
      </c>
      <c r="F8" s="35">
        <f ca="1">ROUND('TUSD BE'!$AM$8+'TUSD BF'!$AM$8+'TUSD CVA'!$AM$8,2)</f>
        <v>6.99</v>
      </c>
      <c r="G8" s="35">
        <v>0</v>
      </c>
      <c r="H8" s="35">
        <f ca="1">ROUND('TUSD BE'!$AM$6,2)</f>
        <v>57.34</v>
      </c>
      <c r="I8" s="35">
        <f ca="1">ROUND('TUSD BE'!$AM$8,2)</f>
        <v>6.54</v>
      </c>
      <c r="J8" s="35">
        <v>0</v>
      </c>
      <c r="L8" s="122"/>
      <c r="M8" s="37" t="s">
        <v>676</v>
      </c>
      <c r="N8" s="37" t="s">
        <v>674</v>
      </c>
      <c r="O8" s="37" t="s">
        <v>674</v>
      </c>
      <c r="P8" s="37" t="s">
        <v>670</v>
      </c>
      <c r="Q8" s="35">
        <v>0</v>
      </c>
      <c r="R8" s="35">
        <f ca="1">ROUND('TUSD BE'!$AM$25+'TUSD BF'!$AM$25+'TUSD CVA'!$AM$25,2)</f>
        <v>570.89</v>
      </c>
      <c r="S8" s="35">
        <f>ROUND('TE BE'!$AB$16+'TE BF'!$AB$16+'TE CVA'!$AB$16,2)</f>
        <v>196.57</v>
      </c>
      <c r="T8" s="35">
        <v>0</v>
      </c>
      <c r="U8" s="35">
        <f ca="1">ROUND('TUSD BE'!$AM$25,2)</f>
        <v>752.68</v>
      </c>
      <c r="V8" s="35">
        <f>ROUND('TE BE'!$AB$16,2)</f>
        <v>181.23</v>
      </c>
    </row>
    <row r="9" spans="1:22" ht="11.25" customHeight="1" x14ac:dyDescent="0.25">
      <c r="A9" s="125"/>
      <c r="B9" s="124" t="s">
        <v>39</v>
      </c>
      <c r="C9" s="124" t="s">
        <v>25</v>
      </c>
      <c r="D9" s="37" t="s">
        <v>670</v>
      </c>
      <c r="E9" s="35">
        <f ca="1">ROUND('TUSD BE'!$AM$10+'TUSD BF'!$AM$10+'TUSD CVA'!$AM$10,2)</f>
        <v>44.26</v>
      </c>
      <c r="F9" s="35">
        <v>0</v>
      </c>
      <c r="G9" s="35">
        <v>0</v>
      </c>
      <c r="H9" s="35">
        <f ca="1">ROUND('TUSD BE'!$AM$10,2)</f>
        <v>57.34</v>
      </c>
      <c r="I9" s="35">
        <v>0</v>
      </c>
      <c r="J9" s="35">
        <v>0</v>
      </c>
      <c r="L9" s="122"/>
      <c r="M9" s="37" t="s">
        <v>678</v>
      </c>
      <c r="N9" s="37" t="s">
        <v>674</v>
      </c>
      <c r="O9" s="37" t="s">
        <v>674</v>
      </c>
      <c r="P9" s="37" t="s">
        <v>670</v>
      </c>
      <c r="Q9" s="35">
        <v>0</v>
      </c>
      <c r="R9" s="35">
        <f ca="1">ROUND('TUSD BE'!$AM$20+'TUSD BF'!$AM$20+'TUSD CVA'!$AM$20,2)</f>
        <v>570.89</v>
      </c>
      <c r="S9" s="35">
        <f>ROUND('TE BE'!$AB$11+'TE BF'!$AB$11+'TE CVA'!$AB$11,2)</f>
        <v>196.57</v>
      </c>
      <c r="T9" s="35">
        <v>0</v>
      </c>
      <c r="U9" s="35">
        <f ca="1">ROUND('TUSD BE'!$AM$20,2)</f>
        <v>752.68</v>
      </c>
      <c r="V9" s="35">
        <f>ROUND('TE BE'!$AB$11,2)</f>
        <v>181.23</v>
      </c>
    </row>
    <row r="10" spans="1:22" ht="11.25" customHeight="1" x14ac:dyDescent="0.25">
      <c r="A10" s="125"/>
      <c r="B10" s="125"/>
      <c r="C10" s="125"/>
      <c r="D10" s="37" t="s">
        <v>667</v>
      </c>
      <c r="E10" s="35">
        <v>0</v>
      </c>
      <c r="F10" s="35">
        <f ca="1">ROUND('TUSD BE'!$AM$11+'TUSD BF'!$AM$11+'TUSD CVA'!$AM$11,2)</f>
        <v>2284.2199999999998</v>
      </c>
      <c r="G10" s="35">
        <f>ROUND('TE BE'!$AB$5+'TE BF'!$AB$5+'TE CVA'!$AB$5,2)</f>
        <v>196.57</v>
      </c>
      <c r="H10" s="35">
        <v>0</v>
      </c>
      <c r="I10" s="35">
        <f ca="1">ROUND('TUSD BE'!$AM$11,2)</f>
        <v>2991.3</v>
      </c>
      <c r="J10" s="35">
        <f>ROUND('TE BE'!$AB$5,2)</f>
        <v>181.23</v>
      </c>
      <c r="L10" s="122"/>
      <c r="M10" s="37" t="s">
        <v>676</v>
      </c>
      <c r="N10" s="37" t="s">
        <v>674</v>
      </c>
      <c r="O10" s="37" t="s">
        <v>677</v>
      </c>
      <c r="P10" s="37" t="s">
        <v>670</v>
      </c>
      <c r="Q10" s="35">
        <v>0</v>
      </c>
      <c r="R10" s="35">
        <f ca="1">ROUND('TUSD BE'!$AM$26+'TUSD BF'!$AM$26+'TUSD CVA'!$AM$26,2)</f>
        <v>466.8</v>
      </c>
      <c r="S10" s="35">
        <f>ROUND('TE BE'!$AB$17+'TE BF'!$AB$17+'TE CVA'!$AB$17,2)</f>
        <v>196.57</v>
      </c>
      <c r="T10" s="35">
        <v>0</v>
      </c>
      <c r="U10" s="35">
        <f ca="1">ROUND('TUSD BE'!$AM$26,2)</f>
        <v>648.54999999999995</v>
      </c>
      <c r="V10" s="35">
        <f>ROUND('TE BE'!$AB$17,2)</f>
        <v>181.23</v>
      </c>
    </row>
    <row r="11" spans="1:22" ht="11.25" customHeight="1" x14ac:dyDescent="0.25">
      <c r="A11" s="125"/>
      <c r="B11" s="125"/>
      <c r="C11" s="125"/>
      <c r="D11" s="37" t="s">
        <v>668</v>
      </c>
      <c r="E11" s="35">
        <v>0</v>
      </c>
      <c r="F11" s="35">
        <f ca="1">ROUND('TUSD BE'!$AM$12+'TUSD BF'!$AM$12+'TUSD CVA'!$AM$12,2)</f>
        <v>96.69</v>
      </c>
      <c r="G11" s="35">
        <f>ROUND('TE BE'!$AB$6+'TE BF'!$AB$6+'TE CVA'!$AB$6,2)</f>
        <v>196.57</v>
      </c>
      <c r="H11" s="35">
        <v>0</v>
      </c>
      <c r="I11" s="35">
        <f ca="1">ROUND('TUSD BE'!$AM$12,2)</f>
        <v>96.28</v>
      </c>
      <c r="J11" s="35">
        <f>ROUND('TE BE'!$AB$6,2)</f>
        <v>181.23</v>
      </c>
      <c r="L11" s="123"/>
      <c r="M11" s="37" t="s">
        <v>678</v>
      </c>
      <c r="N11" s="37" t="s">
        <v>674</v>
      </c>
      <c r="O11" s="37" t="s">
        <v>677</v>
      </c>
      <c r="P11" s="37" t="s">
        <v>670</v>
      </c>
      <c r="Q11" s="35">
        <v>0</v>
      </c>
      <c r="R11" s="35">
        <f ca="1">ROUND('TUSD BE'!$AM$21+'TUSD BF'!$AM$21+'TUSD CVA'!$AM$21,2)</f>
        <v>466.8</v>
      </c>
      <c r="S11" s="35">
        <f>ROUND('TE BE'!$AB$12+'TE BF'!$AB$12+'TE CVA'!$AB$12,2)</f>
        <v>196.57</v>
      </c>
      <c r="T11" s="35">
        <v>0</v>
      </c>
      <c r="U11" s="35">
        <f ca="1">ROUND('TUSD BE'!$AM$21,2)</f>
        <v>648.54999999999995</v>
      </c>
      <c r="V11" s="35">
        <f>ROUND('TE BE'!$AB$12,2)</f>
        <v>181.23</v>
      </c>
    </row>
    <row r="12" spans="1:22" ht="11.25" customHeight="1" x14ac:dyDescent="0.25">
      <c r="A12" s="125"/>
      <c r="B12" s="124" t="s">
        <v>671</v>
      </c>
      <c r="C12" s="124" t="s">
        <v>25</v>
      </c>
      <c r="D12" s="37" t="s">
        <v>670</v>
      </c>
      <c r="E12" s="35">
        <f ca="1">ROUND('TUSD BE'!$AM$10+'TUSD BF'!$AM$10+'TUSD CVA'!$AM$10,2)</f>
        <v>44.26</v>
      </c>
      <c r="F12" s="35">
        <v>0</v>
      </c>
      <c r="G12" s="35">
        <v>0</v>
      </c>
      <c r="H12" s="35">
        <f ca="1">ROUND('TUSD BE'!$AM$10,2)</f>
        <v>57.34</v>
      </c>
      <c r="I12" s="35">
        <v>0</v>
      </c>
      <c r="J12" s="35">
        <v>0</v>
      </c>
      <c r="L12" s="121" t="s">
        <v>41</v>
      </c>
      <c r="M12" s="121" t="s">
        <v>673</v>
      </c>
      <c r="N12" s="121" t="s">
        <v>679</v>
      </c>
      <c r="O12" s="121" t="s">
        <v>680</v>
      </c>
      <c r="P12" s="37" t="s">
        <v>667</v>
      </c>
      <c r="Q12" s="35">
        <v>0</v>
      </c>
      <c r="R12" s="35">
        <f ca="1">ROUND(('TUSD BE'!$AM$30+'TUSD BF'!$AM$30+'TUSD CVA'!$AM$30)*(1-CUSTOS!$M$38),2)</f>
        <v>1236.68</v>
      </c>
      <c r="S12" s="35">
        <f>ROUND(('TE BE'!$AB$21+'TE BF'!$AB$21+'TE CVA'!$AB$21)*(1-CUSTOS!$M$38),2)</f>
        <v>184.77</v>
      </c>
      <c r="T12" s="35">
        <v>0</v>
      </c>
      <c r="U12" s="35">
        <f ca="1">ROUND('TUSD BE'!$AM$30*(1-CUSTOS!$M$38),2)</f>
        <v>1705.28</v>
      </c>
      <c r="V12" s="35">
        <f>ROUND('TE BE'!$AB$21*(1-CUSTOS!$M$38),2)</f>
        <v>170.36</v>
      </c>
    </row>
    <row r="13" spans="1:22" ht="11.25" customHeight="1" x14ac:dyDescent="0.25">
      <c r="A13" s="125"/>
      <c r="B13" s="125"/>
      <c r="C13" s="125"/>
      <c r="D13" s="37" t="s">
        <v>667</v>
      </c>
      <c r="E13" s="35">
        <v>0</v>
      </c>
      <c r="F13" s="35">
        <f ca="1">ROUND('TUSD BE'!$AM$13+'TUSD BF'!$AM$13+'TUSD CVA'!$AM$13,2)</f>
        <v>2194.52</v>
      </c>
      <c r="G13" s="35">
        <v>0</v>
      </c>
      <c r="H13" s="35">
        <v>0</v>
      </c>
      <c r="I13" s="35">
        <f ca="1">ROUND('TUSD BE'!$AM$13,2)</f>
        <v>2901.56</v>
      </c>
      <c r="J13" s="35">
        <v>0</v>
      </c>
      <c r="L13" s="122"/>
      <c r="M13" s="122"/>
      <c r="N13" s="122"/>
      <c r="O13" s="122"/>
      <c r="P13" s="37" t="s">
        <v>675</v>
      </c>
      <c r="Q13" s="35">
        <v>0</v>
      </c>
      <c r="R13" s="35">
        <f ca="1">ROUND(('TUSD BE'!$AM$31+'TUSD BF'!$AM$31+'TUSD CVA'!$AM$31)*(1-CUSTOS!$M$38),2)</f>
        <v>683.16</v>
      </c>
      <c r="S13" s="35">
        <f>ROUND(('TE BE'!$AB$22+'TE BF'!$AB$22+'TE CVA'!$AB$22)*(1-CUSTOS!$M$38),2)</f>
        <v>184.77</v>
      </c>
      <c r="T13" s="35">
        <v>0</v>
      </c>
      <c r="U13" s="35">
        <f ca="1">ROUND('TUSD BE'!$AM$31*(1-CUSTOS!$M$38),2)</f>
        <v>916.35</v>
      </c>
      <c r="V13" s="35">
        <f>ROUND('TE BE'!$AB$22*(1-CUSTOS!$M$38),2)</f>
        <v>170.36</v>
      </c>
    </row>
    <row r="14" spans="1:22" ht="11.25" customHeight="1" x14ac:dyDescent="0.25">
      <c r="A14" s="125"/>
      <c r="B14" s="125"/>
      <c r="C14" s="125"/>
      <c r="D14" s="37" t="s">
        <v>668</v>
      </c>
      <c r="E14" s="35">
        <v>0</v>
      </c>
      <c r="F14" s="35">
        <f ca="1">ROUND('TUSD BE'!$AM$14+'TUSD BF'!$AM$14+'TUSD CVA'!$AM$14,2)</f>
        <v>6.99</v>
      </c>
      <c r="G14" s="35">
        <v>0</v>
      </c>
      <c r="H14" s="35">
        <v>0</v>
      </c>
      <c r="I14" s="35">
        <f ca="1">ROUND('TUSD BE'!$AM$14,2)</f>
        <v>6.54</v>
      </c>
      <c r="J14" s="35">
        <v>0</v>
      </c>
      <c r="L14" s="122"/>
      <c r="M14" s="123"/>
      <c r="N14" s="123"/>
      <c r="O14" s="123"/>
      <c r="P14" s="37" t="s">
        <v>668</v>
      </c>
      <c r="Q14" s="35">
        <v>0</v>
      </c>
      <c r="R14" s="35">
        <f ca="1">ROUND(('TUSD BE'!$AM$32+'TUSD BF'!$AM$32+'TUSD CVA'!$AM$32)*(1-CUSTOS!$M$38),2)</f>
        <v>406.39</v>
      </c>
      <c r="S14" s="35">
        <f>ROUND(('TE BE'!$AB$23+'TE BF'!$AB$23+'TE CVA'!$AB$23)*(1-CUSTOS!$M$38),2)</f>
        <v>184.77</v>
      </c>
      <c r="T14" s="35">
        <v>0</v>
      </c>
      <c r="U14" s="35">
        <f ca="1">ROUND('TUSD BE'!$AM$32*(1-CUSTOS!$M$38),2)</f>
        <v>521.89</v>
      </c>
      <c r="V14" s="35">
        <f>ROUND('TE BE'!$AB$23*(1-CUSTOS!$M$38),2)</f>
        <v>170.36</v>
      </c>
    </row>
    <row r="15" spans="1:22" ht="11.25" customHeight="1" x14ac:dyDescent="0.25">
      <c r="A15" s="125"/>
      <c r="B15" s="37" t="s">
        <v>53</v>
      </c>
      <c r="C15" s="37" t="s">
        <v>25</v>
      </c>
      <c r="D15" s="37" t="s">
        <v>670</v>
      </c>
      <c r="E15" s="35">
        <f ca="1">ROUND('TUSD BE'!$AM$9+'TUSD BF'!$AM$9+'TUSD CVA'!$AM$9,2)</f>
        <v>12.09</v>
      </c>
      <c r="F15" s="35">
        <v>0</v>
      </c>
      <c r="G15" s="35">
        <v>0</v>
      </c>
      <c r="H15" s="35">
        <f ca="1">ROUND('TUSD BE'!$AM$9,2)</f>
        <v>19.84</v>
      </c>
      <c r="I15" s="35">
        <v>0</v>
      </c>
      <c r="J15" s="35">
        <v>0</v>
      </c>
      <c r="L15" s="122"/>
      <c r="M15" s="37" t="s">
        <v>676</v>
      </c>
      <c r="N15" s="37" t="s">
        <v>679</v>
      </c>
      <c r="O15" s="37" t="s">
        <v>680</v>
      </c>
      <c r="P15" s="37" t="s">
        <v>670</v>
      </c>
      <c r="Q15" s="35">
        <v>0</v>
      </c>
      <c r="R15" s="35">
        <f ca="1">ROUND(('TUSD BE'!$AM$42+'TUSD BF'!$AM$42+'TUSD CVA'!$AM$42)*(1-CUSTOS!$M$38),2)</f>
        <v>536.63</v>
      </c>
      <c r="S15" s="35">
        <f>ROUND(('TE BE'!$AB$33+'TE BF'!$AB$33+'TE CVA'!$AB$33)*(1-CUSTOS!$M$38),2)</f>
        <v>184.77</v>
      </c>
      <c r="T15" s="35">
        <v>0</v>
      </c>
      <c r="U15" s="35">
        <f ca="1">ROUND(('TUSD BE'!$AM$42)*(1-CUSTOS!$M$38),2)</f>
        <v>707.52</v>
      </c>
      <c r="V15" s="35">
        <f>ROUND(('TE BE'!$AB$33)*(1-CUSTOS!$M$38),2)</f>
        <v>170.36</v>
      </c>
    </row>
    <row r="16" spans="1:22" ht="11.25" customHeight="1" x14ac:dyDescent="0.25">
      <c r="L16" s="122"/>
      <c r="M16" s="37" t="s">
        <v>678</v>
      </c>
      <c r="N16" s="37" t="s">
        <v>679</v>
      </c>
      <c r="O16" s="37" t="s">
        <v>680</v>
      </c>
      <c r="P16" s="37" t="s">
        <v>670</v>
      </c>
      <c r="Q16" s="35">
        <v>0</v>
      </c>
      <c r="R16" s="35">
        <f ca="1">ROUND(('TUSD BE'!$AM$33+'TUSD BF'!$AM$33+'TUSD CVA'!$AM$33)*(1-CUSTOS!$M$38),2)</f>
        <v>536.63</v>
      </c>
      <c r="S16" s="35">
        <f>ROUND(('TE BE'!$AB$24+'TE BF'!$AB$24+'TE CVA'!$AB$24)*(1-CUSTOS!$M$38),2)</f>
        <v>184.77</v>
      </c>
      <c r="T16" s="35">
        <v>0</v>
      </c>
      <c r="U16" s="35">
        <f ca="1">ROUND(('TUSD BE'!$AM$33)*(1-CUSTOS!$M$38),2)</f>
        <v>707.52</v>
      </c>
      <c r="V16" s="35">
        <f>ROUND(('TE BE'!$AB$24)*(1-CUSTOS!$M$38),2)</f>
        <v>170.36</v>
      </c>
    </row>
    <row r="17" spans="12:22" ht="11.25" customHeight="1" x14ac:dyDescent="0.25">
      <c r="L17" s="122"/>
      <c r="M17" s="121" t="s">
        <v>673</v>
      </c>
      <c r="N17" s="121" t="s">
        <v>679</v>
      </c>
      <c r="O17" s="121" t="s">
        <v>681</v>
      </c>
      <c r="P17" s="37" t="s">
        <v>667</v>
      </c>
      <c r="Q17" s="35">
        <v>0</v>
      </c>
      <c r="R17" s="35">
        <f ca="1">ROUND(('TUSD BE'!$AM$34+'TUSD BF'!$AM$34+'TUSD CVA'!$AM$34)*(1-CUSTOS!$M$39),2)</f>
        <v>1236.68</v>
      </c>
      <c r="S17" s="35">
        <f>ROUND(('TE BE'!$AB$25+'TE BF'!$AB$25+'TE CVA'!$AB$25)*(1-CUSTOS!$M$39),2)</f>
        <v>184.77</v>
      </c>
      <c r="T17" s="35">
        <v>0</v>
      </c>
      <c r="U17" s="35">
        <f ca="1">ROUND('TUSD BE'!$AM$34*(1-CUSTOS!$M$39),2)</f>
        <v>1705.28</v>
      </c>
      <c r="V17" s="35">
        <f>ROUND('TE BE'!$AB$25*(1-CUSTOS!$M$39),2)</f>
        <v>170.36</v>
      </c>
    </row>
    <row r="18" spans="12:22" ht="11.25" customHeight="1" x14ac:dyDescent="0.25">
      <c r="L18" s="122"/>
      <c r="M18" s="122"/>
      <c r="N18" s="122"/>
      <c r="O18" s="122"/>
      <c r="P18" s="37" t="s">
        <v>675</v>
      </c>
      <c r="Q18" s="35">
        <v>0</v>
      </c>
      <c r="R18" s="35">
        <f ca="1">ROUND(('TUSD BE'!$AM$35+'TUSD BF'!$AM$35+'TUSD CVA'!$AM$35)*(1-CUSTOS!$M$39),2)</f>
        <v>683.16</v>
      </c>
      <c r="S18" s="35">
        <f>ROUND(('TE BE'!$AB$26+'TE BF'!$AB$26+'TE CVA'!$AB$26)*(1-CUSTOS!$M$39),2)</f>
        <v>184.77</v>
      </c>
      <c r="T18" s="35">
        <v>0</v>
      </c>
      <c r="U18" s="35">
        <f ca="1">ROUND('TUSD BE'!$AM$35*(1-CUSTOS!$M$39),2)</f>
        <v>916.35</v>
      </c>
      <c r="V18" s="35">
        <f>ROUND('TE BE'!$AB$26*(1-CUSTOS!$M$39),2)</f>
        <v>170.36</v>
      </c>
    </row>
    <row r="19" spans="12:22" ht="11.25" customHeight="1" x14ac:dyDescent="0.25">
      <c r="L19" s="122"/>
      <c r="M19" s="123"/>
      <c r="N19" s="123"/>
      <c r="O19" s="123"/>
      <c r="P19" s="37" t="s">
        <v>668</v>
      </c>
      <c r="Q19" s="35">
        <v>0</v>
      </c>
      <c r="R19" s="35">
        <f ca="1">ROUND(('TUSD BE'!$AM$36+'TUSD BF'!$AM$36+'TUSD CVA'!$AM$36)*(1-CUSTOS!$M$39),2)</f>
        <v>406.39</v>
      </c>
      <c r="S19" s="35">
        <f>ROUND(('TE BE'!$AB$27+'TE BF'!$AB$27+'TE CVA'!$AB$27)*(1-CUSTOS!$M$39),2)</f>
        <v>184.77</v>
      </c>
      <c r="T19" s="35">
        <v>0</v>
      </c>
      <c r="U19" s="35">
        <f ca="1">ROUND('TUSD BE'!$AM$36*(1-CUSTOS!$M$39),2)</f>
        <v>521.89</v>
      </c>
      <c r="V19" s="35">
        <f>ROUND('TE BE'!$AB$27*(1-CUSTOS!$M$39),2)</f>
        <v>170.36</v>
      </c>
    </row>
    <row r="20" spans="12:22" ht="11.25" customHeight="1" x14ac:dyDescent="0.25">
      <c r="L20" s="122"/>
      <c r="M20" s="37" t="s">
        <v>676</v>
      </c>
      <c r="N20" s="37" t="s">
        <v>679</v>
      </c>
      <c r="O20" s="37" t="s">
        <v>681</v>
      </c>
      <c r="P20" s="37" t="s">
        <v>670</v>
      </c>
      <c r="Q20" s="35">
        <v>0</v>
      </c>
      <c r="R20" s="35">
        <f ca="1">ROUND(('TUSD BE'!$AM$42+'TUSD BF'!$AM$42+'TUSD CVA'!$AM$42)*(1-CUSTOS!$M$39),2)</f>
        <v>536.63</v>
      </c>
      <c r="S20" s="35">
        <f>ROUND(('TE BE'!$AB$33+'TE BF'!$AB$33+'TE CVA'!$AB$33)*(1-CUSTOS!$M$39),2)</f>
        <v>184.77</v>
      </c>
      <c r="T20" s="35">
        <v>0</v>
      </c>
      <c r="U20" s="35">
        <f ca="1">ROUND(('TUSD BE'!$AM$42)*(1-CUSTOS!$M$39),2)</f>
        <v>707.52</v>
      </c>
      <c r="V20" s="35">
        <f>ROUND(('TE BE'!$AB$33)*(1-CUSTOS!$M$39),2)</f>
        <v>170.36</v>
      </c>
    </row>
    <row r="21" spans="12:22" ht="11.25" customHeight="1" x14ac:dyDescent="0.25">
      <c r="L21" s="122"/>
      <c r="M21" s="37" t="s">
        <v>678</v>
      </c>
      <c r="N21" s="37" t="s">
        <v>679</v>
      </c>
      <c r="O21" s="37" t="s">
        <v>681</v>
      </c>
      <c r="P21" s="37" t="s">
        <v>670</v>
      </c>
      <c r="Q21" s="35">
        <v>0</v>
      </c>
      <c r="R21" s="35">
        <f ca="1">ROUND(('TUSD BE'!$AM$33+'TUSD BF'!$AM$33+'TUSD CVA'!$AM$33)*(1-CUSTOS!$M$39),2)</f>
        <v>536.63</v>
      </c>
      <c r="S21" s="35">
        <f>ROUND(('TE BE'!$AB$24+'TE BF'!$AB$24+'TE CVA'!$AB$24)*(1-CUSTOS!$M$39),2)</f>
        <v>184.77</v>
      </c>
      <c r="T21" s="35">
        <v>0</v>
      </c>
      <c r="U21" s="35">
        <f ca="1">ROUND(('TUSD BE'!$AM$33)*(1-CUSTOS!$M$39),2)</f>
        <v>707.52</v>
      </c>
      <c r="V21" s="35">
        <f>ROUND(('TE BE'!$AB$24)*(1-CUSTOS!$M$39),2)</f>
        <v>170.36</v>
      </c>
    </row>
    <row r="22" spans="12:22" ht="11.25" customHeight="1" x14ac:dyDescent="0.25">
      <c r="L22" s="122"/>
      <c r="M22" s="121" t="s">
        <v>673</v>
      </c>
      <c r="N22" s="121" t="s">
        <v>679</v>
      </c>
      <c r="O22" s="121" t="s">
        <v>682</v>
      </c>
      <c r="P22" s="37" t="s">
        <v>667</v>
      </c>
      <c r="Q22" s="35">
        <v>0</v>
      </c>
      <c r="R22" s="35">
        <f ca="1">ROUND(('TUSD BE'!$AM$38+'TUSD BF'!$AM$38+'TUSD CVA'!$AM$38)*(1-CUSTOS!$M$40),2)</f>
        <v>1210.3699999999999</v>
      </c>
      <c r="S22" s="35">
        <f>ROUND(('TE BE'!$AB$29+'TE BF'!$AB$29+'TE CVA'!$AB$29)*(1-CUSTOS!$M$40),2)</f>
        <v>180.84</v>
      </c>
      <c r="T22" s="35">
        <v>0</v>
      </c>
      <c r="U22" s="35">
        <f ca="1">ROUND('TUSD BE'!$AM$38*(1-CUSTOS!$M$40),2)</f>
        <v>1669</v>
      </c>
      <c r="V22" s="35">
        <f>ROUND('TE BE'!$AB$29*(1-CUSTOS!$M$40),2)</f>
        <v>166.73</v>
      </c>
    </row>
    <row r="23" spans="12:22" ht="11.25" customHeight="1" x14ac:dyDescent="0.25">
      <c r="L23" s="122"/>
      <c r="M23" s="122"/>
      <c r="N23" s="122"/>
      <c r="O23" s="122"/>
      <c r="P23" s="37" t="s">
        <v>675</v>
      </c>
      <c r="Q23" s="35">
        <v>0</v>
      </c>
      <c r="R23" s="35">
        <f ca="1">ROUND(('TUSD BE'!$AM$39+'TUSD BF'!$AM$39+'TUSD CVA'!$AM$39)*(1-CUSTOS!$M$40),2)</f>
        <v>668.62</v>
      </c>
      <c r="S23" s="35">
        <f>ROUND(('TE BE'!$AB$30+'TE BF'!$AB$30+'TE CVA'!$AB$30)*(1-CUSTOS!$M$40),2)</f>
        <v>180.84</v>
      </c>
      <c r="T23" s="35">
        <v>0</v>
      </c>
      <c r="U23" s="35">
        <f ca="1">ROUND('TUSD BE'!$AM$39*(1-CUSTOS!$M$40),2)</f>
        <v>896.86</v>
      </c>
      <c r="V23" s="35">
        <f>ROUND('TE BE'!$AB$30*(1-CUSTOS!$M$40),2)</f>
        <v>166.73</v>
      </c>
    </row>
    <row r="24" spans="12:22" ht="11.25" customHeight="1" x14ac:dyDescent="0.25">
      <c r="L24" s="122"/>
      <c r="M24" s="123"/>
      <c r="N24" s="123"/>
      <c r="O24" s="123"/>
      <c r="P24" s="37" t="s">
        <v>668</v>
      </c>
      <c r="Q24" s="35">
        <v>0</v>
      </c>
      <c r="R24" s="35">
        <f ca="1">ROUND(('TUSD BE'!$AM$40+'TUSD BF'!$AM$40+'TUSD CVA'!$AM$40)*(1-CUSTOS!$M$40),2)</f>
        <v>397.75</v>
      </c>
      <c r="S24" s="35">
        <f>ROUND(('TE BE'!$AB$31+'TE BF'!$AB$31+'TE CVA'!$AB$31)*(1-CUSTOS!$M$40),2)</f>
        <v>180.84</v>
      </c>
      <c r="T24" s="35">
        <v>0</v>
      </c>
      <c r="U24" s="35">
        <f ca="1">ROUND('TUSD BE'!$AM$40*(1-CUSTOS!$M$40),2)</f>
        <v>510.79</v>
      </c>
      <c r="V24" s="35">
        <f>ROUND('TE BE'!$AB$31*(1-CUSTOS!$M$40),2)</f>
        <v>166.73</v>
      </c>
    </row>
    <row r="25" spans="12:22" ht="11.25" customHeight="1" x14ac:dyDescent="0.25">
      <c r="L25" s="122"/>
      <c r="M25" s="37" t="s">
        <v>676</v>
      </c>
      <c r="N25" s="37" t="s">
        <v>679</v>
      </c>
      <c r="O25" s="37" t="s">
        <v>682</v>
      </c>
      <c r="P25" s="37" t="s">
        <v>670</v>
      </c>
      <c r="Q25" s="35">
        <v>0</v>
      </c>
      <c r="R25" s="35">
        <f ca="1">ROUND(('TUSD BE'!$AM$42+'TUSD BF'!$AM$42+'TUSD CVA'!$AM$42)*(1-CUSTOS!$M$40),2)</f>
        <v>525.22</v>
      </c>
      <c r="S25" s="35">
        <f>ROUND(('TE BE'!$AB$33+'TE BF'!$AB$33+'TE CVA'!$AB$33)*(1-CUSTOS!$M$40),2)</f>
        <v>180.84</v>
      </c>
      <c r="T25" s="35">
        <v>0</v>
      </c>
      <c r="U25" s="35">
        <f ca="1">ROUND(('TUSD BE'!$AM$42)*(1-CUSTOS!$M$40),2)</f>
        <v>692.47</v>
      </c>
      <c r="V25" s="35">
        <f>ROUND(('TE BE'!$AB$33)*(1-CUSTOS!$M$40),2)</f>
        <v>166.73</v>
      </c>
    </row>
    <row r="26" spans="12:22" ht="11.25" customHeight="1" x14ac:dyDescent="0.25">
      <c r="L26" s="123"/>
      <c r="M26" s="37" t="s">
        <v>678</v>
      </c>
      <c r="N26" s="37" t="s">
        <v>679</v>
      </c>
      <c r="O26" s="37" t="s">
        <v>682</v>
      </c>
      <c r="P26" s="37" t="s">
        <v>670</v>
      </c>
      <c r="Q26" s="35">
        <v>0</v>
      </c>
      <c r="R26" s="35">
        <f ca="1">ROUND(('TUSD BE'!$AM$33+'TUSD BF'!$AM$33+'TUSD CVA'!$AM$33)*(1-CUSTOS!$M$40),2)</f>
        <v>525.22</v>
      </c>
      <c r="S26" s="35">
        <f>ROUND(('TE BE'!$AB$24+'TE BF'!$AB$24+'TE CVA'!$AB$24)*(1-CUSTOS!$M$40),2)</f>
        <v>180.84</v>
      </c>
      <c r="T26" s="35">
        <v>0</v>
      </c>
      <c r="U26" s="35">
        <f ca="1">ROUND(('TUSD BE'!$AM$33)*(1-CUSTOS!$M$40),2)</f>
        <v>692.47</v>
      </c>
      <c r="V26" s="35">
        <f>ROUND(('TE BE'!$AB$24)*(1-CUSTOS!$M$40),2)</f>
        <v>166.73</v>
      </c>
    </row>
    <row r="27" spans="12:22" ht="11.25" customHeight="1" x14ac:dyDescent="0.25">
      <c r="L27" s="121" t="s">
        <v>33</v>
      </c>
      <c r="M27" s="121" t="s">
        <v>673</v>
      </c>
      <c r="N27" s="121" t="s">
        <v>670</v>
      </c>
      <c r="O27" s="121" t="s">
        <v>670</v>
      </c>
      <c r="P27" s="37" t="s">
        <v>667</v>
      </c>
      <c r="Q27" s="35">
        <v>0</v>
      </c>
      <c r="R27" s="35">
        <f ca="1">ROUND(('TUSD BE'!$AM$45+'TUSD BF'!$AM$45+'TUSD CVA'!$AM$45)*(1-CUSTOS!$M$31),2)</f>
        <v>1545.1</v>
      </c>
      <c r="S27" s="35">
        <f>ROUND(('TE BE'!$AB$36+'TE BF'!$AB$36+'TE CVA'!$AB$36)*(1-CUSTOS!$M$31),2)</f>
        <v>196.57</v>
      </c>
      <c r="T27" s="35">
        <v>0</v>
      </c>
      <c r="U27" s="35">
        <f ca="1">ROUND('TUSD BE'!$AM$45*(1-CUSTOS!$M$31),2)</f>
        <v>2141.21</v>
      </c>
      <c r="V27" s="35">
        <f>ROUND('TE BE'!$AB$36*(1-CUSTOS!$M$31),2)</f>
        <v>181.23</v>
      </c>
    </row>
    <row r="28" spans="12:22" ht="11.25" customHeight="1" x14ac:dyDescent="0.25">
      <c r="L28" s="122"/>
      <c r="M28" s="122"/>
      <c r="N28" s="122"/>
      <c r="O28" s="122"/>
      <c r="P28" s="37" t="s">
        <v>675</v>
      </c>
      <c r="Q28" s="35">
        <v>0</v>
      </c>
      <c r="R28" s="35">
        <f ca="1">ROUND(('TUSD BE'!$AM$46+'TUSD BF'!$AM$46+'TUSD CVA'!$AM$46)*(1-CUSTOS!$M$31),2)</f>
        <v>982.22</v>
      </c>
      <c r="S28" s="35">
        <f>ROUND(('TE BE'!$AB$37+'TE BF'!$AB$37+'TE CVA'!$AB$37)*(1-CUSTOS!$M$31),2)</f>
        <v>196.57</v>
      </c>
      <c r="T28" s="35">
        <v>0</v>
      </c>
      <c r="U28" s="35">
        <f ca="1">ROUND('TUSD BE'!$AM$46*(1-CUSTOS!$M$31),2)</f>
        <v>1338.95</v>
      </c>
      <c r="V28" s="35">
        <f>ROUND('TE BE'!$AB$37*(1-CUSTOS!$M$31),2)</f>
        <v>181.23</v>
      </c>
    </row>
    <row r="29" spans="12:22" ht="11.25" customHeight="1" x14ac:dyDescent="0.25">
      <c r="L29" s="122"/>
      <c r="M29" s="123"/>
      <c r="N29" s="123"/>
      <c r="O29" s="123"/>
      <c r="P29" s="37" t="s">
        <v>668</v>
      </c>
      <c r="Q29" s="35">
        <v>0</v>
      </c>
      <c r="R29" s="35">
        <f ca="1">ROUND(('TUSD BE'!$AM$47+'TUSD BF'!$AM$47+'TUSD CVA'!$AM$47)*(1-CUSTOS!$M$31),2)</f>
        <v>419.34</v>
      </c>
      <c r="S29" s="35">
        <f>ROUND(('TE BE'!$AB$38+'TE BF'!$AB$38+'TE CVA'!$AB$38)*(1-CUSTOS!$M$31),2)</f>
        <v>196.57</v>
      </c>
      <c r="T29" s="35">
        <v>0</v>
      </c>
      <c r="U29" s="35">
        <f ca="1">ROUND('TUSD BE'!$AM$47*(1-CUSTOS!$M$31),2)</f>
        <v>536.69000000000005</v>
      </c>
      <c r="V29" s="35">
        <f>ROUND('TE BE'!$AB$38*(1-CUSTOS!$M$31),2)</f>
        <v>181.23</v>
      </c>
    </row>
    <row r="30" spans="12:22" ht="11.25" customHeight="1" x14ac:dyDescent="0.25">
      <c r="L30" s="122"/>
      <c r="M30" s="37" t="s">
        <v>676</v>
      </c>
      <c r="N30" s="37" t="s">
        <v>670</v>
      </c>
      <c r="O30" s="37" t="s">
        <v>670</v>
      </c>
      <c r="P30" s="37" t="s">
        <v>670</v>
      </c>
      <c r="Q30" s="35">
        <v>0</v>
      </c>
      <c r="R30" s="35">
        <f ca="1">ROUND(('TUSD BE'!$AM$49+'TUSD BF'!$AM$49+'TUSD CVA'!$AM$49)*(1-CUSTOS!$M$31),2)</f>
        <v>570.89</v>
      </c>
      <c r="S30" s="35">
        <f>ROUND(('TE BE'!$AB$40+'TE BF'!$AB$40+'TE CVA'!$AB$40)*(1-CUSTOS!$M$31),2)</f>
        <v>196.57</v>
      </c>
      <c r="T30" s="35">
        <v>0</v>
      </c>
      <c r="U30" s="35">
        <f ca="1">ROUND(('TUSD BE'!$AM$49)*(1-CUSTOS!$M$31),2)</f>
        <v>752.68</v>
      </c>
      <c r="V30" s="35">
        <f>ROUND(('TE BE'!$AB$40)*(1-CUSTOS!$M$31),2)</f>
        <v>181.23</v>
      </c>
    </row>
    <row r="31" spans="12:22" ht="11.25" customHeight="1" x14ac:dyDescent="0.25">
      <c r="L31" s="123"/>
      <c r="M31" s="37" t="s">
        <v>678</v>
      </c>
      <c r="N31" s="37" t="s">
        <v>670</v>
      </c>
      <c r="O31" s="37" t="s">
        <v>670</v>
      </c>
      <c r="P31" s="37" t="s">
        <v>670</v>
      </c>
      <c r="Q31" s="35">
        <v>0</v>
      </c>
      <c r="R31" s="35">
        <f ca="1">ROUND(('TUSD BE'!$AM$48+'TUSD BF'!$AM$48+'TUSD CVA'!$AM$48)*(1-CUSTOS!$M$31),2)</f>
        <v>570.89</v>
      </c>
      <c r="S31" s="35">
        <f>ROUND(('TE BE'!$AB$39+'TE BF'!$AB$39+'TE CVA'!$AB$39)*(1-CUSTOS!$M$31),2)</f>
        <v>196.57</v>
      </c>
      <c r="T31" s="35">
        <v>0</v>
      </c>
      <c r="U31" s="35">
        <f ca="1">ROUND(('TUSD BE'!$AM$48)*(1-CUSTOS!$M$31),2)</f>
        <v>752.68</v>
      </c>
      <c r="V31" s="35">
        <f>ROUND(('TE BE'!$AB$39)*(1-CUSTOS!$M$31),2)</f>
        <v>181.23</v>
      </c>
    </row>
    <row r="32" spans="12:22" ht="11.25" customHeight="1" x14ac:dyDescent="0.25">
      <c r="L32" s="121" t="s">
        <v>44</v>
      </c>
      <c r="M32" s="121" t="s">
        <v>678</v>
      </c>
      <c r="N32" s="121" t="s">
        <v>683</v>
      </c>
      <c r="O32" s="37" t="s">
        <v>684</v>
      </c>
      <c r="P32" s="37" t="s">
        <v>670</v>
      </c>
      <c r="Q32" s="35">
        <v>0</v>
      </c>
      <c r="R32" s="35">
        <f ca="1">ROUND(('TUSD BE'!$AM$50+'TUSD BF'!$AM$50+'TUSD CVA'!$AM$50),2)</f>
        <v>313.99</v>
      </c>
      <c r="S32" s="35">
        <f>ROUND(('TE BE'!$AB$41+'TE BF'!$AB$41+'TE CVA'!$AB$41),2)</f>
        <v>108.11</v>
      </c>
      <c r="T32" s="35">
        <v>0</v>
      </c>
      <c r="U32" s="35">
        <f ca="1">ROUND(('TUSD BE'!$AM$50),2)</f>
        <v>413.97</v>
      </c>
      <c r="V32" s="35">
        <f>ROUND(('TE BE'!$AB$41),2)</f>
        <v>99.68</v>
      </c>
    </row>
    <row r="33" spans="12:22" ht="11.25" customHeight="1" x14ac:dyDescent="0.25">
      <c r="L33" s="123"/>
      <c r="M33" s="123"/>
      <c r="N33" s="123"/>
      <c r="O33" s="37" t="s">
        <v>685</v>
      </c>
      <c r="P33" s="37" t="s">
        <v>670</v>
      </c>
      <c r="Q33" s="35">
        <v>0</v>
      </c>
      <c r="R33" s="35">
        <f ca="1">ROUND(('TUSD BE'!$AM$51+'TUSD BF'!$AM$51+'TUSD CVA'!$AM$51),2)</f>
        <v>342.53</v>
      </c>
      <c r="S33" s="35">
        <f>ROUND(('TE BE'!$AB$42+'TE BF'!$AB$42+'TE CVA'!$AB$42),2)</f>
        <v>117.94</v>
      </c>
      <c r="T33" s="35">
        <v>0</v>
      </c>
      <c r="U33" s="35">
        <f ca="1">ROUND(('TUSD BE'!$AM$51),2)</f>
        <v>451.61</v>
      </c>
      <c r="V33" s="35">
        <f>ROUND(('TE BE'!$AB$42),2)</f>
        <v>108.74</v>
      </c>
    </row>
    <row r="34" spans="12:22" ht="11.25" customHeight="1" x14ac:dyDescent="0.25">
      <c r="L34" s="121" t="s">
        <v>82</v>
      </c>
      <c r="M34" s="121" t="s">
        <v>55</v>
      </c>
      <c r="N34" s="37" t="s">
        <v>83</v>
      </c>
      <c r="O34" s="37" t="s">
        <v>670</v>
      </c>
      <c r="P34" s="37" t="s">
        <v>670</v>
      </c>
      <c r="Q34" s="35">
        <f ca="1">ROUND(('TUSD BE'!$AM$15+'TUSD BF'!$AM$15+'TUSD CVA'!$AM$15),2)</f>
        <v>10.81</v>
      </c>
      <c r="R34" s="35">
        <v>0</v>
      </c>
      <c r="S34" s="35">
        <v>0</v>
      </c>
      <c r="T34" s="35">
        <f ca="1">ROUND(('TUSD BE'!$AM$15),2)</f>
        <v>17.79</v>
      </c>
      <c r="U34" s="35">
        <v>0</v>
      </c>
      <c r="V34" s="35">
        <v>0</v>
      </c>
    </row>
    <row r="35" spans="12:22" ht="11.25" customHeight="1" x14ac:dyDescent="0.25">
      <c r="L35" s="123"/>
      <c r="M35" s="123"/>
      <c r="N35" s="37" t="s">
        <v>84</v>
      </c>
      <c r="O35" s="37" t="s">
        <v>670</v>
      </c>
      <c r="P35" s="37" t="s">
        <v>670</v>
      </c>
      <c r="Q35" s="35">
        <f ca="1">ROUND(('TUSD BE'!$AM$16+'TUSD BF'!$AM$16+'TUSD CVA'!$AM$16),2)</f>
        <v>26.75</v>
      </c>
      <c r="R35" s="35">
        <v>0</v>
      </c>
      <c r="S35" s="35">
        <v>0</v>
      </c>
      <c r="T35" s="35">
        <f ca="1">ROUND(('TUSD BE'!$AM$16),2)</f>
        <v>44.06</v>
      </c>
      <c r="U35" s="35">
        <v>0</v>
      </c>
      <c r="V35" s="35">
        <v>0</v>
      </c>
    </row>
  </sheetData>
  <mergeCells count="51"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L27:L31"/>
    <mergeCell ref="L32:L33"/>
    <mergeCell ref="L34:L35"/>
    <mergeCell ref="M32:M33"/>
    <mergeCell ref="M34:M35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O5:O7"/>
    <mergeCell ref="O12:O14"/>
    <mergeCell ref="O17:O19"/>
    <mergeCell ref="O22:O24"/>
    <mergeCell ref="O27:O29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0D37-EBD9-4A02-9F64-1E8B0964BCE7}">
  <dimension ref="A1:AN545"/>
  <sheetViews>
    <sheetView showGridLines="0" workbookViewId="0">
      <selection sqref="A1:O545 Q1:AJ13"/>
    </sheetView>
  </sheetViews>
  <sheetFormatPr defaultRowHeight="11.25" customHeight="1" x14ac:dyDescent="0.25"/>
  <cols>
    <col min="1" max="1" width="19.140625" style="3" bestFit="1" customWidth="1"/>
    <col min="2" max="2" width="8.7109375" style="3" bestFit="1" customWidth="1"/>
    <col min="3" max="3" width="10.285156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7" width="27.140625" style="3" bestFit="1" customWidth="1"/>
    <col min="8" max="8" width="10.28515625" style="3" bestFit="1" customWidth="1"/>
    <col min="9" max="9" width="8.7109375" style="6" bestFit="1" customWidth="1"/>
    <col min="10" max="10" width="10.140625" style="4" bestFit="1" customWidth="1"/>
    <col min="11" max="11" width="10.5703125" style="4" bestFit="1" customWidth="1"/>
    <col min="12" max="12" width="9.42578125" style="4" bestFit="1" customWidth="1"/>
    <col min="13" max="13" width="13.7109375" style="4" bestFit="1" customWidth="1"/>
    <col min="14" max="14" width="14.140625" style="4" bestFit="1" customWidth="1"/>
    <col min="15" max="15" width="12.85546875" style="4" bestFit="1" customWidth="1"/>
    <col min="16" max="16" width="7" style="4" bestFit="1" customWidth="1"/>
    <col min="17" max="17" width="9.28515625" style="3" bestFit="1" customWidth="1"/>
    <col min="18" max="18" width="18.85546875" style="3" bestFit="1" customWidth="1"/>
    <col min="19" max="19" width="20.28515625" style="3" bestFit="1" customWidth="1"/>
    <col min="20" max="20" width="18.140625" style="3" bestFit="1" customWidth="1"/>
    <col min="21" max="21" width="17" style="3" bestFit="1" customWidth="1"/>
    <col min="22" max="22" width="18.5703125" style="3" bestFit="1" customWidth="1"/>
    <col min="23" max="23" width="16.28515625" style="3" bestFit="1" customWidth="1"/>
    <col min="24" max="24" width="16.7109375" style="3" bestFit="1" customWidth="1"/>
    <col min="25" max="25" width="18.28515625" style="3" bestFit="1" customWidth="1"/>
    <col min="26" max="26" width="16" style="3" bestFit="1" customWidth="1"/>
    <col min="27" max="27" width="16.85546875" style="3" bestFit="1" customWidth="1"/>
    <col min="28" max="28" width="18.42578125" style="3" bestFit="1" customWidth="1"/>
    <col min="29" max="29" width="16.140625" style="3" bestFit="1" customWidth="1"/>
    <col min="30" max="30" width="17.28515625" style="3" bestFit="1" customWidth="1"/>
    <col min="31" max="31" width="21.5703125" style="3" bestFit="1" customWidth="1"/>
    <col min="32" max="32" width="11.42578125" style="3" bestFit="1" customWidth="1"/>
    <col min="33" max="33" width="12.85546875" style="3" bestFit="1" customWidth="1"/>
    <col min="34" max="34" width="10.7109375" style="3" bestFit="1" customWidth="1"/>
    <col min="35" max="35" width="11.7109375" style="3" bestFit="1" customWidth="1"/>
    <col min="36" max="36" width="16" style="3" bestFit="1" customWidth="1"/>
    <col min="37" max="37" width="9.140625" style="3"/>
    <col min="38" max="38" width="8.7109375" style="3" bestFit="1" customWidth="1"/>
    <col min="39" max="39" width="5.5703125" style="3" bestFit="1" customWidth="1"/>
    <col min="40" max="40" width="14.7109375" style="3" bestFit="1" customWidth="1"/>
    <col min="41" max="16384" width="9.140625" style="3"/>
  </cols>
  <sheetData>
    <row r="1" spans="1:40" s="1" customFormat="1" ht="11.25" customHeight="1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59" t="s">
        <v>8</v>
      </c>
      <c r="J1" s="36" t="s">
        <v>633</v>
      </c>
      <c r="K1" s="36" t="s">
        <v>634</v>
      </c>
      <c r="L1" s="36" t="s">
        <v>635</v>
      </c>
      <c r="M1" s="36" t="s">
        <v>636</v>
      </c>
      <c r="N1" s="36" t="s">
        <v>637</v>
      </c>
      <c r="O1" s="36" t="s">
        <v>638</v>
      </c>
      <c r="P1" s="7"/>
      <c r="Q1" s="119" t="s">
        <v>639</v>
      </c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L1" s="40" t="s">
        <v>660</v>
      </c>
      <c r="AM1" s="40" t="s">
        <v>60</v>
      </c>
      <c r="AN1" s="40" t="s">
        <v>661</v>
      </c>
    </row>
    <row r="2" spans="1:40" ht="11.25" customHeight="1" x14ac:dyDescent="0.2">
      <c r="A2" s="41" t="s">
        <v>21</v>
      </c>
      <c r="B2" s="41" t="s">
        <v>35</v>
      </c>
      <c r="C2" s="41" t="s">
        <v>36</v>
      </c>
      <c r="D2" s="41" t="s">
        <v>34</v>
      </c>
      <c r="E2" s="41" t="s">
        <v>25</v>
      </c>
      <c r="F2" s="41" t="s">
        <v>25</v>
      </c>
      <c r="G2" s="41" t="s">
        <v>25</v>
      </c>
      <c r="H2" s="41" t="s">
        <v>38</v>
      </c>
      <c r="I2" s="60">
        <v>44378</v>
      </c>
      <c r="J2" s="61">
        <f ca="1">EFEITO!$J$2*EFEITO!$Y$2</f>
        <v>207733.972386735</v>
      </c>
      <c r="K2" s="61">
        <f ca="1">EFEITO!$L$2*EFEITO!$Z$2</f>
        <v>181726.97729649814</v>
      </c>
      <c r="L2" s="61">
        <f>EFEITO!$N$2*EFEITO!$AA$2</f>
        <v>369433.09994003206</v>
      </c>
      <c r="M2" s="61">
        <f ca="1">$J$2-EFEITO!$K$2*EFEITO!$Y$2</f>
        <v>0</v>
      </c>
      <c r="N2" s="61">
        <f ca="1">$K$2-EFEITO!$M$2*EFEITO!$Z$2</f>
        <v>0</v>
      </c>
      <c r="O2" s="61">
        <f>$L$2-EFEITO!$O$2*EFEITO!$AA$2</f>
        <v>0</v>
      </c>
      <c r="P2" s="45"/>
      <c r="Q2" s="34" t="s">
        <v>63</v>
      </c>
      <c r="R2" s="34" t="s">
        <v>641</v>
      </c>
      <c r="S2" s="34" t="s">
        <v>642</v>
      </c>
      <c r="T2" s="34" t="s">
        <v>643</v>
      </c>
      <c r="U2" s="34" t="s">
        <v>644</v>
      </c>
      <c r="V2" s="34" t="s">
        <v>645</v>
      </c>
      <c r="W2" s="34" t="s">
        <v>646</v>
      </c>
      <c r="X2" s="62" t="s">
        <v>647</v>
      </c>
      <c r="Y2" s="62" t="s">
        <v>648</v>
      </c>
      <c r="Z2" s="62" t="s">
        <v>649</v>
      </c>
      <c r="AA2" s="62" t="s">
        <v>650</v>
      </c>
      <c r="AB2" s="62" t="s">
        <v>651</v>
      </c>
      <c r="AC2" s="62" t="s">
        <v>652</v>
      </c>
      <c r="AD2" s="62" t="s">
        <v>653</v>
      </c>
      <c r="AE2" s="62" t="s">
        <v>654</v>
      </c>
      <c r="AF2" s="62" t="s">
        <v>655</v>
      </c>
      <c r="AG2" s="62" t="s">
        <v>656</v>
      </c>
      <c r="AH2" s="62" t="s">
        <v>657</v>
      </c>
      <c r="AI2" s="62" t="s">
        <v>658</v>
      </c>
      <c r="AJ2" s="62" t="s">
        <v>659</v>
      </c>
      <c r="AL2" s="41"/>
      <c r="AM2" s="41"/>
      <c r="AN2" s="41"/>
    </row>
    <row r="3" spans="1:40" ht="11.25" customHeight="1" x14ac:dyDescent="0.2">
      <c r="A3" s="41" t="s">
        <v>21</v>
      </c>
      <c r="B3" s="41" t="s">
        <v>35</v>
      </c>
      <c r="C3" s="41" t="s">
        <v>36</v>
      </c>
      <c r="D3" s="41" t="s">
        <v>34</v>
      </c>
      <c r="E3" s="41" t="s">
        <v>25</v>
      </c>
      <c r="F3" s="41" t="s">
        <v>25</v>
      </c>
      <c r="G3" s="41" t="s">
        <v>25</v>
      </c>
      <c r="H3" s="41" t="s">
        <v>38</v>
      </c>
      <c r="I3" s="60">
        <v>44409</v>
      </c>
      <c r="J3" s="61">
        <f ca="1">EFEITO!$J$3*EFEITO!$Y$3</f>
        <v>209282.90486085849</v>
      </c>
      <c r="K3" s="61">
        <f ca="1">EFEITO!$L$3*EFEITO!$Z$3</f>
        <v>183320.68257289132</v>
      </c>
      <c r="L3" s="61">
        <f>EFEITO!$N$3*EFEITO!$AA$3</f>
        <v>372672.94627109228</v>
      </c>
      <c r="M3" s="61">
        <f ca="1">$J$3-EFEITO!$K$3*EFEITO!$Y$3</f>
        <v>0</v>
      </c>
      <c r="N3" s="61">
        <f ca="1">$K$3-EFEITO!$M$3*EFEITO!$Z$3</f>
        <v>0</v>
      </c>
      <c r="O3" s="61">
        <f>$L$3-EFEITO!$O$3*EFEITO!$AA$3</f>
        <v>0</v>
      </c>
      <c r="P3" s="45"/>
      <c r="Q3" s="61" t="s">
        <v>640</v>
      </c>
      <c r="R3" s="61">
        <f>SUMIF($B$2:$B$545,$Q$3,$J$2:$J$545)</f>
        <v>0</v>
      </c>
      <c r="S3" s="61">
        <f>SUMIF($B$2:$B$545,$Q$3,$K$2:$K$545)</f>
        <v>0</v>
      </c>
      <c r="T3" s="61">
        <f>SUMIF($B$2:$B$545,$Q$3,$L$2:$L$545)</f>
        <v>0</v>
      </c>
      <c r="U3" s="61">
        <f>SUMIF($B$2:$B$545,$Q$3,$M$2:$M$545)</f>
        <v>0</v>
      </c>
      <c r="V3" s="61">
        <f>SUMIF($B$2:$B$545,$Q$3,$N$2:$N$545)</f>
        <v>0</v>
      </c>
      <c r="W3" s="61">
        <f>SUMIF($B$2:$B$545,$Q$3,$O$2:$O$545)</f>
        <v>0</v>
      </c>
      <c r="X3" s="42">
        <f>$R$3-$U$3</f>
        <v>0</v>
      </c>
      <c r="Y3" s="42">
        <f>$S$3-$V$3</f>
        <v>0</v>
      </c>
      <c r="Z3" s="42">
        <f>$T$3-$W$3</f>
        <v>0</v>
      </c>
      <c r="AA3" s="42">
        <f>SUMIF(EFEITO!$B$2:$B$545,$Q$3,EFEITO!$AE$2:$AE$545)</f>
        <v>0</v>
      </c>
      <c r="AB3" s="42">
        <f>SUMIF(EFEITO!$B$2:$B$545,$Q$3,EFEITO!$AF$2:$AF$545)</f>
        <v>0</v>
      </c>
      <c r="AC3" s="42">
        <f>SUMIF(EFEITO!$B$2:$B$545,$Q$3,EFEITO!$AG$2:$AH$545)</f>
        <v>0</v>
      </c>
      <c r="AD3" s="42">
        <f>SUMIF(SUBSIDIO!$B$2:$B$545,$Q$3,SUBSIDIO!$AD$2:$AD$545)</f>
        <v>0</v>
      </c>
      <c r="AE3" s="42">
        <f>SUMIF(SUBSIDIO!$B$2:$B$545,$Q$3,SUBSIDIO!$AE$2:$AE$545)</f>
        <v>0</v>
      </c>
      <c r="AF3" s="42" t="str">
        <f>IF(ABS($X$3-$AA$3)&lt;0.01,"OK","ERRO")</f>
        <v>OK</v>
      </c>
      <c r="AG3" s="42" t="str">
        <f>IF(ABS($Y$3-$AB$3)&lt;0.01,"OK","ERRO")</f>
        <v>OK</v>
      </c>
      <c r="AH3" s="42" t="str">
        <f>IF(ABS($Z$3-$AC$3)&lt;0.01,"OK","ERRO")</f>
        <v>OK</v>
      </c>
      <c r="AI3" s="42" t="str">
        <f>IF(ABS($U$3-$AD$3)&lt;0.01,"OK","ERRO")</f>
        <v>OK</v>
      </c>
      <c r="AJ3" s="42" t="str">
        <f>IF(ABS(($V$3+$W$3)-$AE$3)&lt;0.01,"OK","ERRO")</f>
        <v>OK</v>
      </c>
    </row>
    <row r="4" spans="1:40" ht="11.25" customHeight="1" x14ac:dyDescent="0.2">
      <c r="A4" s="41" t="s">
        <v>21</v>
      </c>
      <c r="B4" s="41" t="s">
        <v>35</v>
      </c>
      <c r="C4" s="41" t="s">
        <v>36</v>
      </c>
      <c r="D4" s="41" t="s">
        <v>34</v>
      </c>
      <c r="E4" s="41" t="s">
        <v>25</v>
      </c>
      <c r="F4" s="41" t="s">
        <v>25</v>
      </c>
      <c r="G4" s="41" t="s">
        <v>25</v>
      </c>
      <c r="H4" s="41" t="s">
        <v>38</v>
      </c>
      <c r="I4" s="60">
        <v>44440</v>
      </c>
      <c r="J4" s="61">
        <f ca="1">EFEITO!$J$4*EFEITO!$Y$4</f>
        <v>218355.2236378676</v>
      </c>
      <c r="K4" s="61">
        <f ca="1">EFEITO!$L$4*EFEITO!$Z$4</f>
        <v>183827.45416332799</v>
      </c>
      <c r="L4" s="61">
        <f>EFEITO!$N$4*EFEITO!$AA$4</f>
        <v>373703.1631513912</v>
      </c>
      <c r="M4" s="61">
        <f ca="1">$J$4-EFEITO!$K$4*EFEITO!$Y$4</f>
        <v>0</v>
      </c>
      <c r="N4" s="61">
        <f ca="1">$K$4-EFEITO!$M$4*EFEITO!$Z$4</f>
        <v>0</v>
      </c>
      <c r="O4" s="61">
        <f>$L$4-EFEITO!$O$4*EFEITO!$AA$4</f>
        <v>0</v>
      </c>
      <c r="P4" s="45"/>
      <c r="Q4" s="61" t="s">
        <v>520</v>
      </c>
      <c r="R4" s="61">
        <f>SUMIF($B$2:$B$545,$Q$4,$J$2:$J$545)</f>
        <v>0</v>
      </c>
      <c r="S4" s="61">
        <f>SUMIF($B$2:$B$545,$Q$4,$K$2:$K$545)</f>
        <v>0</v>
      </c>
      <c r="T4" s="61">
        <f>SUMIF($B$2:$B$545,$Q$4,$L$2:$L$545)</f>
        <v>0</v>
      </c>
      <c r="U4" s="61">
        <f>SUMIF($B$2:$B$545,$Q$4,$M$2:$M$545)</f>
        <v>0</v>
      </c>
      <c r="V4" s="61">
        <f>SUMIF($B$2:$B$545,$Q$4,$N$2:$N$545)</f>
        <v>0</v>
      </c>
      <c r="W4" s="61">
        <f>SUMIF($B$2:$B$545,$Q$4,$O$2:$O$545)</f>
        <v>0</v>
      </c>
      <c r="X4" s="42">
        <f>$R$4-$U$4</f>
        <v>0</v>
      </c>
      <c r="Y4" s="42">
        <f>$S$4-$V$4</f>
        <v>0</v>
      </c>
      <c r="Z4" s="42">
        <f>$T$4-$W$4</f>
        <v>0</v>
      </c>
      <c r="AA4" s="42">
        <f>SUMIF(EFEITO!$B$2:$B$545,$Q$4,EFEITO!$AE$2:$AE$545)</f>
        <v>0</v>
      </c>
      <c r="AB4" s="42">
        <f>SUMIF(EFEITO!$B$2:$B$545,$Q$4,EFEITO!$AF$2:$AF$545)</f>
        <v>0</v>
      </c>
      <c r="AC4" s="42">
        <f>SUMIF(EFEITO!$B$2:$B$545,$Q$4,EFEITO!$AG$2:$AH$545)</f>
        <v>0</v>
      </c>
      <c r="AD4" s="42">
        <f>SUMIF(SUBSIDIO!$B$2:$B$545,$Q$4,SUBSIDIO!$AD$2:$AD$545)</f>
        <v>0</v>
      </c>
      <c r="AE4" s="42">
        <f>SUMIF(SUBSIDIO!$B$2:$B$545,$Q$4,SUBSIDIO!$AE$2:$AE$545)</f>
        <v>0</v>
      </c>
      <c r="AF4" s="42" t="str">
        <f>IF(ABS($X$4-$AA$4)&lt;0.01,"OK","ERRO")</f>
        <v>OK</v>
      </c>
      <c r="AG4" s="42" t="str">
        <f>IF(ABS($Y$4-$AB$4)&lt;0.01,"OK","ERRO")</f>
        <v>OK</v>
      </c>
      <c r="AH4" s="42" t="str">
        <f>IF(ABS($Z$4-$AC$4)&lt;0.01,"OK","ERRO")</f>
        <v>OK</v>
      </c>
      <c r="AI4" s="42" t="str">
        <f>IF(ABS($U$4-$AD$4)&lt;0.01,"OK","ERRO")</f>
        <v>OK</v>
      </c>
      <c r="AJ4" s="42" t="str">
        <f>IF(ABS(($V$4+$W$4)-$AE$4)&lt;0.01,"OK","ERRO")</f>
        <v>OK</v>
      </c>
    </row>
    <row r="5" spans="1:40" ht="11.25" customHeight="1" x14ac:dyDescent="0.2">
      <c r="A5" s="41" t="s">
        <v>21</v>
      </c>
      <c r="B5" s="41" t="s">
        <v>35</v>
      </c>
      <c r="C5" s="41" t="s">
        <v>36</v>
      </c>
      <c r="D5" s="41" t="s">
        <v>34</v>
      </c>
      <c r="E5" s="41" t="s">
        <v>25</v>
      </c>
      <c r="F5" s="41" t="s">
        <v>25</v>
      </c>
      <c r="G5" s="41" t="s">
        <v>25</v>
      </c>
      <c r="H5" s="41" t="s">
        <v>38</v>
      </c>
      <c r="I5" s="60">
        <v>44470</v>
      </c>
      <c r="J5" s="61">
        <f ca="1">EFEITO!$J$5*EFEITO!$Y$5</f>
        <v>214372.25441869287</v>
      </c>
      <c r="K5" s="61">
        <f ca="1">EFEITO!$L$5*EFEITO!$Z$5</f>
        <v>188797.7028356471</v>
      </c>
      <c r="L5" s="61">
        <f>EFEITO!$N$5*EFEITO!$AA$5</f>
        <v>383807.19064254273</v>
      </c>
      <c r="M5" s="61">
        <f ca="1">$J$5-EFEITO!$K$5*EFEITO!$Y$5</f>
        <v>0</v>
      </c>
      <c r="N5" s="61">
        <f ca="1">$K$5-EFEITO!$M$5*EFEITO!$Z$5</f>
        <v>0</v>
      </c>
      <c r="O5" s="61">
        <f>$L$5-EFEITO!$O$5*EFEITO!$AA$5</f>
        <v>0</v>
      </c>
      <c r="P5" s="45"/>
      <c r="Q5" s="61" t="s">
        <v>521</v>
      </c>
      <c r="R5" s="61">
        <f>SUMIF($B$2:$B$545,$Q$5,$J$2:$J$545)</f>
        <v>0</v>
      </c>
      <c r="S5" s="61">
        <f>SUMIF($B$2:$B$545,$Q$5,$K$2:$K$545)</f>
        <v>0</v>
      </c>
      <c r="T5" s="61">
        <f>SUMIF($B$2:$B$545,$Q$5,$L$2:$L$545)</f>
        <v>0</v>
      </c>
      <c r="U5" s="61">
        <f>SUMIF($B$2:$B$545,$Q$5,$M$2:$M$545)</f>
        <v>0</v>
      </c>
      <c r="V5" s="61">
        <f>SUMIF($B$2:$B$545,$Q$5,$N$2:$N$545)</f>
        <v>0</v>
      </c>
      <c r="W5" s="61">
        <f>SUMIF($B$2:$B$545,$Q$5,$O$2:$O$545)</f>
        <v>0</v>
      </c>
      <c r="X5" s="42">
        <f>$R$5-$U$5</f>
        <v>0</v>
      </c>
      <c r="Y5" s="42">
        <f>$S$5-$V$5</f>
        <v>0</v>
      </c>
      <c r="Z5" s="42">
        <f>$T$5-$W$5</f>
        <v>0</v>
      </c>
      <c r="AA5" s="42">
        <f>SUMIF(EFEITO!$B$2:$B$545,$Q$5,EFEITO!$AE$2:$AE$545)</f>
        <v>0</v>
      </c>
      <c r="AB5" s="42">
        <f>SUMIF(EFEITO!$B$2:$B$545,$Q$5,EFEITO!$AF$2:$AF$545)</f>
        <v>0</v>
      </c>
      <c r="AC5" s="42">
        <f>SUMIF(EFEITO!$B$2:$B$545,$Q$5,EFEITO!$AG$2:$AH$545)</f>
        <v>0</v>
      </c>
      <c r="AD5" s="42">
        <f>SUMIF(SUBSIDIO!$B$2:$B$545,$Q$5,SUBSIDIO!$AD$2:$AD$545)</f>
        <v>0</v>
      </c>
      <c r="AE5" s="42">
        <f>SUMIF(SUBSIDIO!$B$2:$B$545,$Q$5,SUBSIDIO!$AE$2:$AE$545)</f>
        <v>0</v>
      </c>
      <c r="AF5" s="42" t="str">
        <f>IF(ABS($X$5-$AA$5)&lt;0.01,"OK","ERRO")</f>
        <v>OK</v>
      </c>
      <c r="AG5" s="42" t="str">
        <f>IF(ABS($Y$5-$AB$5)&lt;0.01,"OK","ERRO")</f>
        <v>OK</v>
      </c>
      <c r="AH5" s="42" t="str">
        <f>IF(ABS($Z$5-$AC$5)&lt;0.01,"OK","ERRO")</f>
        <v>OK</v>
      </c>
      <c r="AI5" s="42" t="str">
        <f>IF(ABS($U$5-$AD$5)&lt;0.01,"OK","ERRO")</f>
        <v>OK</v>
      </c>
      <c r="AJ5" s="42" t="str">
        <f>IF(ABS(($V$5+$W$5)-$AE$5)&lt;0.01,"OK","ERRO")</f>
        <v>OK</v>
      </c>
    </row>
    <row r="6" spans="1:40" ht="11.25" customHeight="1" x14ac:dyDescent="0.2">
      <c r="A6" s="41" t="s">
        <v>21</v>
      </c>
      <c r="B6" s="41" t="s">
        <v>35</v>
      </c>
      <c r="C6" s="41" t="s">
        <v>36</v>
      </c>
      <c r="D6" s="41" t="s">
        <v>34</v>
      </c>
      <c r="E6" s="41" t="s">
        <v>25</v>
      </c>
      <c r="F6" s="41" t="s">
        <v>25</v>
      </c>
      <c r="G6" s="41" t="s">
        <v>25</v>
      </c>
      <c r="H6" s="41" t="s">
        <v>38</v>
      </c>
      <c r="I6" s="60">
        <v>44501</v>
      </c>
      <c r="J6" s="61">
        <f ca="1">EFEITO!$J$6*EFEITO!$Y$6</f>
        <v>225037.76088337184</v>
      </c>
      <c r="K6" s="61">
        <f ca="1">EFEITO!$L$6*EFEITO!$Z$6</f>
        <v>188852.81823472149</v>
      </c>
      <c r="L6" s="61">
        <f>EFEITO!$N$6*EFEITO!$AA$6</f>
        <v>383919.23483673664</v>
      </c>
      <c r="M6" s="61">
        <f ca="1">$J$6-EFEITO!$K$6*EFEITO!$Y$6</f>
        <v>0</v>
      </c>
      <c r="N6" s="61">
        <f ca="1">$K$6-EFEITO!$M$6*EFEITO!$Z$6</f>
        <v>0</v>
      </c>
      <c r="O6" s="61">
        <f>$L$6-EFEITO!$O$6*EFEITO!$AA$6</f>
        <v>0</v>
      </c>
      <c r="P6" s="45"/>
      <c r="Q6" s="61" t="s">
        <v>522</v>
      </c>
      <c r="R6" s="61">
        <f>SUMIF($B$2:$B$545,$Q$6,$J$2:$J$545)</f>
        <v>0</v>
      </c>
      <c r="S6" s="61">
        <f>SUMIF($B$2:$B$545,$Q$6,$K$2:$K$545)</f>
        <v>0</v>
      </c>
      <c r="T6" s="61">
        <f>SUMIF($B$2:$B$545,$Q$6,$L$2:$L$545)</f>
        <v>0</v>
      </c>
      <c r="U6" s="61">
        <f>SUMIF($B$2:$B$545,$Q$6,$M$2:$M$545)</f>
        <v>0</v>
      </c>
      <c r="V6" s="61">
        <f>SUMIF($B$2:$B$545,$Q$6,$N$2:$N$545)</f>
        <v>0</v>
      </c>
      <c r="W6" s="61">
        <f>SUMIF($B$2:$B$545,$Q$6,$O$2:$O$545)</f>
        <v>0</v>
      </c>
      <c r="X6" s="42">
        <f>$R$6-$U$6</f>
        <v>0</v>
      </c>
      <c r="Y6" s="42">
        <f>$S$6-$V$6</f>
        <v>0</v>
      </c>
      <c r="Z6" s="42">
        <f>$T$6-$W$6</f>
        <v>0</v>
      </c>
      <c r="AA6" s="42">
        <f>SUMIF(EFEITO!$B$2:$B$545,$Q$6,EFEITO!$AE$2:$AE$545)</f>
        <v>0</v>
      </c>
      <c r="AB6" s="42">
        <f>SUMIF(EFEITO!$B$2:$B$545,$Q$6,EFEITO!$AF$2:$AF$545)</f>
        <v>0</v>
      </c>
      <c r="AC6" s="42">
        <f>SUMIF(EFEITO!$B$2:$B$545,$Q$6,EFEITO!$AG$2:$AH$545)</f>
        <v>0</v>
      </c>
      <c r="AD6" s="42">
        <f>SUMIF(SUBSIDIO!$B$2:$B$545,$Q$6,SUBSIDIO!$AD$2:$AD$545)</f>
        <v>0</v>
      </c>
      <c r="AE6" s="42">
        <f>SUMIF(SUBSIDIO!$B$2:$B$545,$Q$6,SUBSIDIO!$AE$2:$AE$545)</f>
        <v>0</v>
      </c>
      <c r="AF6" s="42" t="str">
        <f>IF(ABS($X$6-$AA$6)&lt;0.01,"OK","ERRO")</f>
        <v>OK</v>
      </c>
      <c r="AG6" s="42" t="str">
        <f>IF(ABS($Y$6-$AB$6)&lt;0.01,"OK","ERRO")</f>
        <v>OK</v>
      </c>
      <c r="AH6" s="42" t="str">
        <f>IF(ABS($Z$6-$AC$6)&lt;0.01,"OK","ERRO")</f>
        <v>OK</v>
      </c>
      <c r="AI6" s="42" t="str">
        <f>IF(ABS($U$6-$AD$6)&lt;0.01,"OK","ERRO")</f>
        <v>OK</v>
      </c>
      <c r="AJ6" s="42" t="str">
        <f>IF(ABS(($V$6+$W$6)-$AE$6)&lt;0.01,"OK","ERRO")</f>
        <v>OK</v>
      </c>
    </row>
    <row r="7" spans="1:40" ht="11.25" customHeight="1" x14ac:dyDescent="0.2">
      <c r="A7" s="41" t="s">
        <v>21</v>
      </c>
      <c r="B7" s="41" t="s">
        <v>35</v>
      </c>
      <c r="C7" s="41" t="s">
        <v>36</v>
      </c>
      <c r="D7" s="41" t="s">
        <v>34</v>
      </c>
      <c r="E7" s="41" t="s">
        <v>25</v>
      </c>
      <c r="F7" s="41" t="s">
        <v>25</v>
      </c>
      <c r="G7" s="41" t="s">
        <v>25</v>
      </c>
      <c r="H7" s="41" t="s">
        <v>38</v>
      </c>
      <c r="I7" s="60">
        <v>44531</v>
      </c>
      <c r="J7" s="61">
        <f ca="1">EFEITO!$J$7*EFEITO!$Y$7</f>
        <v>225613.07865947485</v>
      </c>
      <c r="K7" s="61">
        <f ca="1">EFEITO!$L$7*EFEITO!$Z$7</f>
        <v>187028.78860640686</v>
      </c>
      <c r="L7" s="61">
        <f>EFEITO!$N$7*EFEITO!$AA$7</f>
        <v>380211.16171520279</v>
      </c>
      <c r="M7" s="61">
        <f ca="1">$J$7-EFEITO!$K$7*EFEITO!$Y$7</f>
        <v>0</v>
      </c>
      <c r="N7" s="61">
        <f ca="1">$K$7-EFEITO!$M$7*EFEITO!$Z$7</f>
        <v>0</v>
      </c>
      <c r="O7" s="61">
        <f>$L$7-EFEITO!$O$7*EFEITO!$AA$7</f>
        <v>0</v>
      </c>
      <c r="P7" s="45"/>
      <c r="Q7" s="61" t="s">
        <v>35</v>
      </c>
      <c r="R7" s="61">
        <f ca="1">SUMIF($B$2:$B$545,$Q$7,$J$2:$J$545)</f>
        <v>11824853.33359706</v>
      </c>
      <c r="S7" s="61">
        <f ca="1">SUMIF($B$2:$B$545,$Q$7,$K$2:$K$545)</f>
        <v>4805490.0635803817</v>
      </c>
      <c r="T7" s="61">
        <f>SUMIF($B$2:$B$545,$Q$7,$L$2:$L$545)</f>
        <v>8195867.8840948157</v>
      </c>
      <c r="U7" s="61">
        <f ca="1">SUMIF($B$2:$B$545,$Q$7,$M$2:$M$545)</f>
        <v>132605.07452182763</v>
      </c>
      <c r="V7" s="61">
        <f ca="1">SUMIF($B$2:$B$545,$Q$7,$N$2:$N$545)</f>
        <v>33514.1531872962</v>
      </c>
      <c r="W7" s="61">
        <f>SUMIF($B$2:$B$545,$Q$7,$O$2:$O$545)</f>
        <v>65704.244780286477</v>
      </c>
      <c r="X7" s="42">
        <f ca="1">$R$7-$U$7</f>
        <v>11692248.259075232</v>
      </c>
      <c r="Y7" s="42">
        <f ca="1">$S$7-$V$7</f>
        <v>4771975.9103930853</v>
      </c>
      <c r="Z7" s="42">
        <f>$T$7-$W$7</f>
        <v>8130163.6393145295</v>
      </c>
      <c r="AA7" s="42">
        <f ca="1">SUMIF(EFEITO!$B$2:$B$545,$Q$7,EFEITO!$AE$2:$AE$545)</f>
        <v>11692248.259075226</v>
      </c>
      <c r="AB7" s="42">
        <f ca="1">SUMIF(EFEITO!$B$2:$B$545,$Q$7,EFEITO!$AF$2:$AF$545)</f>
        <v>4771975.9103930881</v>
      </c>
      <c r="AC7" s="42">
        <f>SUMIF(EFEITO!$B$2:$B$545,$Q$7,EFEITO!$AG$2:$AH$545)</f>
        <v>8130163.6393145341</v>
      </c>
      <c r="AD7" s="42">
        <f ca="1">SUMIF(SUBSIDIO!$B$2:$B$545,$Q$7,SUBSIDIO!$AD$2:$AD$545)</f>
        <v>132605.07452182763</v>
      </c>
      <c r="AE7" s="42">
        <f ca="1">SUMIF(SUBSIDIO!$B$2:$B$545,$Q$7,SUBSIDIO!$AE$2:$AE$545)</f>
        <v>99218.397967582612</v>
      </c>
      <c r="AF7" s="42" t="str">
        <f ca="1">IF(ABS($X$7-$AA$7)&lt;0.01,"OK","ERRO")</f>
        <v>OK</v>
      </c>
      <c r="AG7" s="42" t="str">
        <f ca="1">IF(ABS($Y$7-$AB$7)&lt;0.01,"OK","ERRO")</f>
        <v>OK</v>
      </c>
      <c r="AH7" s="42" t="str">
        <f>IF(ABS($Z$7-$AC$7)&lt;0.01,"OK","ERRO")</f>
        <v>OK</v>
      </c>
      <c r="AI7" s="42" t="str">
        <f ca="1">IF(ABS($U$7-$AD$7)&lt;0.01,"OK","ERRO")</f>
        <v>OK</v>
      </c>
      <c r="AJ7" s="42" t="str">
        <f ca="1">IF(ABS(($V$7+$W$7)-$AE$7)&lt;0.01,"OK","ERRO")</f>
        <v>OK</v>
      </c>
    </row>
    <row r="8" spans="1:40" ht="11.25" customHeight="1" x14ac:dyDescent="0.2">
      <c r="A8" s="41" t="s">
        <v>21</v>
      </c>
      <c r="B8" s="41" t="s">
        <v>35</v>
      </c>
      <c r="C8" s="41" t="s">
        <v>36</v>
      </c>
      <c r="D8" s="41" t="s">
        <v>34</v>
      </c>
      <c r="E8" s="41" t="s">
        <v>25</v>
      </c>
      <c r="F8" s="41" t="s">
        <v>25</v>
      </c>
      <c r="G8" s="41" t="s">
        <v>25</v>
      </c>
      <c r="H8" s="41" t="s">
        <v>38</v>
      </c>
      <c r="I8" s="60">
        <v>44562</v>
      </c>
      <c r="J8" s="61">
        <f ca="1">EFEITO!$J$8*EFEITO!$Y$8</f>
        <v>224727.97438854715</v>
      </c>
      <c r="K8" s="61">
        <f ca="1">EFEITO!$L$8*EFEITO!$Z$8</f>
        <v>192378.75337024376</v>
      </c>
      <c r="L8" s="61">
        <f>EFEITO!$N$8*EFEITO!$AA$8</f>
        <v>391087.11473372194</v>
      </c>
      <c r="M8" s="61">
        <f ca="1">$J$8-EFEITO!$K$8*EFEITO!$Y$8</f>
        <v>0</v>
      </c>
      <c r="N8" s="61">
        <f ca="1">$K$8-EFEITO!$M$8*EFEITO!$Z$8</f>
        <v>0</v>
      </c>
      <c r="O8" s="61">
        <f>$L$8-EFEITO!$O$8*EFEITO!$AA$8</f>
        <v>0</v>
      </c>
      <c r="P8" s="45"/>
      <c r="Q8" s="61" t="s">
        <v>523</v>
      </c>
      <c r="R8" s="61">
        <f>SUMIF($B$2:$B$545,$Q$8,$J$2:$J$545)</f>
        <v>0</v>
      </c>
      <c r="S8" s="61">
        <f>SUMIF($B$2:$B$545,$Q$8,$K$2:$K$545)</f>
        <v>0</v>
      </c>
      <c r="T8" s="61">
        <f>SUMIF($B$2:$B$545,$Q$8,$L$2:$L$545)</f>
        <v>0</v>
      </c>
      <c r="U8" s="61">
        <f>SUMIF($B$2:$B$545,$Q$8,$M$2:$M$545)</f>
        <v>0</v>
      </c>
      <c r="V8" s="61">
        <f>SUMIF($B$2:$B$545,$Q$8,$N$2:$N$545)</f>
        <v>0</v>
      </c>
      <c r="W8" s="61">
        <f>SUMIF($B$2:$B$545,$Q$8,$O$2:$O$545)</f>
        <v>0</v>
      </c>
      <c r="X8" s="42">
        <f>$R$8-$U$8</f>
        <v>0</v>
      </c>
      <c r="Y8" s="42">
        <f>$S$8-$V$8</f>
        <v>0</v>
      </c>
      <c r="Z8" s="42">
        <f>$T$8-$W$8</f>
        <v>0</v>
      </c>
      <c r="AA8" s="42">
        <f>SUMIF(EFEITO!$B$2:$B$545,$Q$8,EFEITO!$AE$2:$AE$545)</f>
        <v>0</v>
      </c>
      <c r="AB8" s="42">
        <f>SUMIF(EFEITO!$B$2:$B$545,$Q$8,EFEITO!$AF$2:$AF$545)</f>
        <v>0</v>
      </c>
      <c r="AC8" s="42">
        <f>SUMIF(EFEITO!$B$2:$B$545,$Q$8,EFEITO!$AG$2:$AH$545)</f>
        <v>0</v>
      </c>
      <c r="AD8" s="42">
        <f>SUMIF(SUBSIDIO!$B$2:$B$545,$Q$8,SUBSIDIO!$AD$2:$AD$545)</f>
        <v>0</v>
      </c>
      <c r="AE8" s="42">
        <f>SUMIF(SUBSIDIO!$B$2:$B$545,$Q$8,SUBSIDIO!$AE$2:$AE$545)</f>
        <v>0</v>
      </c>
      <c r="AF8" s="42" t="str">
        <f>IF(ABS($X$8-$AA$8)&lt;0.01,"OK","ERRO")</f>
        <v>OK</v>
      </c>
      <c r="AG8" s="42" t="str">
        <f>IF(ABS($Y$8-$AB$8)&lt;0.01,"OK","ERRO")</f>
        <v>OK</v>
      </c>
      <c r="AH8" s="42" t="str">
        <f>IF(ABS($Z$8-$AC$8)&lt;0.01,"OK","ERRO")</f>
        <v>OK</v>
      </c>
      <c r="AI8" s="42" t="str">
        <f>IF(ABS($U$8-$AD$8)&lt;0.01,"OK","ERRO")</f>
        <v>OK</v>
      </c>
      <c r="AJ8" s="42" t="str">
        <f>IF(ABS(($V$8+$W$8)-$AE$8)&lt;0.01,"OK","ERRO")</f>
        <v>OK</v>
      </c>
    </row>
    <row r="9" spans="1:40" ht="11.25" customHeight="1" x14ac:dyDescent="0.2">
      <c r="A9" s="41" t="s">
        <v>21</v>
      </c>
      <c r="B9" s="41" t="s">
        <v>35</v>
      </c>
      <c r="C9" s="41" t="s">
        <v>36</v>
      </c>
      <c r="D9" s="41" t="s">
        <v>34</v>
      </c>
      <c r="E9" s="41" t="s">
        <v>25</v>
      </c>
      <c r="F9" s="41" t="s">
        <v>25</v>
      </c>
      <c r="G9" s="41" t="s">
        <v>25</v>
      </c>
      <c r="H9" s="41" t="s">
        <v>38</v>
      </c>
      <c r="I9" s="60">
        <v>44593</v>
      </c>
      <c r="J9" s="61">
        <f ca="1">EFEITO!$J$9*EFEITO!$Y$9</f>
        <v>223400.31798215557</v>
      </c>
      <c r="K9" s="61">
        <f ca="1">EFEITO!$L$9*EFEITO!$Z$9</f>
        <v>196713.62785428599</v>
      </c>
      <c r="L9" s="61">
        <f>EFEITO!$N$9*EFEITO!$AA$9</f>
        <v>399899.48889145534</v>
      </c>
      <c r="M9" s="61">
        <f ca="1">$J$9-EFEITO!$K$9*EFEITO!$Y$9</f>
        <v>0</v>
      </c>
      <c r="N9" s="61">
        <f ca="1">$K$9-EFEITO!$M$9*EFEITO!$Z$9</f>
        <v>0</v>
      </c>
      <c r="O9" s="61">
        <f>$L$9-EFEITO!$O$9*EFEITO!$AA$9</f>
        <v>0</v>
      </c>
      <c r="P9" s="45"/>
      <c r="Q9" s="61" t="s">
        <v>22</v>
      </c>
      <c r="R9" s="61">
        <f>SUMIF($B$2:$B$545,$Q$9,$J$2:$J$545)</f>
        <v>0</v>
      </c>
      <c r="S9" s="61">
        <f ca="1">SUMIF($B$2:$B$545,$Q$9,$K$2:$K$545)</f>
        <v>2802204.5220324039</v>
      </c>
      <c r="T9" s="61">
        <f>SUMIF($B$2:$B$545,$Q$9,$L$2:$L$545)</f>
        <v>969445.68191822385</v>
      </c>
      <c r="U9" s="61">
        <f>SUMIF($B$2:$B$545,$Q$9,$M$2:$M$545)</f>
        <v>0</v>
      </c>
      <c r="V9" s="61">
        <f ca="1">SUMIF($B$2:$B$545,$Q$9,$N$2:$N$545)</f>
        <v>19842.004941937786</v>
      </c>
      <c r="W9" s="61">
        <f>SUMIF($B$2:$B$545,$Q$9,$O$2:$O$545)</f>
        <v>8355.3517866792172</v>
      </c>
      <c r="X9" s="42">
        <f>$R$9-$U$9</f>
        <v>0</v>
      </c>
      <c r="Y9" s="42">
        <f ca="1">$S$9-$V$9</f>
        <v>2782362.5170904659</v>
      </c>
      <c r="Z9" s="42">
        <f>$T$9-$W$9</f>
        <v>961090.33013154462</v>
      </c>
      <c r="AA9" s="42">
        <f>SUMIF(EFEITO!$B$2:$B$545,$Q$9,EFEITO!$AE$2:$AE$545)</f>
        <v>0</v>
      </c>
      <c r="AB9" s="42">
        <f ca="1">SUMIF(EFEITO!$B$2:$B$545,$Q$9,EFEITO!$AF$2:$AF$545)</f>
        <v>2782362.5170904687</v>
      </c>
      <c r="AC9" s="42">
        <f>SUMIF(EFEITO!$B$2:$B$545,$Q$9,EFEITO!$AG$2:$AH$545)</f>
        <v>961090.33013154496</v>
      </c>
      <c r="AD9" s="42">
        <f>SUMIF(SUBSIDIO!$B$2:$B$545,$Q$9,SUBSIDIO!$AD$2:$AD$545)</f>
        <v>0</v>
      </c>
      <c r="AE9" s="42">
        <f ca="1">SUMIF(SUBSIDIO!$B$2:$B$545,$Q$9,SUBSIDIO!$AE$2:$AE$545)</f>
        <v>28197.356728617015</v>
      </c>
      <c r="AF9" s="42" t="str">
        <f>IF(ABS($X$9-$AA$9)&lt;0.01,"OK","ERRO")</f>
        <v>OK</v>
      </c>
      <c r="AG9" s="42" t="str">
        <f ca="1">IF(ABS($Y$9-$AB$9)&lt;0.01,"OK","ERRO")</f>
        <v>OK</v>
      </c>
      <c r="AH9" s="42" t="str">
        <f>IF(ABS($Z$9-$AC$9)&lt;0.01,"OK","ERRO")</f>
        <v>OK</v>
      </c>
      <c r="AI9" s="42" t="str">
        <f>IF(ABS($U$9-$AD$9)&lt;0.01,"OK","ERRO")</f>
        <v>OK</v>
      </c>
      <c r="AJ9" s="42" t="str">
        <f ca="1">IF(ABS(($V$9+$W$9)-$AE$9)&lt;0.01,"OK","ERRO")</f>
        <v>OK</v>
      </c>
    </row>
    <row r="10" spans="1:40" ht="11.25" customHeight="1" x14ac:dyDescent="0.2">
      <c r="A10" s="41" t="s">
        <v>21</v>
      </c>
      <c r="B10" s="41" t="s">
        <v>35</v>
      </c>
      <c r="C10" s="41" t="s">
        <v>36</v>
      </c>
      <c r="D10" s="41" t="s">
        <v>34</v>
      </c>
      <c r="E10" s="41" t="s">
        <v>25</v>
      </c>
      <c r="F10" s="41" t="s">
        <v>25</v>
      </c>
      <c r="G10" s="41" t="s">
        <v>25</v>
      </c>
      <c r="H10" s="41" t="s">
        <v>38</v>
      </c>
      <c r="I10" s="60">
        <v>44621</v>
      </c>
      <c r="J10" s="61">
        <f ca="1">EFEITO!$J$10*EFEITO!$Y$10</f>
        <v>293721.8523073626</v>
      </c>
      <c r="K10" s="61">
        <f ca="1">EFEITO!$L$10*EFEITO!$Z$10</f>
        <v>216290.03744341451</v>
      </c>
      <c r="L10" s="61">
        <f>EFEITO!$N$10*EFEITO!$AA$10</f>
        <v>439696.40725656855</v>
      </c>
      <c r="M10" s="61">
        <f ca="1">$J$10-EFEITO!$K$10*EFEITO!$Y$10</f>
        <v>0</v>
      </c>
      <c r="N10" s="61">
        <f ca="1">$K$10-EFEITO!$M$10*EFEITO!$Z$10</f>
        <v>0</v>
      </c>
      <c r="O10" s="61">
        <f>$L$10-EFEITO!$O$10*EFEITO!$AA$10</f>
        <v>0</v>
      </c>
      <c r="P10" s="45"/>
      <c r="Q10" s="61" t="s">
        <v>41</v>
      </c>
      <c r="R10" s="61">
        <f>SUMIF($B$2:$B$545,$Q$10,$J$2:$J$545)</f>
        <v>0</v>
      </c>
      <c r="S10" s="61">
        <f ca="1">SUMIF($B$2:$B$545,$Q$10,$K$2:$K$545)</f>
        <v>12178890.115167731</v>
      </c>
      <c r="T10" s="61">
        <f>SUMIF($B$2:$B$545,$Q$10,$L$2:$L$545)</f>
        <v>4193451.3227445902</v>
      </c>
      <c r="U10" s="61">
        <f>SUMIF($B$2:$B$545,$Q$10,$M$2:$M$545)</f>
        <v>0</v>
      </c>
      <c r="V10" s="61">
        <f ca="1">SUMIF($B$2:$B$545,$Q$10,$N$2:$N$545)</f>
        <v>814808.6604509505</v>
      </c>
      <c r="W10" s="61">
        <f>SUMIF($B$2:$B$545,$Q$10,$O$2:$O$545)</f>
        <v>280555.98027741344</v>
      </c>
      <c r="X10" s="42">
        <f>$R$10-$U$10</f>
        <v>0</v>
      </c>
      <c r="Y10" s="42">
        <f ca="1">$S$10-$V$10</f>
        <v>11364081.454716781</v>
      </c>
      <c r="Z10" s="42">
        <f>$T$10-$W$10</f>
        <v>3912895.3424671767</v>
      </c>
      <c r="AA10" s="42">
        <f>SUMIF(EFEITO!$B$2:$B$545,$Q$10,EFEITO!$AE$2:$AE$545)</f>
        <v>0</v>
      </c>
      <c r="AB10" s="42">
        <f ca="1">SUMIF(EFEITO!$B$2:$B$545,$Q$10,EFEITO!$AF$2:$AF$545)</f>
        <v>11364081.454716783</v>
      </c>
      <c r="AC10" s="42">
        <f>SUMIF(EFEITO!$B$2:$B$545,$Q$10,EFEITO!$AG$2:$AH$545)</f>
        <v>3912895.3424671777</v>
      </c>
      <c r="AD10" s="42">
        <f>SUMIF(SUBSIDIO!$B$2:$B$545,$Q$10,SUBSIDIO!$AD$2:$AD$545)</f>
        <v>0</v>
      </c>
      <c r="AE10" s="42">
        <f ca="1">SUMIF(SUBSIDIO!$B$2:$B$545,$Q$10,SUBSIDIO!$AE$2:$AE$545)</f>
        <v>1095364.6407283635</v>
      </c>
      <c r="AF10" s="42" t="str">
        <f>IF(ABS($X$10-$AA$10)&lt;0.01,"OK","ERRO")</f>
        <v>OK</v>
      </c>
      <c r="AG10" s="42" t="str">
        <f ca="1">IF(ABS($Y$10-$AB$10)&lt;0.01,"OK","ERRO")</f>
        <v>OK</v>
      </c>
      <c r="AH10" s="42" t="str">
        <f>IF(ABS($Z$10-$AC$10)&lt;0.01,"OK","ERRO")</f>
        <v>OK</v>
      </c>
      <c r="AI10" s="42" t="str">
        <f>IF(ABS($U$10-$AD$10)&lt;0.01,"OK","ERRO")</f>
        <v>OK</v>
      </c>
      <c r="AJ10" s="42" t="str">
        <f ca="1">IF(ABS(($V$10+$W$10)-$AE$10)&lt;0.01,"OK","ERRO")</f>
        <v>OK</v>
      </c>
    </row>
    <row r="11" spans="1:40" ht="11.25" customHeight="1" x14ac:dyDescent="0.2">
      <c r="A11" s="41" t="s">
        <v>21</v>
      </c>
      <c r="B11" s="41" t="s">
        <v>35</v>
      </c>
      <c r="C11" s="41" t="s">
        <v>36</v>
      </c>
      <c r="D11" s="41" t="s">
        <v>34</v>
      </c>
      <c r="E11" s="41" t="s">
        <v>25</v>
      </c>
      <c r="F11" s="41" t="s">
        <v>25</v>
      </c>
      <c r="G11" s="41" t="s">
        <v>25</v>
      </c>
      <c r="H11" s="41" t="s">
        <v>38</v>
      </c>
      <c r="I11" s="60">
        <v>44652</v>
      </c>
      <c r="J11" s="61">
        <f ca="1">EFEITO!$J$11*EFEITO!$Y$11</f>
        <v>292615.47196870297</v>
      </c>
      <c r="K11" s="61">
        <f ca="1">EFEITO!$L$11*EFEITO!$Z$11</f>
        <v>165891.64628664721</v>
      </c>
      <c r="L11" s="61">
        <f>EFEITO!$N$11*EFEITO!$AA$11</f>
        <v>337241.426966784</v>
      </c>
      <c r="M11" s="61">
        <f ca="1">$J$11-EFEITO!$K$11*EFEITO!$Y$11</f>
        <v>0</v>
      </c>
      <c r="N11" s="61">
        <f ca="1">$K$11-EFEITO!$M$11*EFEITO!$Z$11</f>
        <v>0</v>
      </c>
      <c r="O11" s="61">
        <f>$L$11-EFEITO!$O$11*EFEITO!$AA$11</f>
        <v>0</v>
      </c>
      <c r="P11" s="45"/>
      <c r="Q11" s="61" t="s">
        <v>33</v>
      </c>
      <c r="R11" s="61">
        <f>SUMIF($B$2:$B$545,$Q$11,$J$2:$J$545)</f>
        <v>0</v>
      </c>
      <c r="S11" s="61">
        <f ca="1">SUMIF($B$2:$B$545,$Q$11,$K$2:$K$545)</f>
        <v>1805384.0713867785</v>
      </c>
      <c r="T11" s="61">
        <f>SUMIF($B$2:$B$545,$Q$11,$L$2:$L$545)</f>
        <v>621632.1972385766</v>
      </c>
      <c r="U11" s="61">
        <f>SUMIF($B$2:$B$545,$Q$11,$M$2:$M$545)</f>
        <v>0</v>
      </c>
      <c r="V11" s="61">
        <f ca="1">SUMIF($B$2:$B$545,$Q$11,$N$2:$N$545)</f>
        <v>4314.7113703997638</v>
      </c>
      <c r="W11" s="61">
        <f>SUMIF($B$2:$B$545,$Q$11,$O$2:$O$545)</f>
        <v>1485.6470443829803</v>
      </c>
      <c r="X11" s="42">
        <f>$R$11-$U$11</f>
        <v>0</v>
      </c>
      <c r="Y11" s="42">
        <f ca="1">$S$11-$V$11</f>
        <v>1801069.3600163788</v>
      </c>
      <c r="Z11" s="42">
        <f>$T$11-$W$11</f>
        <v>620146.55019419361</v>
      </c>
      <c r="AA11" s="42">
        <f>SUMIF(EFEITO!$B$2:$B$545,$Q$11,EFEITO!$AE$2:$AE$545)</f>
        <v>0</v>
      </c>
      <c r="AB11" s="42">
        <f ca="1">SUMIF(EFEITO!$B$2:$B$545,$Q$11,EFEITO!$AF$2:$AF$545)</f>
        <v>1801069.3600163786</v>
      </c>
      <c r="AC11" s="42">
        <f>SUMIF(EFEITO!$B$2:$B$545,$Q$11,EFEITO!$AG$2:$AH$545)</f>
        <v>620146.55019419349</v>
      </c>
      <c r="AD11" s="42">
        <f>SUMIF(SUBSIDIO!$B$2:$B$545,$Q$11,SUBSIDIO!$AD$2:$AD$545)</f>
        <v>0</v>
      </c>
      <c r="AE11" s="42">
        <f ca="1">SUMIF(SUBSIDIO!$B$2:$B$545,$Q$11,SUBSIDIO!$AE$2:$AE$545)</f>
        <v>5800.3584147827396</v>
      </c>
      <c r="AF11" s="42" t="str">
        <f>IF(ABS($X$11-$AA$11)&lt;0.01,"OK","ERRO")</f>
        <v>OK</v>
      </c>
      <c r="AG11" s="42" t="str">
        <f ca="1">IF(ABS($Y$11-$AB$11)&lt;0.01,"OK","ERRO")</f>
        <v>OK</v>
      </c>
      <c r="AH11" s="42" t="str">
        <f>IF(ABS($Z$11-$AC$11)&lt;0.01,"OK","ERRO")</f>
        <v>OK</v>
      </c>
      <c r="AI11" s="42" t="str">
        <f>IF(ABS($U$11-$AD$11)&lt;0.01,"OK","ERRO")</f>
        <v>OK</v>
      </c>
      <c r="AJ11" s="42" t="str">
        <f ca="1">IF(ABS(($V$11+$W$11)-$AE$11)&lt;0.01,"OK","ERRO")</f>
        <v>OK</v>
      </c>
    </row>
    <row r="12" spans="1:40" ht="11.25" customHeight="1" x14ac:dyDescent="0.2">
      <c r="A12" s="41" t="s">
        <v>21</v>
      </c>
      <c r="B12" s="41" t="s">
        <v>35</v>
      </c>
      <c r="C12" s="41" t="s">
        <v>36</v>
      </c>
      <c r="D12" s="41" t="s">
        <v>34</v>
      </c>
      <c r="E12" s="41" t="s">
        <v>25</v>
      </c>
      <c r="F12" s="41" t="s">
        <v>25</v>
      </c>
      <c r="G12" s="41" t="s">
        <v>25</v>
      </c>
      <c r="H12" s="41" t="s">
        <v>38</v>
      </c>
      <c r="I12" s="60">
        <v>44682</v>
      </c>
      <c r="J12" s="61">
        <f ca="1">EFEITO!$J$12*EFEITO!$Y$12</f>
        <v>292526.96154161019</v>
      </c>
      <c r="K12" s="61">
        <f ca="1">EFEITO!$L$12*EFEITO!$Z$12</f>
        <v>182630.77314763557</v>
      </c>
      <c r="L12" s="61">
        <f>EFEITO!$N$12*EFEITO!$AA$12</f>
        <v>371270.42815605074</v>
      </c>
      <c r="M12" s="61">
        <f ca="1">$J$12-EFEITO!$K$12*EFEITO!$Y$12</f>
        <v>0</v>
      </c>
      <c r="N12" s="61">
        <f ca="1">$K$12-EFEITO!$M$12*EFEITO!$Z$12</f>
        <v>0</v>
      </c>
      <c r="O12" s="61">
        <f>$L$12-EFEITO!$O$12*EFEITO!$AA$12</f>
        <v>0</v>
      </c>
      <c r="P12" s="45"/>
      <c r="Q12" s="61" t="s">
        <v>44</v>
      </c>
      <c r="R12" s="61">
        <f>SUMIF($B$2:$B$545,$Q$12,$J$2:$J$545)</f>
        <v>0</v>
      </c>
      <c r="S12" s="61">
        <f ca="1">SUMIF($B$2:$B$545,$Q$12,$K$2:$K$545)</f>
        <v>284429.64529643609</v>
      </c>
      <c r="T12" s="61">
        <f>SUMIF($B$2:$B$545,$Q$12,$L$2:$L$545)</f>
        <v>97935.186295068081</v>
      </c>
      <c r="U12" s="61">
        <f>SUMIF($B$2:$B$545,$Q$12,$M$2:$M$545)</f>
        <v>0</v>
      </c>
      <c r="V12" s="61">
        <f ca="1">SUMIF($B$2:$B$545,$Q$12,$N$2:$N$545)</f>
        <v>0</v>
      </c>
      <c r="W12" s="61">
        <f>SUMIF($B$2:$B$545,$Q$12,$O$2:$O$545)</f>
        <v>0</v>
      </c>
      <c r="X12" s="42">
        <f>$R$12-$U$12</f>
        <v>0</v>
      </c>
      <c r="Y12" s="42">
        <f ca="1">$S$12-$V$12</f>
        <v>284429.64529643609</v>
      </c>
      <c r="Z12" s="42">
        <f>$T$12-$W$12</f>
        <v>97935.186295068081</v>
      </c>
      <c r="AA12" s="42">
        <f>SUMIF(EFEITO!$B$2:$B$545,$Q$12,EFEITO!$AE$2:$AE$545)</f>
        <v>0</v>
      </c>
      <c r="AB12" s="42">
        <f ca="1">SUMIF(EFEITO!$B$2:$B$545,$Q$12,EFEITO!$AF$2:$AF$545)</f>
        <v>284429.64529643609</v>
      </c>
      <c r="AC12" s="42">
        <f>SUMIF(EFEITO!$B$2:$B$545,$Q$12,EFEITO!$AG$2:$AH$545)</f>
        <v>97935.186295068081</v>
      </c>
      <c r="AD12" s="42">
        <f>SUMIF(SUBSIDIO!$B$2:$B$545,$Q$12,SUBSIDIO!$AD$2:$AD$545)</f>
        <v>0</v>
      </c>
      <c r="AE12" s="42">
        <f>SUMIF(SUBSIDIO!$B$2:$B$545,$Q$12,SUBSIDIO!$AE$2:$AE$545)</f>
        <v>0</v>
      </c>
      <c r="AF12" s="42" t="str">
        <f>IF(ABS($X$12-$AA$12)&lt;0.01,"OK","ERRO")</f>
        <v>OK</v>
      </c>
      <c r="AG12" s="42" t="str">
        <f ca="1">IF(ABS($Y$12-$AB$12)&lt;0.01,"OK","ERRO")</f>
        <v>OK</v>
      </c>
      <c r="AH12" s="42" t="str">
        <f>IF(ABS($Z$12-$AC$12)&lt;0.01,"OK","ERRO")</f>
        <v>OK</v>
      </c>
      <c r="AI12" s="42" t="str">
        <f>IF(ABS($U$12-$AD$12)&lt;0.01,"OK","ERRO")</f>
        <v>OK</v>
      </c>
      <c r="AJ12" s="42" t="str">
        <f ca="1">IF(ABS(($V$12+$W$12)-$AE$12)&lt;0.01,"OK","ERRO")</f>
        <v>OK</v>
      </c>
    </row>
    <row r="13" spans="1:40" ht="11.25" customHeight="1" x14ac:dyDescent="0.2">
      <c r="A13" s="41" t="s">
        <v>21</v>
      </c>
      <c r="B13" s="41" t="s">
        <v>35</v>
      </c>
      <c r="C13" s="41" t="s">
        <v>36</v>
      </c>
      <c r="D13" s="41" t="s">
        <v>34</v>
      </c>
      <c r="E13" s="41" t="s">
        <v>25</v>
      </c>
      <c r="F13" s="41" t="s">
        <v>25</v>
      </c>
      <c r="G13" s="41" t="s">
        <v>25</v>
      </c>
      <c r="H13" s="41" t="s">
        <v>38</v>
      </c>
      <c r="I13" s="60">
        <v>44713</v>
      </c>
      <c r="J13" s="61">
        <f ca="1">EFEITO!$J$13*EFEITO!$Y$13</f>
        <v>292526.96154161019</v>
      </c>
      <c r="K13" s="61">
        <f ca="1">EFEITO!$L$13*EFEITO!$Z$13</f>
        <v>171418.17371488732</v>
      </c>
      <c r="L13" s="61">
        <f>EFEITO!$N$13*EFEITO!$AA$13</f>
        <v>348476.31454424717</v>
      </c>
      <c r="M13" s="61">
        <f ca="1">$J$13-EFEITO!$K$13*EFEITO!$Y$13</f>
        <v>0</v>
      </c>
      <c r="N13" s="61">
        <f ca="1">$K$13-EFEITO!$M$13*EFEITO!$Z$13</f>
        <v>0</v>
      </c>
      <c r="O13" s="61">
        <f>$L$13-EFEITO!$O$13*EFEITO!$AA$13</f>
        <v>0</v>
      </c>
      <c r="P13" s="45"/>
      <c r="Q13" s="61" t="s">
        <v>82</v>
      </c>
      <c r="R13" s="61">
        <f>SUMIF($B$2:$B$545,$Q$13,$J$2:$J$545)</f>
        <v>0</v>
      </c>
      <c r="S13" s="61">
        <f>SUMIF($B$2:$B$545,$Q$13,$K$2:$K$545)</f>
        <v>0</v>
      </c>
      <c r="T13" s="61">
        <f>SUMIF($B$2:$B$545,$Q$13,$L$2:$L$545)</f>
        <v>0</v>
      </c>
      <c r="U13" s="61">
        <f>SUMIF($B$2:$B$545,$Q$13,$M$2:$M$545)</f>
        <v>0</v>
      </c>
      <c r="V13" s="61">
        <f>SUMIF($B$2:$B$545,$Q$13,$N$2:$N$545)</f>
        <v>0</v>
      </c>
      <c r="W13" s="61">
        <f>SUMIF($B$2:$B$545,$Q$13,$O$2:$O$545)</f>
        <v>0</v>
      </c>
      <c r="X13" s="42">
        <f>$R$13-$U$13</f>
        <v>0</v>
      </c>
      <c r="Y13" s="42">
        <f>$S$13-$V$13</f>
        <v>0</v>
      </c>
      <c r="Z13" s="42">
        <f>$T$13-$W$13</f>
        <v>0</v>
      </c>
      <c r="AA13" s="42">
        <f>SUMIF(EFEITO!$B$2:$B$545,$Q$13,EFEITO!$AE$2:$AE$545)</f>
        <v>0</v>
      </c>
      <c r="AB13" s="42">
        <f>SUMIF(EFEITO!$B$2:$B$545,$Q$13,EFEITO!$AF$2:$AF$545)</f>
        <v>0</v>
      </c>
      <c r="AC13" s="42">
        <f>SUMIF(EFEITO!$B$2:$B$545,$Q$13,EFEITO!$AG$2:$AH$545)</f>
        <v>0</v>
      </c>
      <c r="AD13" s="42">
        <f>SUMIF(SUBSIDIO!$B$2:$B$545,$Q$13,SUBSIDIO!$AD$2:$AD$545)</f>
        <v>0</v>
      </c>
      <c r="AE13" s="42">
        <f>SUMIF(SUBSIDIO!$B$2:$B$545,$Q$13,SUBSIDIO!$AE$2:$AE$545)</f>
        <v>0</v>
      </c>
      <c r="AF13" s="42" t="str">
        <f>IF(ABS($X$13-$AA$13)&lt;0.01,"OK","ERRO")</f>
        <v>OK</v>
      </c>
      <c r="AG13" s="42" t="str">
        <f>IF(ABS($Y$13-$AB$13)&lt;0.01,"OK","ERRO")</f>
        <v>OK</v>
      </c>
      <c r="AH13" s="42" t="str">
        <f>IF(ABS($Z$13-$AC$13)&lt;0.01,"OK","ERRO")</f>
        <v>OK</v>
      </c>
      <c r="AI13" s="42" t="str">
        <f>IF(ABS($U$13-$AD$13)&lt;0.01,"OK","ERRO")</f>
        <v>OK</v>
      </c>
      <c r="AJ13" s="42" t="str">
        <f>IF(ABS(($V$13+$W$13)-$AE$13)&lt;0.01,"OK","ERRO")</f>
        <v>OK</v>
      </c>
    </row>
    <row r="14" spans="1:40" ht="11.25" customHeight="1" x14ac:dyDescent="0.2">
      <c r="A14" s="41" t="s">
        <v>21</v>
      </c>
      <c r="B14" s="41" t="s">
        <v>35</v>
      </c>
      <c r="C14" s="41" t="s">
        <v>36</v>
      </c>
      <c r="D14" s="41" t="s">
        <v>34</v>
      </c>
      <c r="E14" s="41" t="s">
        <v>25</v>
      </c>
      <c r="F14" s="41" t="s">
        <v>25</v>
      </c>
      <c r="G14" s="41" t="s">
        <v>25</v>
      </c>
      <c r="H14" s="41" t="s">
        <v>37</v>
      </c>
      <c r="I14" s="60">
        <v>44378</v>
      </c>
      <c r="J14" s="61">
        <f ca="1">EFEITO!$J$14*EFEITO!$Y$14</f>
        <v>385658.44006809761</v>
      </c>
      <c r="K14" s="61">
        <f ca="1">EFEITO!$L$14*EFEITO!$Z$14</f>
        <v>22133.667412497707</v>
      </c>
      <c r="L14" s="61">
        <f>EFEITO!$N$14*EFEITO!$AA$14</f>
        <v>44995.572406949759</v>
      </c>
      <c r="M14" s="61">
        <f ca="1">$J$14-EFEITO!$K$14*EFEITO!$Y$14</f>
        <v>0</v>
      </c>
      <c r="N14" s="61">
        <f ca="1">$K$14-EFEITO!$M$14*EFEITO!$Z$14</f>
        <v>0</v>
      </c>
      <c r="O14" s="61">
        <f>$L$14-EFEITO!$O$14*EFEITO!$AA$14</f>
        <v>0</v>
      </c>
      <c r="P14" s="45"/>
      <c r="Q14" s="45"/>
      <c r="R14" s="45"/>
      <c r="S14" s="45"/>
      <c r="T14" s="45"/>
      <c r="U14" s="45"/>
      <c r="V14" s="45"/>
      <c r="W14" s="45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40" ht="11.25" customHeight="1" x14ac:dyDescent="0.2">
      <c r="A15" s="41" t="s">
        <v>21</v>
      </c>
      <c r="B15" s="41" t="s">
        <v>35</v>
      </c>
      <c r="C15" s="41" t="s">
        <v>36</v>
      </c>
      <c r="D15" s="41" t="s">
        <v>34</v>
      </c>
      <c r="E15" s="41" t="s">
        <v>25</v>
      </c>
      <c r="F15" s="41" t="s">
        <v>25</v>
      </c>
      <c r="G15" s="41" t="s">
        <v>25</v>
      </c>
      <c r="H15" s="41" t="s">
        <v>37</v>
      </c>
      <c r="I15" s="60">
        <v>44409</v>
      </c>
      <c r="J15" s="61">
        <f ca="1">EFEITO!$J$15*EFEITO!$Y$15</f>
        <v>389933.42749338079</v>
      </c>
      <c r="K15" s="61">
        <f ca="1">EFEITO!$L$15*EFEITO!$Z$15</f>
        <v>23261.115751458077</v>
      </c>
      <c r="L15" s="61">
        <f>EFEITO!$N$15*EFEITO!$AA$15</f>
        <v>47287.564168881712</v>
      </c>
      <c r="M15" s="61">
        <f ca="1">$J$15-EFEITO!$K$15*EFEITO!$Y$15</f>
        <v>0</v>
      </c>
      <c r="N15" s="61">
        <f ca="1">$K$15-EFEITO!$M$15*EFEITO!$Z$15</f>
        <v>0</v>
      </c>
      <c r="O15" s="61">
        <f>$L$15-EFEITO!$O$15*EFEITO!$AA$15</f>
        <v>0</v>
      </c>
      <c r="P15" s="45"/>
      <c r="Q15" s="45"/>
      <c r="R15" s="45"/>
      <c r="S15" s="45"/>
      <c r="T15" s="45"/>
      <c r="U15" s="45"/>
      <c r="V15" s="45"/>
      <c r="W15" s="45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40" ht="11.25" customHeight="1" x14ac:dyDescent="0.2">
      <c r="A16" s="41" t="s">
        <v>21</v>
      </c>
      <c r="B16" s="41" t="s">
        <v>35</v>
      </c>
      <c r="C16" s="41" t="s">
        <v>36</v>
      </c>
      <c r="D16" s="41" t="s">
        <v>34</v>
      </c>
      <c r="E16" s="41" t="s">
        <v>25</v>
      </c>
      <c r="F16" s="41" t="s">
        <v>25</v>
      </c>
      <c r="G16" s="41" t="s">
        <v>25</v>
      </c>
      <c r="H16" s="41" t="s">
        <v>37</v>
      </c>
      <c r="I16" s="60">
        <v>44440</v>
      </c>
      <c r="J16" s="61">
        <f ca="1">EFEITO!$J$16*EFEITO!$Y$16</f>
        <v>419767.38229110156</v>
      </c>
      <c r="K16" s="61">
        <f ca="1">EFEITO!$L$16*EFEITO!$Z$16</f>
        <v>22809.846334826168</v>
      </c>
      <c r="L16" s="61">
        <f>EFEITO!$N$16*EFEITO!$AA$16</f>
        <v>46370.177757823694</v>
      </c>
      <c r="M16" s="61">
        <f ca="1">$J$16-EFEITO!$K$16*EFEITO!$Y$16</f>
        <v>0</v>
      </c>
      <c r="N16" s="61">
        <f ca="1">$K$16-EFEITO!$M$16*EFEITO!$Z$16</f>
        <v>0</v>
      </c>
      <c r="O16" s="61">
        <f>$L$16-EFEITO!$O$16*EFEITO!$AA$16</f>
        <v>0</v>
      </c>
      <c r="P16" s="45"/>
      <c r="Q16" s="45"/>
      <c r="R16" s="45"/>
      <c r="S16" s="45"/>
      <c r="T16" s="45"/>
      <c r="U16" s="45"/>
      <c r="V16" s="45"/>
      <c r="W16" s="45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1.25" customHeight="1" x14ac:dyDescent="0.2">
      <c r="A17" s="41" t="s">
        <v>21</v>
      </c>
      <c r="B17" s="41" t="s">
        <v>35</v>
      </c>
      <c r="C17" s="41" t="s">
        <v>36</v>
      </c>
      <c r="D17" s="41" t="s">
        <v>34</v>
      </c>
      <c r="E17" s="41" t="s">
        <v>25</v>
      </c>
      <c r="F17" s="41" t="s">
        <v>25</v>
      </c>
      <c r="G17" s="41" t="s">
        <v>25</v>
      </c>
      <c r="H17" s="41" t="s">
        <v>37</v>
      </c>
      <c r="I17" s="60">
        <v>44470</v>
      </c>
      <c r="J17" s="61">
        <f ca="1">EFEITO!$J$17*EFEITO!$Y$17</f>
        <v>396664.25875872024</v>
      </c>
      <c r="K17" s="61">
        <f ca="1">EFEITO!$L$17*EFEITO!$Z$17</f>
        <v>22097.697362575469</v>
      </c>
      <c r="L17" s="61">
        <f>EFEITO!$N$17*EFEITO!$AA$17</f>
        <v>44922.448827581087</v>
      </c>
      <c r="M17" s="61">
        <f ca="1">$J$17-EFEITO!$K$17*EFEITO!$Y$17</f>
        <v>0</v>
      </c>
      <c r="N17" s="61">
        <f ca="1">$K$17-EFEITO!$M$17*EFEITO!$Z$17</f>
        <v>0</v>
      </c>
      <c r="O17" s="61">
        <f>$L$17-EFEITO!$O$17*EFEITO!$AA$17</f>
        <v>0</v>
      </c>
      <c r="P17" s="45"/>
      <c r="Q17" s="45"/>
      <c r="R17" s="45"/>
      <c r="S17" s="45"/>
      <c r="T17" s="45"/>
      <c r="U17" s="45"/>
      <c r="V17" s="45"/>
      <c r="W17" s="45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1.25" customHeight="1" x14ac:dyDescent="0.2">
      <c r="A18" s="41" t="s">
        <v>21</v>
      </c>
      <c r="B18" s="41" t="s">
        <v>35</v>
      </c>
      <c r="C18" s="41" t="s">
        <v>36</v>
      </c>
      <c r="D18" s="41" t="s">
        <v>34</v>
      </c>
      <c r="E18" s="41" t="s">
        <v>25</v>
      </c>
      <c r="F18" s="41" t="s">
        <v>25</v>
      </c>
      <c r="G18" s="41" t="s">
        <v>25</v>
      </c>
      <c r="H18" s="41" t="s">
        <v>37</v>
      </c>
      <c r="I18" s="60">
        <v>44501</v>
      </c>
      <c r="J18" s="61">
        <f ca="1">EFEITO!$J$18*EFEITO!$Y$18</f>
        <v>401666.90361809416</v>
      </c>
      <c r="K18" s="61">
        <f ca="1">EFEITO!$L$18*EFEITO!$Z$18</f>
        <v>21650.39238692962</v>
      </c>
      <c r="L18" s="61">
        <f>EFEITO!$N$18*EFEITO!$AA$18</f>
        <v>44013.121735754568</v>
      </c>
      <c r="M18" s="61">
        <f ca="1">$J$18-EFEITO!$K$18*EFEITO!$Y$18</f>
        <v>0</v>
      </c>
      <c r="N18" s="61">
        <f ca="1">$K$18-EFEITO!$M$18*EFEITO!$Z$18</f>
        <v>0</v>
      </c>
      <c r="O18" s="61">
        <f>$L$18-EFEITO!$O$18*EFEITO!$AA$18</f>
        <v>0</v>
      </c>
      <c r="P18" s="45"/>
      <c r="Q18" s="45"/>
      <c r="R18" s="45"/>
      <c r="S18" s="45"/>
      <c r="T18" s="45"/>
      <c r="U18" s="45"/>
      <c r="V18" s="45"/>
      <c r="W18" s="45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1.25" customHeight="1" x14ac:dyDescent="0.2">
      <c r="A19" s="41" t="s">
        <v>21</v>
      </c>
      <c r="B19" s="41" t="s">
        <v>35</v>
      </c>
      <c r="C19" s="41" t="s">
        <v>36</v>
      </c>
      <c r="D19" s="41" t="s">
        <v>34</v>
      </c>
      <c r="E19" s="41" t="s">
        <v>25</v>
      </c>
      <c r="F19" s="41" t="s">
        <v>25</v>
      </c>
      <c r="G19" s="41" t="s">
        <v>25</v>
      </c>
      <c r="H19" s="41" t="s">
        <v>37</v>
      </c>
      <c r="I19" s="60">
        <v>44531</v>
      </c>
      <c r="J19" s="61">
        <f ca="1">EFEITO!$J$19*EFEITO!$Y$19</f>
        <v>389478.64159707405</v>
      </c>
      <c r="K19" s="61">
        <f ca="1">EFEITO!$L$19*EFEITO!$Z$19</f>
        <v>23216.153189055283</v>
      </c>
      <c r="L19" s="61">
        <f>EFEITO!$N$19*EFEITO!$AA$19</f>
        <v>47196.159694670874</v>
      </c>
      <c r="M19" s="61">
        <f ca="1">$J$19-EFEITO!$K$19*EFEITO!$Y$19</f>
        <v>0</v>
      </c>
      <c r="N19" s="61">
        <f ca="1">$K$19-EFEITO!$M$19*EFEITO!$Z$19</f>
        <v>0</v>
      </c>
      <c r="O19" s="61">
        <f>$L$19-EFEITO!$O$19*EFEITO!$AA$19</f>
        <v>0</v>
      </c>
      <c r="P19" s="45"/>
      <c r="Q19" s="45"/>
      <c r="R19" s="45"/>
      <c r="S19" s="45"/>
      <c r="T19" s="45"/>
      <c r="U19" s="45"/>
      <c r="V19" s="45"/>
      <c r="W19" s="45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1.25" customHeight="1" x14ac:dyDescent="0.2">
      <c r="A20" s="41" t="s">
        <v>21</v>
      </c>
      <c r="B20" s="41" t="s">
        <v>35</v>
      </c>
      <c r="C20" s="41" t="s">
        <v>36</v>
      </c>
      <c r="D20" s="41" t="s">
        <v>34</v>
      </c>
      <c r="E20" s="41" t="s">
        <v>25</v>
      </c>
      <c r="F20" s="41" t="s">
        <v>25</v>
      </c>
      <c r="G20" s="41" t="s">
        <v>25</v>
      </c>
      <c r="H20" s="41" t="s">
        <v>37</v>
      </c>
      <c r="I20" s="60">
        <v>44562</v>
      </c>
      <c r="J20" s="61">
        <f ca="1">EFEITO!$J$20*EFEITO!$Y$20</f>
        <v>398756.27388173115</v>
      </c>
      <c r="K20" s="61">
        <f ca="1">EFEITO!$L$20*EFEITO!$Z$20</f>
        <v>22362.831440228074</v>
      </c>
      <c r="L20" s="61">
        <f>EFEITO!$N$20*EFEITO!$AA$20</f>
        <v>45461.440372282414</v>
      </c>
      <c r="M20" s="61">
        <f ca="1">$J$20-EFEITO!$K$20*EFEITO!$Y$20</f>
        <v>0</v>
      </c>
      <c r="N20" s="61">
        <f ca="1">$K$20-EFEITO!$M$20*EFEITO!$Z$20</f>
        <v>0</v>
      </c>
      <c r="O20" s="61">
        <f>$L$20-EFEITO!$O$20*EFEITO!$AA$20</f>
        <v>0</v>
      </c>
      <c r="P20" s="45"/>
      <c r="Q20" s="45"/>
      <c r="R20" s="45"/>
      <c r="S20" s="45"/>
      <c r="T20" s="45"/>
      <c r="U20" s="45"/>
      <c r="V20" s="45"/>
      <c r="W20" s="45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1.25" customHeight="1" x14ac:dyDescent="0.2">
      <c r="A21" s="41" t="s">
        <v>21</v>
      </c>
      <c r="B21" s="41" t="s">
        <v>35</v>
      </c>
      <c r="C21" s="41" t="s">
        <v>36</v>
      </c>
      <c r="D21" s="41" t="s">
        <v>34</v>
      </c>
      <c r="E21" s="41" t="s">
        <v>25</v>
      </c>
      <c r="F21" s="41" t="s">
        <v>25</v>
      </c>
      <c r="G21" s="41" t="s">
        <v>25</v>
      </c>
      <c r="H21" s="41" t="s">
        <v>37</v>
      </c>
      <c r="I21" s="60">
        <v>44593</v>
      </c>
      <c r="J21" s="61">
        <f ca="1">EFEITO!$J$21*EFEITO!$Y$21</f>
        <v>402030.73233513953</v>
      </c>
      <c r="K21" s="61">
        <f ca="1">EFEITO!$L$21*EFEITO!$Z$21</f>
        <v>23564.347140049817</v>
      </c>
      <c r="L21" s="61">
        <f>EFEITO!$N$21*EFEITO!$AA$21</f>
        <v>47904.003805710068</v>
      </c>
      <c r="M21" s="61">
        <f ca="1">$J$21-EFEITO!$K$21*EFEITO!$Y$21</f>
        <v>0</v>
      </c>
      <c r="N21" s="61">
        <f ca="1">$K$21-EFEITO!$M$21*EFEITO!$Z$21</f>
        <v>0</v>
      </c>
      <c r="O21" s="61">
        <f>$L$21-EFEITO!$O$21*EFEITO!$AA$21</f>
        <v>0</v>
      </c>
      <c r="P21" s="45"/>
      <c r="Q21" s="45"/>
      <c r="R21" s="45"/>
      <c r="S21" s="45"/>
      <c r="T21" s="45"/>
      <c r="U21" s="45"/>
      <c r="V21" s="45"/>
      <c r="W21" s="45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1.25" customHeight="1" x14ac:dyDescent="0.2">
      <c r="A22" s="41" t="s">
        <v>21</v>
      </c>
      <c r="B22" s="41" t="s">
        <v>35</v>
      </c>
      <c r="C22" s="41" t="s">
        <v>36</v>
      </c>
      <c r="D22" s="41" t="s">
        <v>34</v>
      </c>
      <c r="E22" s="41" t="s">
        <v>25</v>
      </c>
      <c r="F22" s="41" t="s">
        <v>25</v>
      </c>
      <c r="G22" s="41" t="s">
        <v>25</v>
      </c>
      <c r="H22" s="41" t="s">
        <v>37</v>
      </c>
      <c r="I22" s="60">
        <v>44621</v>
      </c>
      <c r="J22" s="61">
        <f ca="1">EFEITO!$J$22*EFEITO!$Y$22</f>
        <v>576668.5165169196</v>
      </c>
      <c r="K22" s="61">
        <f ca="1">EFEITO!$L$22*EFEITO!$Z$22</f>
        <v>27038.841236436005</v>
      </c>
      <c r="L22" s="61">
        <f>EFEITO!$N$22*EFEITO!$AA$22</f>
        <v>54967.309121447717</v>
      </c>
      <c r="M22" s="61">
        <f ca="1">$J$22-EFEITO!$K$22*EFEITO!$Y$22</f>
        <v>0</v>
      </c>
      <c r="N22" s="61">
        <f ca="1">$K$22-EFEITO!$M$22*EFEITO!$Z$22</f>
        <v>0</v>
      </c>
      <c r="O22" s="61">
        <f>$L$22-EFEITO!$O$22*EFEITO!$AA$22</f>
        <v>0</v>
      </c>
      <c r="P22" s="45"/>
      <c r="Q22" s="45"/>
      <c r="R22" s="45"/>
      <c r="S22" s="45"/>
      <c r="T22" s="45"/>
      <c r="U22" s="45"/>
      <c r="V22" s="45"/>
      <c r="W22" s="45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1.25" customHeight="1" x14ac:dyDescent="0.2">
      <c r="A23" s="41" t="s">
        <v>21</v>
      </c>
      <c r="B23" s="41" t="s">
        <v>35</v>
      </c>
      <c r="C23" s="41" t="s">
        <v>36</v>
      </c>
      <c r="D23" s="41" t="s">
        <v>34</v>
      </c>
      <c r="E23" s="41" t="s">
        <v>25</v>
      </c>
      <c r="F23" s="41" t="s">
        <v>25</v>
      </c>
      <c r="G23" s="41" t="s">
        <v>25</v>
      </c>
      <c r="H23" s="41" t="s">
        <v>37</v>
      </c>
      <c r="I23" s="60">
        <v>44652</v>
      </c>
      <c r="J23" s="61">
        <f ca="1">EFEITO!$J$23*EFEITO!$Y$23</f>
        <v>576668.5165169196</v>
      </c>
      <c r="K23" s="61">
        <f ca="1">EFEITO!$L$23*EFEITO!$Z$23</f>
        <v>19576.022814398159</v>
      </c>
      <c r="L23" s="61">
        <f>EFEITO!$N$23*EFEITO!$AA$23</f>
        <v>39796.13209006621</v>
      </c>
      <c r="M23" s="61">
        <f ca="1">$J$23-EFEITO!$K$23*EFEITO!$Y$23</f>
        <v>0</v>
      </c>
      <c r="N23" s="61">
        <f ca="1">$K$23-EFEITO!$M$23*EFEITO!$Z$23</f>
        <v>0</v>
      </c>
      <c r="O23" s="61">
        <f>$L$23-EFEITO!$O$23*EFEITO!$AA$23</f>
        <v>0</v>
      </c>
      <c r="P23" s="45"/>
      <c r="Q23" s="45"/>
      <c r="R23" s="45"/>
      <c r="S23" s="45"/>
      <c r="T23" s="45"/>
      <c r="U23" s="45"/>
      <c r="V23" s="45"/>
      <c r="W23" s="45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1.25" customHeight="1" x14ac:dyDescent="0.2">
      <c r="A24" s="41" t="s">
        <v>21</v>
      </c>
      <c r="B24" s="41" t="s">
        <v>35</v>
      </c>
      <c r="C24" s="41" t="s">
        <v>36</v>
      </c>
      <c r="D24" s="41" t="s">
        <v>34</v>
      </c>
      <c r="E24" s="41" t="s">
        <v>25</v>
      </c>
      <c r="F24" s="41" t="s">
        <v>25</v>
      </c>
      <c r="G24" s="41" t="s">
        <v>25</v>
      </c>
      <c r="H24" s="41" t="s">
        <v>37</v>
      </c>
      <c r="I24" s="60">
        <v>44682</v>
      </c>
      <c r="J24" s="61">
        <f ca="1">EFEITO!$J$24*EFEITO!$Y$24</f>
        <v>576668.5165169196</v>
      </c>
      <c r="K24" s="61">
        <f ca="1">EFEITO!$L$24*EFEITO!$Z$24</f>
        <v>23749.612235885845</v>
      </c>
      <c r="L24" s="61">
        <f>EFEITO!$N$24*EFEITO!$AA$24</f>
        <v>48280.62955321106</v>
      </c>
      <c r="M24" s="61">
        <f ca="1">$J$24-EFEITO!$K$24*EFEITO!$Y$24</f>
        <v>0</v>
      </c>
      <c r="N24" s="61">
        <f ca="1">$K$24-EFEITO!$M$24*EFEITO!$Z$24</f>
        <v>0</v>
      </c>
      <c r="O24" s="61">
        <f>$L$24-EFEITO!$O$24*EFEITO!$AA$24</f>
        <v>0</v>
      </c>
      <c r="P24" s="45"/>
      <c r="Q24" s="45"/>
      <c r="R24" s="45"/>
      <c r="S24" s="45"/>
      <c r="T24" s="45"/>
      <c r="U24" s="45"/>
      <c r="V24" s="45"/>
      <c r="W24" s="45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1.25" customHeight="1" x14ac:dyDescent="0.2">
      <c r="A25" s="41" t="s">
        <v>21</v>
      </c>
      <c r="B25" s="41" t="s">
        <v>35</v>
      </c>
      <c r="C25" s="41" t="s">
        <v>36</v>
      </c>
      <c r="D25" s="41" t="s">
        <v>34</v>
      </c>
      <c r="E25" s="41" t="s">
        <v>25</v>
      </c>
      <c r="F25" s="41" t="s">
        <v>25</v>
      </c>
      <c r="G25" s="41" t="s">
        <v>25</v>
      </c>
      <c r="H25" s="41" t="s">
        <v>37</v>
      </c>
      <c r="I25" s="60">
        <v>44713</v>
      </c>
      <c r="J25" s="61">
        <f ca="1">EFEITO!$J$25*EFEITO!$Y$25</f>
        <v>576668.5165169196</v>
      </c>
      <c r="K25" s="61">
        <f ca="1">EFEITO!$L$25*EFEITO!$Z$25</f>
        <v>21755.595113583895</v>
      </c>
      <c r="L25" s="61">
        <f>EFEITO!$N$25*EFEITO!$AA$25</f>
        <v>44226.98854853175</v>
      </c>
      <c r="M25" s="61">
        <f ca="1">$J$25-EFEITO!$K$25*EFEITO!$Y$25</f>
        <v>0</v>
      </c>
      <c r="N25" s="61">
        <f ca="1">$K$25-EFEITO!$M$25*EFEITO!$Z$25</f>
        <v>0</v>
      </c>
      <c r="O25" s="61">
        <f>$L$25-EFEITO!$O$25*EFEITO!$AA$25</f>
        <v>0</v>
      </c>
      <c r="P25" s="45"/>
      <c r="Q25" s="45"/>
      <c r="R25" s="45"/>
      <c r="S25" s="45"/>
      <c r="T25" s="45"/>
      <c r="U25" s="45"/>
      <c r="V25" s="45"/>
      <c r="W25" s="45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1.25" customHeight="1" x14ac:dyDescent="0.2">
      <c r="A26" s="41" t="s">
        <v>21</v>
      </c>
      <c r="B26" s="41" t="s">
        <v>35</v>
      </c>
      <c r="C26" s="41" t="s">
        <v>53</v>
      </c>
      <c r="D26" s="41" t="s">
        <v>25</v>
      </c>
      <c r="E26" s="41" t="s">
        <v>25</v>
      </c>
      <c r="F26" s="41" t="s">
        <v>25</v>
      </c>
      <c r="G26" s="41" t="s">
        <v>54</v>
      </c>
      <c r="H26" s="41" t="s">
        <v>25</v>
      </c>
      <c r="I26" s="60">
        <v>44378</v>
      </c>
      <c r="J26" s="61">
        <f ca="1">EFEITO!$J$26*EFEITO!$Y$26</f>
        <v>8706.0661741899839</v>
      </c>
      <c r="K26" s="61">
        <f>EFEITO!$L$26*EFEITO!$Z$26</f>
        <v>0</v>
      </c>
      <c r="L26" s="61">
        <f>EFEITO!$N$26*EFEITO!$AA$26</f>
        <v>0</v>
      </c>
      <c r="M26" s="61">
        <f ca="1">$J$26-EFEITO!$K$26*EFEITO!$Y$26</f>
        <v>4353.033087094992</v>
      </c>
      <c r="N26" s="61">
        <f>$K$26-EFEITO!$M$26*EFEITO!$Z$26</f>
        <v>0</v>
      </c>
      <c r="O26" s="61">
        <f>$L$26-EFEITO!$O$26*EFEITO!$AA$26</f>
        <v>0</v>
      </c>
      <c r="P26" s="45"/>
      <c r="Q26" s="45"/>
      <c r="R26" s="45"/>
      <c r="S26" s="45"/>
      <c r="T26" s="45"/>
      <c r="U26" s="45"/>
      <c r="V26" s="45"/>
      <c r="W26" s="45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1.25" customHeight="1" x14ac:dyDescent="0.2">
      <c r="A27" s="41" t="s">
        <v>21</v>
      </c>
      <c r="B27" s="41" t="s">
        <v>35</v>
      </c>
      <c r="C27" s="41" t="s">
        <v>53</v>
      </c>
      <c r="D27" s="41" t="s">
        <v>25</v>
      </c>
      <c r="E27" s="41" t="s">
        <v>25</v>
      </c>
      <c r="F27" s="41" t="s">
        <v>25</v>
      </c>
      <c r="G27" s="41" t="s">
        <v>56</v>
      </c>
      <c r="H27" s="41" t="s">
        <v>25</v>
      </c>
      <c r="I27" s="60">
        <v>44378</v>
      </c>
      <c r="J27" s="61">
        <f ca="1">EFEITO!$J$27*EFEITO!$Y$27</f>
        <v>12091.758575263868</v>
      </c>
      <c r="K27" s="61">
        <f>EFEITO!$L$27*EFEITO!$Z$27</f>
        <v>0</v>
      </c>
      <c r="L27" s="61">
        <f>EFEITO!$N$27*EFEITO!$AA$27</f>
        <v>0</v>
      </c>
      <c r="M27" s="61">
        <f ca="1">$J$27-EFEITO!$K$27*EFEITO!$Y$27</f>
        <v>6045.8792876319339</v>
      </c>
      <c r="N27" s="61">
        <f>$K$27-EFEITO!$M$27*EFEITO!$Z$27</f>
        <v>0</v>
      </c>
      <c r="O27" s="61">
        <f>$L$27-EFEITO!$O$27*EFEITO!$AA$27</f>
        <v>0</v>
      </c>
      <c r="P27" s="45"/>
      <c r="Q27" s="45"/>
      <c r="R27" s="45"/>
      <c r="S27" s="45"/>
      <c r="T27" s="45"/>
      <c r="U27" s="45"/>
      <c r="V27" s="45"/>
      <c r="W27" s="45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1.25" customHeight="1" x14ac:dyDescent="0.2">
      <c r="A28" s="41" t="s">
        <v>21</v>
      </c>
      <c r="B28" s="41" t="s">
        <v>35</v>
      </c>
      <c r="C28" s="41" t="s">
        <v>53</v>
      </c>
      <c r="D28" s="41" t="s">
        <v>25</v>
      </c>
      <c r="E28" s="41" t="s">
        <v>25</v>
      </c>
      <c r="F28" s="41" t="s">
        <v>25</v>
      </c>
      <c r="G28" s="41" t="s">
        <v>54</v>
      </c>
      <c r="H28" s="41" t="s">
        <v>25</v>
      </c>
      <c r="I28" s="60">
        <v>44409</v>
      </c>
      <c r="J28" s="61">
        <f ca="1">EFEITO!$J$28*EFEITO!$Y$28</f>
        <v>8706.0661741899839</v>
      </c>
      <c r="K28" s="61">
        <f>EFEITO!$L$28*EFEITO!$Z$28</f>
        <v>0</v>
      </c>
      <c r="L28" s="61">
        <f>EFEITO!$N$28*EFEITO!$AA$28</f>
        <v>0</v>
      </c>
      <c r="M28" s="61">
        <f ca="1">$J$28-EFEITO!$K$28*EFEITO!$Y$28</f>
        <v>4353.033087094992</v>
      </c>
      <c r="N28" s="61">
        <f>$K$28-EFEITO!$M$28*EFEITO!$Z$28</f>
        <v>0</v>
      </c>
      <c r="O28" s="61">
        <f>$L$28-EFEITO!$O$28*EFEITO!$AA$28</f>
        <v>0</v>
      </c>
      <c r="P28" s="45"/>
      <c r="Q28" s="45"/>
      <c r="R28" s="45"/>
      <c r="S28" s="45"/>
      <c r="T28" s="45"/>
      <c r="U28" s="45"/>
      <c r="V28" s="45"/>
      <c r="W28" s="45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1.25" customHeight="1" x14ac:dyDescent="0.2">
      <c r="A29" s="41" t="s">
        <v>21</v>
      </c>
      <c r="B29" s="41" t="s">
        <v>35</v>
      </c>
      <c r="C29" s="41" t="s">
        <v>53</v>
      </c>
      <c r="D29" s="41" t="s">
        <v>25</v>
      </c>
      <c r="E29" s="41" t="s">
        <v>25</v>
      </c>
      <c r="F29" s="41" t="s">
        <v>25</v>
      </c>
      <c r="G29" s="41" t="s">
        <v>56</v>
      </c>
      <c r="H29" s="41" t="s">
        <v>25</v>
      </c>
      <c r="I29" s="60">
        <v>44409</v>
      </c>
      <c r="J29" s="61">
        <f ca="1">EFEITO!$J$29*EFEITO!$Y$29</f>
        <v>12091.758575263868</v>
      </c>
      <c r="K29" s="61">
        <f>EFEITO!$L$29*EFEITO!$Z$29</f>
        <v>0</v>
      </c>
      <c r="L29" s="61">
        <f>EFEITO!$N$29*EFEITO!$AA$29</f>
        <v>0</v>
      </c>
      <c r="M29" s="61">
        <f ca="1">$J$29-EFEITO!$K$29*EFEITO!$Y$29</f>
        <v>6045.8792876319339</v>
      </c>
      <c r="N29" s="61">
        <f>$K$29-EFEITO!$M$29*EFEITO!$Z$29</f>
        <v>0</v>
      </c>
      <c r="O29" s="61">
        <f>$L$29-EFEITO!$O$29*EFEITO!$AA$29</f>
        <v>0</v>
      </c>
      <c r="P29" s="45"/>
      <c r="Q29" s="45"/>
      <c r="R29" s="45"/>
      <c r="S29" s="45"/>
      <c r="T29" s="45"/>
      <c r="U29" s="45"/>
      <c r="V29" s="45"/>
      <c r="W29" s="45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1.25" customHeight="1" x14ac:dyDescent="0.2">
      <c r="A30" s="41" t="s">
        <v>21</v>
      </c>
      <c r="B30" s="41" t="s">
        <v>35</v>
      </c>
      <c r="C30" s="41" t="s">
        <v>53</v>
      </c>
      <c r="D30" s="41" t="s">
        <v>25</v>
      </c>
      <c r="E30" s="41" t="s">
        <v>25</v>
      </c>
      <c r="F30" s="41" t="s">
        <v>25</v>
      </c>
      <c r="G30" s="41" t="s">
        <v>54</v>
      </c>
      <c r="H30" s="41" t="s">
        <v>25</v>
      </c>
      <c r="I30" s="60">
        <v>44440</v>
      </c>
      <c r="J30" s="61">
        <f ca="1">EFEITO!$J$30*EFEITO!$Y$30</f>
        <v>8706.0661741899839</v>
      </c>
      <c r="K30" s="61">
        <f>EFEITO!$L$30*EFEITO!$Z$30</f>
        <v>0</v>
      </c>
      <c r="L30" s="61">
        <f>EFEITO!$N$30*EFEITO!$AA$30</f>
        <v>0</v>
      </c>
      <c r="M30" s="61">
        <f ca="1">$J$30-EFEITO!$K$30*EFEITO!$Y$30</f>
        <v>4353.033087094992</v>
      </c>
      <c r="N30" s="61">
        <f>$K$30-EFEITO!$M$30*EFEITO!$Z$30</f>
        <v>0</v>
      </c>
      <c r="O30" s="61">
        <f>$L$30-EFEITO!$O$30*EFEITO!$AA$30</f>
        <v>0</v>
      </c>
      <c r="P30" s="45"/>
      <c r="Q30" s="45"/>
      <c r="R30" s="45"/>
      <c r="S30" s="45"/>
      <c r="T30" s="45"/>
      <c r="U30" s="45"/>
      <c r="V30" s="45"/>
      <c r="W30" s="45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1.25" customHeight="1" x14ac:dyDescent="0.2">
      <c r="A31" s="41" t="s">
        <v>21</v>
      </c>
      <c r="B31" s="41" t="s">
        <v>35</v>
      </c>
      <c r="C31" s="41" t="s">
        <v>53</v>
      </c>
      <c r="D31" s="41" t="s">
        <v>25</v>
      </c>
      <c r="E31" s="41" t="s">
        <v>25</v>
      </c>
      <c r="F31" s="41" t="s">
        <v>25</v>
      </c>
      <c r="G31" s="41" t="s">
        <v>56</v>
      </c>
      <c r="H31" s="41" t="s">
        <v>25</v>
      </c>
      <c r="I31" s="60">
        <v>44440</v>
      </c>
      <c r="J31" s="61">
        <f ca="1">EFEITO!$J$31*EFEITO!$Y$31</f>
        <v>12091.758575263868</v>
      </c>
      <c r="K31" s="61">
        <f>EFEITO!$L$31*EFEITO!$Z$31</f>
        <v>0</v>
      </c>
      <c r="L31" s="61">
        <f>EFEITO!$N$31*EFEITO!$AA$31</f>
        <v>0</v>
      </c>
      <c r="M31" s="61">
        <f ca="1">$J$31-EFEITO!$K$31*EFEITO!$Y$31</f>
        <v>6045.8792876319339</v>
      </c>
      <c r="N31" s="61">
        <f>$K$31-EFEITO!$M$31*EFEITO!$Z$31</f>
        <v>0</v>
      </c>
      <c r="O31" s="61">
        <f>$L$31-EFEITO!$O$31*EFEITO!$AA$31</f>
        <v>0</v>
      </c>
      <c r="P31" s="45"/>
      <c r="Q31" s="45"/>
      <c r="R31" s="45"/>
      <c r="S31" s="45"/>
      <c r="T31" s="45"/>
      <c r="U31" s="45"/>
      <c r="V31" s="45"/>
      <c r="W31" s="45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1.25" customHeight="1" x14ac:dyDescent="0.2">
      <c r="A32" s="41" t="s">
        <v>21</v>
      </c>
      <c r="B32" s="41" t="s">
        <v>35</v>
      </c>
      <c r="C32" s="41" t="s">
        <v>53</v>
      </c>
      <c r="D32" s="41" t="s">
        <v>25</v>
      </c>
      <c r="E32" s="41" t="s">
        <v>25</v>
      </c>
      <c r="F32" s="41" t="s">
        <v>25</v>
      </c>
      <c r="G32" s="41" t="s">
        <v>54</v>
      </c>
      <c r="H32" s="41" t="s">
        <v>25</v>
      </c>
      <c r="I32" s="60">
        <v>44470</v>
      </c>
      <c r="J32" s="61">
        <f ca="1">EFEITO!$J$32*EFEITO!$Y$32</f>
        <v>8706.0661741899839</v>
      </c>
      <c r="K32" s="61">
        <f>EFEITO!$L$32*EFEITO!$Z$32</f>
        <v>0</v>
      </c>
      <c r="L32" s="61">
        <f>EFEITO!$N$32*EFEITO!$AA$32</f>
        <v>0</v>
      </c>
      <c r="M32" s="61">
        <f ca="1">$J$32-EFEITO!$K$32*EFEITO!$Y$32</f>
        <v>4353.033087094992</v>
      </c>
      <c r="N32" s="61">
        <f>$K$32-EFEITO!$M$32*EFEITO!$Z$32</f>
        <v>0</v>
      </c>
      <c r="O32" s="61">
        <f>$L$32-EFEITO!$O$32*EFEITO!$AA$32</f>
        <v>0</v>
      </c>
      <c r="P32" s="45"/>
      <c r="Q32" s="45"/>
      <c r="R32" s="45"/>
      <c r="S32" s="45"/>
      <c r="T32" s="45"/>
      <c r="U32" s="45"/>
      <c r="V32" s="45"/>
      <c r="W32" s="45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1.25" customHeight="1" x14ac:dyDescent="0.2">
      <c r="A33" s="41" t="s">
        <v>21</v>
      </c>
      <c r="B33" s="41" t="s">
        <v>35</v>
      </c>
      <c r="C33" s="41" t="s">
        <v>53</v>
      </c>
      <c r="D33" s="41" t="s">
        <v>25</v>
      </c>
      <c r="E33" s="41" t="s">
        <v>25</v>
      </c>
      <c r="F33" s="41" t="s">
        <v>25</v>
      </c>
      <c r="G33" s="41" t="s">
        <v>56</v>
      </c>
      <c r="H33" s="41" t="s">
        <v>25</v>
      </c>
      <c r="I33" s="60">
        <v>44470</v>
      </c>
      <c r="J33" s="61">
        <f ca="1">EFEITO!$J$33*EFEITO!$Y$33</f>
        <v>12091.758575263868</v>
      </c>
      <c r="K33" s="61">
        <f>EFEITO!$L$33*EFEITO!$Z$33</f>
        <v>0</v>
      </c>
      <c r="L33" s="61">
        <f>EFEITO!$N$33*EFEITO!$AA$33</f>
        <v>0</v>
      </c>
      <c r="M33" s="61">
        <f ca="1">$J$33-EFEITO!$K$33*EFEITO!$Y$33</f>
        <v>6045.8792876319339</v>
      </c>
      <c r="N33" s="61">
        <f>$K$33-EFEITO!$M$33*EFEITO!$Z$33</f>
        <v>0</v>
      </c>
      <c r="O33" s="61">
        <f>$L$33-EFEITO!$O$33*EFEITO!$AA$33</f>
        <v>0</v>
      </c>
      <c r="P33" s="45"/>
      <c r="Q33" s="45"/>
      <c r="R33" s="45"/>
      <c r="S33" s="45"/>
      <c r="T33" s="45"/>
      <c r="U33" s="45"/>
      <c r="V33" s="45"/>
      <c r="W33" s="45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1.25" customHeight="1" x14ac:dyDescent="0.2">
      <c r="A34" s="41" t="s">
        <v>21</v>
      </c>
      <c r="B34" s="41" t="s">
        <v>35</v>
      </c>
      <c r="C34" s="41" t="s">
        <v>53</v>
      </c>
      <c r="D34" s="41" t="s">
        <v>25</v>
      </c>
      <c r="E34" s="41" t="s">
        <v>25</v>
      </c>
      <c r="F34" s="41" t="s">
        <v>25</v>
      </c>
      <c r="G34" s="41" t="s">
        <v>54</v>
      </c>
      <c r="H34" s="41" t="s">
        <v>25</v>
      </c>
      <c r="I34" s="60">
        <v>44501</v>
      </c>
      <c r="J34" s="61">
        <f ca="1">EFEITO!$J$34*EFEITO!$Y$34</f>
        <v>8706.0661741899839</v>
      </c>
      <c r="K34" s="61">
        <f>EFEITO!$L$34*EFEITO!$Z$34</f>
        <v>0</v>
      </c>
      <c r="L34" s="61">
        <f>EFEITO!$N$34*EFEITO!$AA$34</f>
        <v>0</v>
      </c>
      <c r="M34" s="61">
        <f ca="1">$J$34-EFEITO!$K$34*EFEITO!$Y$34</f>
        <v>4353.033087094992</v>
      </c>
      <c r="N34" s="61">
        <f>$K$34-EFEITO!$M$34*EFEITO!$Z$34</f>
        <v>0</v>
      </c>
      <c r="O34" s="61">
        <f>$L$34-EFEITO!$O$34*EFEITO!$AA$34</f>
        <v>0</v>
      </c>
      <c r="P34" s="45"/>
      <c r="Q34" s="45"/>
      <c r="R34" s="45"/>
      <c r="S34" s="45"/>
      <c r="T34" s="45"/>
      <c r="U34" s="45"/>
      <c r="V34" s="45"/>
      <c r="W34" s="45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1.25" customHeight="1" x14ac:dyDescent="0.2">
      <c r="A35" s="41" t="s">
        <v>21</v>
      </c>
      <c r="B35" s="41" t="s">
        <v>35</v>
      </c>
      <c r="C35" s="41" t="s">
        <v>53</v>
      </c>
      <c r="D35" s="41" t="s">
        <v>25</v>
      </c>
      <c r="E35" s="41" t="s">
        <v>25</v>
      </c>
      <c r="F35" s="41" t="s">
        <v>25</v>
      </c>
      <c r="G35" s="41" t="s">
        <v>56</v>
      </c>
      <c r="H35" s="41" t="s">
        <v>25</v>
      </c>
      <c r="I35" s="60">
        <v>44501</v>
      </c>
      <c r="J35" s="61">
        <f ca="1">EFEITO!$J$35*EFEITO!$Y$35</f>
        <v>12091.758575263868</v>
      </c>
      <c r="K35" s="61">
        <f>EFEITO!$L$35*EFEITO!$Z$35</f>
        <v>0</v>
      </c>
      <c r="L35" s="61">
        <f>EFEITO!$N$35*EFEITO!$AA$35</f>
        <v>0</v>
      </c>
      <c r="M35" s="61">
        <f ca="1">$J$35-EFEITO!$K$35*EFEITO!$Y$35</f>
        <v>6045.8792876319339</v>
      </c>
      <c r="N35" s="61">
        <f>$K$35-EFEITO!$M$35*EFEITO!$Z$35</f>
        <v>0</v>
      </c>
      <c r="O35" s="61">
        <f>$L$35-EFEITO!$O$35*EFEITO!$AA$35</f>
        <v>0</v>
      </c>
      <c r="P35" s="45"/>
      <c r="Q35" s="45"/>
      <c r="R35" s="45"/>
      <c r="S35" s="45"/>
      <c r="T35" s="45"/>
      <c r="U35" s="45"/>
      <c r="V35" s="45"/>
      <c r="W35" s="45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1.25" customHeight="1" x14ac:dyDescent="0.2">
      <c r="A36" s="41" t="s">
        <v>21</v>
      </c>
      <c r="B36" s="41" t="s">
        <v>35</v>
      </c>
      <c r="C36" s="41" t="s">
        <v>53</v>
      </c>
      <c r="D36" s="41" t="s">
        <v>25</v>
      </c>
      <c r="E36" s="41" t="s">
        <v>25</v>
      </c>
      <c r="F36" s="41" t="s">
        <v>25</v>
      </c>
      <c r="G36" s="41" t="s">
        <v>54</v>
      </c>
      <c r="H36" s="41" t="s">
        <v>25</v>
      </c>
      <c r="I36" s="60">
        <v>44531</v>
      </c>
      <c r="J36" s="61">
        <f ca="1">EFEITO!$J$36*EFEITO!$Y$36</f>
        <v>8706.0661741899839</v>
      </c>
      <c r="K36" s="61">
        <f>EFEITO!$L$36*EFEITO!$Z$36</f>
        <v>0</v>
      </c>
      <c r="L36" s="61">
        <f>EFEITO!$N$36*EFEITO!$AA$36</f>
        <v>0</v>
      </c>
      <c r="M36" s="61">
        <f ca="1">$J$36-EFEITO!$K$36*EFEITO!$Y$36</f>
        <v>4353.033087094992</v>
      </c>
      <c r="N36" s="61">
        <f>$K$36-EFEITO!$M$36*EFEITO!$Z$36</f>
        <v>0</v>
      </c>
      <c r="O36" s="61">
        <f>$L$36-EFEITO!$O$36*EFEITO!$AA$36</f>
        <v>0</v>
      </c>
      <c r="P36" s="45"/>
      <c r="Q36" s="45"/>
      <c r="R36" s="45"/>
      <c r="S36" s="45"/>
      <c r="T36" s="45"/>
      <c r="U36" s="45"/>
      <c r="V36" s="45"/>
      <c r="W36" s="45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1.25" customHeight="1" x14ac:dyDescent="0.2">
      <c r="A37" s="41" t="s">
        <v>21</v>
      </c>
      <c r="B37" s="41" t="s">
        <v>35</v>
      </c>
      <c r="C37" s="41" t="s">
        <v>53</v>
      </c>
      <c r="D37" s="41" t="s">
        <v>25</v>
      </c>
      <c r="E37" s="41" t="s">
        <v>25</v>
      </c>
      <c r="F37" s="41" t="s">
        <v>25</v>
      </c>
      <c r="G37" s="41" t="s">
        <v>56</v>
      </c>
      <c r="H37" s="41" t="s">
        <v>25</v>
      </c>
      <c r="I37" s="60">
        <v>44531</v>
      </c>
      <c r="J37" s="61">
        <f ca="1">EFEITO!$J$37*EFEITO!$Y$37</f>
        <v>12091.758575263868</v>
      </c>
      <c r="K37" s="61">
        <f>EFEITO!$L$37*EFEITO!$Z$37</f>
        <v>0</v>
      </c>
      <c r="L37" s="61">
        <f>EFEITO!$N$37*EFEITO!$AA$37</f>
        <v>0</v>
      </c>
      <c r="M37" s="61">
        <f ca="1">$J$37-EFEITO!$K$37*EFEITO!$Y$37</f>
        <v>6045.8792876319339</v>
      </c>
      <c r="N37" s="61">
        <f>$K$37-EFEITO!$M$37*EFEITO!$Z$37</f>
        <v>0</v>
      </c>
      <c r="O37" s="61">
        <f>$L$37-EFEITO!$O$37*EFEITO!$AA$37</f>
        <v>0</v>
      </c>
      <c r="P37" s="45"/>
      <c r="Q37" s="45"/>
      <c r="R37" s="45"/>
      <c r="S37" s="45"/>
      <c r="T37" s="45"/>
      <c r="U37" s="45"/>
      <c r="V37" s="45"/>
      <c r="W37" s="45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1.25" customHeight="1" x14ac:dyDescent="0.2">
      <c r="A38" s="41" t="s">
        <v>21</v>
      </c>
      <c r="B38" s="41" t="s">
        <v>35</v>
      </c>
      <c r="C38" s="41" t="s">
        <v>53</v>
      </c>
      <c r="D38" s="41" t="s">
        <v>25</v>
      </c>
      <c r="E38" s="41" t="s">
        <v>25</v>
      </c>
      <c r="F38" s="41" t="s">
        <v>25</v>
      </c>
      <c r="G38" s="41" t="s">
        <v>54</v>
      </c>
      <c r="H38" s="41" t="s">
        <v>25</v>
      </c>
      <c r="I38" s="60">
        <v>44562</v>
      </c>
      <c r="J38" s="61">
        <f ca="1">EFEITO!$J$38*EFEITO!$Y$38</f>
        <v>8706.0661741899839</v>
      </c>
      <c r="K38" s="61">
        <f>EFEITO!$L$38*EFEITO!$Z$38</f>
        <v>0</v>
      </c>
      <c r="L38" s="61">
        <f>EFEITO!$N$38*EFEITO!$AA$38</f>
        <v>0</v>
      </c>
      <c r="M38" s="61">
        <f ca="1">$J$38-EFEITO!$K$38*EFEITO!$Y$38</f>
        <v>4353.033087094992</v>
      </c>
      <c r="N38" s="61">
        <f>$K$38-EFEITO!$M$38*EFEITO!$Z$38</f>
        <v>0</v>
      </c>
      <c r="O38" s="61">
        <f>$L$38-EFEITO!$O$38*EFEITO!$AA$38</f>
        <v>0</v>
      </c>
      <c r="P38" s="45"/>
      <c r="Q38" s="45"/>
      <c r="R38" s="45"/>
      <c r="S38" s="45"/>
      <c r="T38" s="45"/>
      <c r="U38" s="45"/>
      <c r="V38" s="45"/>
      <c r="W38" s="45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1.25" customHeight="1" x14ac:dyDescent="0.2">
      <c r="A39" s="41" t="s">
        <v>21</v>
      </c>
      <c r="B39" s="41" t="s">
        <v>35</v>
      </c>
      <c r="C39" s="41" t="s">
        <v>53</v>
      </c>
      <c r="D39" s="41" t="s">
        <v>25</v>
      </c>
      <c r="E39" s="41" t="s">
        <v>25</v>
      </c>
      <c r="F39" s="41" t="s">
        <v>25</v>
      </c>
      <c r="G39" s="41" t="s">
        <v>56</v>
      </c>
      <c r="H39" s="41" t="s">
        <v>25</v>
      </c>
      <c r="I39" s="60">
        <v>44562</v>
      </c>
      <c r="J39" s="61">
        <f ca="1">EFEITO!$J$39*EFEITO!$Y$39</f>
        <v>12091.758575263868</v>
      </c>
      <c r="K39" s="61">
        <f>EFEITO!$L$39*EFEITO!$Z$39</f>
        <v>0</v>
      </c>
      <c r="L39" s="61">
        <f>EFEITO!$N$39*EFEITO!$AA$39</f>
        <v>0</v>
      </c>
      <c r="M39" s="61">
        <f ca="1">$J$39-EFEITO!$K$39*EFEITO!$Y$39</f>
        <v>6045.8792876319339</v>
      </c>
      <c r="N39" s="61">
        <f>$K$39-EFEITO!$M$39*EFEITO!$Z$39</f>
        <v>0</v>
      </c>
      <c r="O39" s="61">
        <f>$L$39-EFEITO!$O$39*EFEITO!$AA$39</f>
        <v>0</v>
      </c>
      <c r="P39" s="45"/>
      <c r="Q39" s="45"/>
      <c r="R39" s="45"/>
      <c r="S39" s="45"/>
      <c r="T39" s="45"/>
      <c r="U39" s="45"/>
      <c r="V39" s="45"/>
      <c r="W39" s="45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1.25" customHeight="1" x14ac:dyDescent="0.2">
      <c r="A40" s="41" t="s">
        <v>21</v>
      </c>
      <c r="B40" s="41" t="s">
        <v>35</v>
      </c>
      <c r="C40" s="41" t="s">
        <v>53</v>
      </c>
      <c r="D40" s="41" t="s">
        <v>25</v>
      </c>
      <c r="E40" s="41" t="s">
        <v>25</v>
      </c>
      <c r="F40" s="41" t="s">
        <v>25</v>
      </c>
      <c r="G40" s="41" t="s">
        <v>54</v>
      </c>
      <c r="H40" s="41" t="s">
        <v>25</v>
      </c>
      <c r="I40" s="60">
        <v>44593</v>
      </c>
      <c r="J40" s="61">
        <f ca="1">EFEITO!$J$40*EFEITO!$Y$40</f>
        <v>8706.0661741899839</v>
      </c>
      <c r="K40" s="61">
        <f>EFEITO!$L$40*EFEITO!$Z$40</f>
        <v>0</v>
      </c>
      <c r="L40" s="61">
        <f>EFEITO!$N$40*EFEITO!$AA$40</f>
        <v>0</v>
      </c>
      <c r="M40" s="61">
        <f ca="1">$J$40-EFEITO!$K$40*EFEITO!$Y$40</f>
        <v>4353.033087094992</v>
      </c>
      <c r="N40" s="61">
        <f>$K$40-EFEITO!$M$40*EFEITO!$Z$40</f>
        <v>0</v>
      </c>
      <c r="O40" s="61">
        <f>$L$40-EFEITO!$O$40*EFEITO!$AA$40</f>
        <v>0</v>
      </c>
      <c r="P40" s="45"/>
      <c r="Q40" s="45"/>
      <c r="R40" s="45"/>
      <c r="S40" s="45"/>
      <c r="T40" s="45"/>
      <c r="U40" s="45"/>
      <c r="V40" s="45"/>
      <c r="W40" s="45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1.25" customHeight="1" x14ac:dyDescent="0.2">
      <c r="A41" s="41" t="s">
        <v>21</v>
      </c>
      <c r="B41" s="41" t="s">
        <v>35</v>
      </c>
      <c r="C41" s="41" t="s">
        <v>53</v>
      </c>
      <c r="D41" s="41" t="s">
        <v>25</v>
      </c>
      <c r="E41" s="41" t="s">
        <v>25</v>
      </c>
      <c r="F41" s="41" t="s">
        <v>25</v>
      </c>
      <c r="G41" s="41" t="s">
        <v>56</v>
      </c>
      <c r="H41" s="41" t="s">
        <v>25</v>
      </c>
      <c r="I41" s="60">
        <v>44593</v>
      </c>
      <c r="J41" s="61">
        <f ca="1">EFEITO!$J$41*EFEITO!$Y$41</f>
        <v>12091.758575263868</v>
      </c>
      <c r="K41" s="61">
        <f>EFEITO!$L$41*EFEITO!$Z$41</f>
        <v>0</v>
      </c>
      <c r="L41" s="61">
        <f>EFEITO!$N$41*EFEITO!$AA$41</f>
        <v>0</v>
      </c>
      <c r="M41" s="61">
        <f ca="1">$J$41-EFEITO!$K$41*EFEITO!$Y$41</f>
        <v>6045.8792876319339</v>
      </c>
      <c r="N41" s="61">
        <f>$K$41-EFEITO!$M$41*EFEITO!$Z$41</f>
        <v>0</v>
      </c>
      <c r="O41" s="61">
        <f>$L$41-EFEITO!$O$41*EFEITO!$AA$41</f>
        <v>0</v>
      </c>
      <c r="P41" s="45"/>
      <c r="Q41" s="45"/>
      <c r="R41" s="45"/>
      <c r="S41" s="45"/>
      <c r="T41" s="45"/>
      <c r="U41" s="45"/>
      <c r="V41" s="45"/>
      <c r="W41" s="45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1.25" customHeight="1" x14ac:dyDescent="0.2">
      <c r="A42" s="41" t="s">
        <v>21</v>
      </c>
      <c r="B42" s="41" t="s">
        <v>35</v>
      </c>
      <c r="C42" s="41" t="s">
        <v>53</v>
      </c>
      <c r="D42" s="41" t="s">
        <v>25</v>
      </c>
      <c r="E42" s="41" t="s">
        <v>25</v>
      </c>
      <c r="F42" s="41" t="s">
        <v>25</v>
      </c>
      <c r="G42" s="41" t="s">
        <v>54</v>
      </c>
      <c r="H42" s="41" t="s">
        <v>25</v>
      </c>
      <c r="I42" s="60">
        <v>44621</v>
      </c>
      <c r="J42" s="61">
        <f ca="1">EFEITO!$J$42*EFEITO!$Y$42</f>
        <v>8706.0661741899839</v>
      </c>
      <c r="K42" s="61">
        <f>EFEITO!$L$42*EFEITO!$Z$42</f>
        <v>0</v>
      </c>
      <c r="L42" s="61">
        <f>EFEITO!$N$42*EFEITO!$AA$42</f>
        <v>0</v>
      </c>
      <c r="M42" s="61">
        <f ca="1">$J$42-EFEITO!$K$42*EFEITO!$Y$42</f>
        <v>4353.033087094992</v>
      </c>
      <c r="N42" s="61">
        <f>$K$42-EFEITO!$M$42*EFEITO!$Z$42</f>
        <v>0</v>
      </c>
      <c r="O42" s="61">
        <f>$L$42-EFEITO!$O$42*EFEITO!$AA$42</f>
        <v>0</v>
      </c>
      <c r="P42" s="45"/>
      <c r="Q42" s="45"/>
      <c r="R42" s="45"/>
      <c r="S42" s="45"/>
      <c r="T42" s="45"/>
      <c r="U42" s="45"/>
      <c r="V42" s="45"/>
      <c r="W42" s="45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1.25" customHeight="1" x14ac:dyDescent="0.2">
      <c r="A43" s="41" t="s">
        <v>21</v>
      </c>
      <c r="B43" s="41" t="s">
        <v>35</v>
      </c>
      <c r="C43" s="41" t="s">
        <v>53</v>
      </c>
      <c r="D43" s="41" t="s">
        <v>25</v>
      </c>
      <c r="E43" s="41" t="s">
        <v>25</v>
      </c>
      <c r="F43" s="41" t="s">
        <v>25</v>
      </c>
      <c r="G43" s="41" t="s">
        <v>56</v>
      </c>
      <c r="H43" s="41" t="s">
        <v>25</v>
      </c>
      <c r="I43" s="60">
        <v>44621</v>
      </c>
      <c r="J43" s="61">
        <f ca="1">EFEITO!$J$43*EFEITO!$Y$43</f>
        <v>12091.758575263868</v>
      </c>
      <c r="K43" s="61">
        <f>EFEITO!$L$43*EFEITO!$Z$43</f>
        <v>0</v>
      </c>
      <c r="L43" s="61">
        <f>EFEITO!$N$43*EFEITO!$AA$43</f>
        <v>0</v>
      </c>
      <c r="M43" s="61">
        <f ca="1">$J$43-EFEITO!$K$43*EFEITO!$Y$43</f>
        <v>6045.8792876319339</v>
      </c>
      <c r="N43" s="61">
        <f>$K$43-EFEITO!$M$43*EFEITO!$Z$43</f>
        <v>0</v>
      </c>
      <c r="O43" s="61">
        <f>$L$43-EFEITO!$O$43*EFEITO!$AA$43</f>
        <v>0</v>
      </c>
      <c r="P43" s="45"/>
      <c r="Q43" s="45"/>
      <c r="R43" s="45"/>
      <c r="S43" s="45"/>
      <c r="T43" s="45"/>
      <c r="U43" s="45"/>
      <c r="V43" s="45"/>
      <c r="W43" s="45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1.25" customHeight="1" x14ac:dyDescent="0.2">
      <c r="A44" s="41" t="s">
        <v>21</v>
      </c>
      <c r="B44" s="41" t="s">
        <v>35</v>
      </c>
      <c r="C44" s="41" t="s">
        <v>53</v>
      </c>
      <c r="D44" s="41" t="s">
        <v>25</v>
      </c>
      <c r="E44" s="41" t="s">
        <v>25</v>
      </c>
      <c r="F44" s="41" t="s">
        <v>25</v>
      </c>
      <c r="G44" s="41" t="s">
        <v>54</v>
      </c>
      <c r="H44" s="41" t="s">
        <v>25</v>
      </c>
      <c r="I44" s="60">
        <v>44652</v>
      </c>
      <c r="J44" s="61">
        <f ca="1">EFEITO!$J$44*EFEITO!$Y$44</f>
        <v>8706.0661741899839</v>
      </c>
      <c r="K44" s="61">
        <f>EFEITO!$L$44*EFEITO!$Z$44</f>
        <v>0</v>
      </c>
      <c r="L44" s="61">
        <f>EFEITO!$N$44*EFEITO!$AA$44</f>
        <v>0</v>
      </c>
      <c r="M44" s="61">
        <f ca="1">$J$44-EFEITO!$K$44*EFEITO!$Y$44</f>
        <v>4353.033087094992</v>
      </c>
      <c r="N44" s="61">
        <f>$K$44-EFEITO!$M$44*EFEITO!$Z$44</f>
        <v>0</v>
      </c>
      <c r="O44" s="61">
        <f>$L$44-EFEITO!$O$44*EFEITO!$AA$44</f>
        <v>0</v>
      </c>
      <c r="P44" s="45"/>
      <c r="Q44" s="45"/>
      <c r="R44" s="45"/>
      <c r="S44" s="45"/>
      <c r="T44" s="45"/>
      <c r="U44" s="45"/>
      <c r="V44" s="45"/>
      <c r="W44" s="45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1.25" customHeight="1" x14ac:dyDescent="0.2">
      <c r="A45" s="41" t="s">
        <v>21</v>
      </c>
      <c r="B45" s="41" t="s">
        <v>35</v>
      </c>
      <c r="C45" s="41" t="s">
        <v>53</v>
      </c>
      <c r="D45" s="41" t="s">
        <v>25</v>
      </c>
      <c r="E45" s="41" t="s">
        <v>25</v>
      </c>
      <c r="F45" s="41" t="s">
        <v>25</v>
      </c>
      <c r="G45" s="41" t="s">
        <v>56</v>
      </c>
      <c r="H45" s="41" t="s">
        <v>25</v>
      </c>
      <c r="I45" s="60">
        <v>44652</v>
      </c>
      <c r="J45" s="61">
        <f ca="1">EFEITO!$J$45*EFEITO!$Y$45</f>
        <v>12091.758575263868</v>
      </c>
      <c r="K45" s="61">
        <f>EFEITO!$L$45*EFEITO!$Z$45</f>
        <v>0</v>
      </c>
      <c r="L45" s="61">
        <f>EFEITO!$N$45*EFEITO!$AA$45</f>
        <v>0</v>
      </c>
      <c r="M45" s="61">
        <f ca="1">$J$45-EFEITO!$K$45*EFEITO!$Y$45</f>
        <v>6045.8792876319339</v>
      </c>
      <c r="N45" s="61">
        <f>$K$45-EFEITO!$M$45*EFEITO!$Z$45</f>
        <v>0</v>
      </c>
      <c r="O45" s="61">
        <f>$L$45-EFEITO!$O$45*EFEITO!$AA$45</f>
        <v>0</v>
      </c>
      <c r="P45" s="45"/>
      <c r="Q45" s="45"/>
      <c r="R45" s="45"/>
      <c r="S45" s="45"/>
      <c r="T45" s="45"/>
      <c r="U45" s="45"/>
      <c r="V45" s="45"/>
      <c r="W45" s="45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1.25" customHeight="1" x14ac:dyDescent="0.2">
      <c r="A46" s="41" t="s">
        <v>21</v>
      </c>
      <c r="B46" s="41" t="s">
        <v>35</v>
      </c>
      <c r="C46" s="41" t="s">
        <v>53</v>
      </c>
      <c r="D46" s="41" t="s">
        <v>25</v>
      </c>
      <c r="E46" s="41" t="s">
        <v>25</v>
      </c>
      <c r="F46" s="41" t="s">
        <v>25</v>
      </c>
      <c r="G46" s="41" t="s">
        <v>54</v>
      </c>
      <c r="H46" s="41" t="s">
        <v>25</v>
      </c>
      <c r="I46" s="60">
        <v>44682</v>
      </c>
      <c r="J46" s="61">
        <f ca="1">EFEITO!$J$46*EFEITO!$Y$46</f>
        <v>8706.0661741899839</v>
      </c>
      <c r="K46" s="61">
        <f>EFEITO!$L$46*EFEITO!$Z$46</f>
        <v>0</v>
      </c>
      <c r="L46" s="61">
        <f>EFEITO!$N$46*EFEITO!$AA$46</f>
        <v>0</v>
      </c>
      <c r="M46" s="61">
        <f ca="1">$J$46-EFEITO!$K$46*EFEITO!$Y$46</f>
        <v>4353.033087094992</v>
      </c>
      <c r="N46" s="61">
        <f>$K$46-EFEITO!$M$46*EFEITO!$Z$46</f>
        <v>0</v>
      </c>
      <c r="O46" s="61">
        <f>$L$46-EFEITO!$O$46*EFEITO!$AA$46</f>
        <v>0</v>
      </c>
      <c r="P46" s="45"/>
      <c r="Q46" s="45"/>
      <c r="R46" s="45"/>
      <c r="S46" s="45"/>
      <c r="T46" s="45"/>
      <c r="U46" s="45"/>
      <c r="V46" s="45"/>
      <c r="W46" s="45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1.25" customHeight="1" x14ac:dyDescent="0.2">
      <c r="A47" s="41" t="s">
        <v>21</v>
      </c>
      <c r="B47" s="41" t="s">
        <v>35</v>
      </c>
      <c r="C47" s="41" t="s">
        <v>53</v>
      </c>
      <c r="D47" s="41" t="s">
        <v>25</v>
      </c>
      <c r="E47" s="41" t="s">
        <v>25</v>
      </c>
      <c r="F47" s="41" t="s">
        <v>25</v>
      </c>
      <c r="G47" s="41" t="s">
        <v>56</v>
      </c>
      <c r="H47" s="41" t="s">
        <v>25</v>
      </c>
      <c r="I47" s="60">
        <v>44682</v>
      </c>
      <c r="J47" s="61">
        <f ca="1">EFEITO!$J$47*EFEITO!$Y$47</f>
        <v>12091.758575263868</v>
      </c>
      <c r="K47" s="61">
        <f>EFEITO!$L$47*EFEITO!$Z$47</f>
        <v>0</v>
      </c>
      <c r="L47" s="61">
        <f>EFEITO!$N$47*EFEITO!$AA$47</f>
        <v>0</v>
      </c>
      <c r="M47" s="61">
        <f ca="1">$J$47-EFEITO!$K$47*EFEITO!$Y$47</f>
        <v>6045.8792876319339</v>
      </c>
      <c r="N47" s="61">
        <f>$K$47-EFEITO!$M$47*EFEITO!$Z$47</f>
        <v>0</v>
      </c>
      <c r="O47" s="61">
        <f>$L$47-EFEITO!$O$47*EFEITO!$AA$47</f>
        <v>0</v>
      </c>
      <c r="P47" s="45"/>
      <c r="Q47" s="45"/>
      <c r="R47" s="45"/>
      <c r="S47" s="45"/>
      <c r="T47" s="45"/>
      <c r="U47" s="45"/>
      <c r="V47" s="45"/>
      <c r="W47" s="45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1.25" customHeight="1" x14ac:dyDescent="0.2">
      <c r="A48" s="41" t="s">
        <v>21</v>
      </c>
      <c r="B48" s="41" t="s">
        <v>35</v>
      </c>
      <c r="C48" s="41" t="s">
        <v>53</v>
      </c>
      <c r="D48" s="41" t="s">
        <v>25</v>
      </c>
      <c r="E48" s="41" t="s">
        <v>25</v>
      </c>
      <c r="F48" s="41" t="s">
        <v>25</v>
      </c>
      <c r="G48" s="41" t="s">
        <v>54</v>
      </c>
      <c r="H48" s="41" t="s">
        <v>25</v>
      </c>
      <c r="I48" s="60">
        <v>44713</v>
      </c>
      <c r="J48" s="61">
        <f ca="1">EFEITO!$J$48*EFEITO!$Y$48</f>
        <v>8706.0661741899839</v>
      </c>
      <c r="K48" s="61">
        <f>EFEITO!$L$48*EFEITO!$Z$48</f>
        <v>0</v>
      </c>
      <c r="L48" s="61">
        <f>EFEITO!$N$48*EFEITO!$AA$48</f>
        <v>0</v>
      </c>
      <c r="M48" s="61">
        <f ca="1">$J$48-EFEITO!$K$48*EFEITO!$Y$48</f>
        <v>4353.033087094992</v>
      </c>
      <c r="N48" s="61">
        <f>$K$48-EFEITO!$M$48*EFEITO!$Z$48</f>
        <v>0</v>
      </c>
      <c r="O48" s="61">
        <f>$L$48-EFEITO!$O$48*EFEITO!$AA$48</f>
        <v>0</v>
      </c>
      <c r="P48" s="45"/>
      <c r="Q48" s="45"/>
      <c r="R48" s="45"/>
      <c r="S48" s="45"/>
      <c r="T48" s="45"/>
      <c r="U48" s="45"/>
      <c r="V48" s="45"/>
      <c r="W48" s="45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1.25" customHeight="1" x14ac:dyDescent="0.2">
      <c r="A49" s="41" t="s">
        <v>21</v>
      </c>
      <c r="B49" s="41" t="s">
        <v>35</v>
      </c>
      <c r="C49" s="41" t="s">
        <v>53</v>
      </c>
      <c r="D49" s="41" t="s">
        <v>25</v>
      </c>
      <c r="E49" s="41" t="s">
        <v>25</v>
      </c>
      <c r="F49" s="41" t="s">
        <v>25</v>
      </c>
      <c r="G49" s="41" t="s">
        <v>56</v>
      </c>
      <c r="H49" s="41" t="s">
        <v>25</v>
      </c>
      <c r="I49" s="60">
        <v>44713</v>
      </c>
      <c r="J49" s="61">
        <f ca="1">EFEITO!$J$49*EFEITO!$Y$49</f>
        <v>12091.758575263868</v>
      </c>
      <c r="K49" s="61">
        <f>EFEITO!$L$49*EFEITO!$Z$49</f>
        <v>0</v>
      </c>
      <c r="L49" s="61">
        <f>EFEITO!$N$49*EFEITO!$AA$49</f>
        <v>0</v>
      </c>
      <c r="M49" s="61">
        <f ca="1">$J$49-EFEITO!$K$49*EFEITO!$Y$49</f>
        <v>6045.8792876319339</v>
      </c>
      <c r="N49" s="61">
        <f>$K$49-EFEITO!$M$49*EFEITO!$Z$49</f>
        <v>0</v>
      </c>
      <c r="O49" s="61">
        <f>$L$49-EFEITO!$O$49*EFEITO!$AA$49</f>
        <v>0</v>
      </c>
      <c r="P49" s="45"/>
      <c r="Q49" s="45"/>
      <c r="R49" s="45"/>
      <c r="S49" s="45"/>
      <c r="T49" s="45"/>
      <c r="U49" s="45"/>
      <c r="V49" s="45"/>
      <c r="W49" s="45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1.25" customHeight="1" x14ac:dyDescent="0.2">
      <c r="A50" s="41" t="s">
        <v>21</v>
      </c>
      <c r="B50" s="41" t="s">
        <v>35</v>
      </c>
      <c r="C50" s="41" t="s">
        <v>39</v>
      </c>
      <c r="D50" s="41" t="s">
        <v>40</v>
      </c>
      <c r="E50" s="41" t="s">
        <v>25</v>
      </c>
      <c r="F50" s="41" t="s">
        <v>25</v>
      </c>
      <c r="G50" s="41" t="s">
        <v>25</v>
      </c>
      <c r="H50" s="41" t="s">
        <v>38</v>
      </c>
      <c r="I50" s="60">
        <v>44378</v>
      </c>
      <c r="J50" s="61">
        <f>EFEITO!$J$50*EFEITO!$Y$50</f>
        <v>0</v>
      </c>
      <c r="K50" s="61">
        <f ca="1">EFEITO!$L$50*EFEITO!$Z$50</f>
        <v>9159.3090830206638</v>
      </c>
      <c r="L50" s="61">
        <f>EFEITO!$N$50*EFEITO!$AA$50</f>
        <v>18619.975956175338</v>
      </c>
      <c r="M50" s="61">
        <f>$J$50-EFEITO!$K$50*EFEITO!$Y$50</f>
        <v>0</v>
      </c>
      <c r="N50" s="61">
        <f ca="1">$K$50-EFEITO!$M$50*EFEITO!$Z$50</f>
        <v>0</v>
      </c>
      <c r="O50" s="61">
        <f>$L$50-EFEITO!$O$50*EFEITO!$AA$50</f>
        <v>0</v>
      </c>
      <c r="P50" s="45"/>
      <c r="Q50" s="45"/>
      <c r="R50" s="45"/>
      <c r="S50" s="45"/>
      <c r="T50" s="45"/>
      <c r="U50" s="45"/>
      <c r="V50" s="45"/>
      <c r="W50" s="45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1.25" customHeight="1" x14ac:dyDescent="0.2">
      <c r="A51" s="41" t="s">
        <v>28</v>
      </c>
      <c r="B51" s="41" t="s">
        <v>35</v>
      </c>
      <c r="C51" s="41" t="s">
        <v>39</v>
      </c>
      <c r="D51" s="41" t="s">
        <v>40</v>
      </c>
      <c r="E51" s="41" t="s">
        <v>25</v>
      </c>
      <c r="F51" s="41" t="s">
        <v>25</v>
      </c>
      <c r="G51" s="41" t="s">
        <v>25</v>
      </c>
      <c r="H51" s="41" t="s">
        <v>38</v>
      </c>
      <c r="I51" s="60">
        <v>44378</v>
      </c>
      <c r="J51" s="61">
        <f>EFEITO!$J$51*EFEITO!$Y$51</f>
        <v>0</v>
      </c>
      <c r="K51" s="61">
        <f ca="1">EFEITO!$L$51*EFEITO!$Z$51</f>
        <v>520.50209336395073</v>
      </c>
      <c r="L51" s="61">
        <f>EFEITO!$N$51*EFEITO!$AA$51</f>
        <v>1058.1296444665277</v>
      </c>
      <c r="M51" s="61">
        <f>$J$51-EFEITO!$K$51*EFEITO!$Y$51</f>
        <v>0</v>
      </c>
      <c r="N51" s="61">
        <f ca="1">$K$51-EFEITO!$M$51*EFEITO!$Z$51</f>
        <v>0</v>
      </c>
      <c r="O51" s="61">
        <f>$L$51-EFEITO!$O$51*EFEITO!$AA$51</f>
        <v>0</v>
      </c>
      <c r="P51" s="45"/>
      <c r="Q51" s="45"/>
      <c r="R51" s="45"/>
      <c r="S51" s="45"/>
      <c r="T51" s="45"/>
      <c r="U51" s="45"/>
      <c r="V51" s="45"/>
      <c r="W51" s="45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1.25" customHeight="1" x14ac:dyDescent="0.2">
      <c r="A52" s="41" t="s">
        <v>21</v>
      </c>
      <c r="B52" s="41" t="s">
        <v>35</v>
      </c>
      <c r="C52" s="41" t="s">
        <v>39</v>
      </c>
      <c r="D52" s="41" t="s">
        <v>40</v>
      </c>
      <c r="E52" s="41" t="s">
        <v>25</v>
      </c>
      <c r="F52" s="41" t="s">
        <v>25</v>
      </c>
      <c r="G52" s="41" t="s">
        <v>25</v>
      </c>
      <c r="H52" s="41" t="s">
        <v>38</v>
      </c>
      <c r="I52" s="60">
        <v>44409</v>
      </c>
      <c r="J52" s="61">
        <f>EFEITO!$J$52*EFEITO!$Y$52</f>
        <v>0</v>
      </c>
      <c r="K52" s="61">
        <f ca="1">EFEITO!$L$52*EFEITO!$Z$52</f>
        <v>8383.1488928976032</v>
      </c>
      <c r="L52" s="61">
        <f>EFEITO!$N$52*EFEITO!$AA$52</f>
        <v>17042.118505658371</v>
      </c>
      <c r="M52" s="61">
        <f>$J$52-EFEITO!$K$52*EFEITO!$Y$52</f>
        <v>0</v>
      </c>
      <c r="N52" s="61">
        <f ca="1">$K$52-EFEITO!$M$52*EFEITO!$Z$52</f>
        <v>0</v>
      </c>
      <c r="O52" s="61">
        <f>$L$52-EFEITO!$O$52*EFEITO!$AA$52</f>
        <v>0</v>
      </c>
      <c r="P52" s="45"/>
      <c r="Q52" s="45"/>
      <c r="R52" s="45"/>
      <c r="S52" s="45"/>
      <c r="T52" s="45"/>
      <c r="U52" s="45"/>
      <c r="V52" s="45"/>
      <c r="W52" s="45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1.25" customHeight="1" x14ac:dyDescent="0.2">
      <c r="A53" s="41" t="s">
        <v>21</v>
      </c>
      <c r="B53" s="41" t="s">
        <v>35</v>
      </c>
      <c r="C53" s="41" t="s">
        <v>39</v>
      </c>
      <c r="D53" s="41" t="s">
        <v>40</v>
      </c>
      <c r="E53" s="41" t="s">
        <v>25</v>
      </c>
      <c r="F53" s="41" t="s">
        <v>25</v>
      </c>
      <c r="G53" s="41" t="s">
        <v>25</v>
      </c>
      <c r="H53" s="41" t="s">
        <v>38</v>
      </c>
      <c r="I53" s="60">
        <v>44440</v>
      </c>
      <c r="J53" s="61">
        <f>EFEITO!$J$53*EFEITO!$Y$53</f>
        <v>0</v>
      </c>
      <c r="K53" s="61">
        <f ca="1">EFEITO!$L$53*EFEITO!$Z$53</f>
        <v>9165.2073976584506</v>
      </c>
      <c r="L53" s="61">
        <f>EFEITO!$N$53*EFEITO!$AA$53</f>
        <v>18631.966650641705</v>
      </c>
      <c r="M53" s="61">
        <f>$J$53-EFEITO!$K$53*EFEITO!$Y$53</f>
        <v>0</v>
      </c>
      <c r="N53" s="61">
        <f ca="1">$K$53-EFEITO!$M$53*EFEITO!$Z$53</f>
        <v>0</v>
      </c>
      <c r="O53" s="61">
        <f>$L$53-EFEITO!$O$53*EFEITO!$AA$53</f>
        <v>0</v>
      </c>
      <c r="P53" s="45"/>
      <c r="Q53" s="45"/>
      <c r="R53" s="45"/>
      <c r="S53" s="45"/>
      <c r="T53" s="45"/>
      <c r="U53" s="45"/>
      <c r="V53" s="45"/>
      <c r="W53" s="45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1.25" customHeight="1" x14ac:dyDescent="0.2">
      <c r="A54" s="41" t="s">
        <v>28</v>
      </c>
      <c r="B54" s="41" t="s">
        <v>35</v>
      </c>
      <c r="C54" s="41" t="s">
        <v>39</v>
      </c>
      <c r="D54" s="41" t="s">
        <v>40</v>
      </c>
      <c r="E54" s="41" t="s">
        <v>25</v>
      </c>
      <c r="F54" s="41" t="s">
        <v>25</v>
      </c>
      <c r="G54" s="41" t="s">
        <v>25</v>
      </c>
      <c r="H54" s="41" t="s">
        <v>38</v>
      </c>
      <c r="I54" s="60">
        <v>44440</v>
      </c>
      <c r="J54" s="61">
        <f>EFEITO!$J$54*EFEITO!$Y$54</f>
        <v>0</v>
      </c>
      <c r="K54" s="61">
        <f ca="1">EFEITO!$L$54*EFEITO!$Z$54</f>
        <v>444.50085885084189</v>
      </c>
      <c r="L54" s="61">
        <f>EFEITO!$N$54*EFEITO!$AA$54</f>
        <v>903.6265977359518</v>
      </c>
      <c r="M54" s="61">
        <f>$J$54-EFEITO!$K$54*EFEITO!$Y$54</f>
        <v>0</v>
      </c>
      <c r="N54" s="61">
        <f ca="1">$K$54-EFEITO!$M$54*EFEITO!$Z$54</f>
        <v>0</v>
      </c>
      <c r="O54" s="61">
        <f>$L$54-EFEITO!$O$54*EFEITO!$AA$54</f>
        <v>0</v>
      </c>
      <c r="P54" s="45"/>
      <c r="Q54" s="45"/>
      <c r="R54" s="45"/>
      <c r="S54" s="45"/>
      <c r="T54" s="45"/>
      <c r="U54" s="45"/>
      <c r="V54" s="45"/>
      <c r="W54" s="45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1.25" customHeight="1" x14ac:dyDescent="0.2">
      <c r="A55" s="41" t="s">
        <v>21</v>
      </c>
      <c r="B55" s="41" t="s">
        <v>35</v>
      </c>
      <c r="C55" s="41" t="s">
        <v>39</v>
      </c>
      <c r="D55" s="41" t="s">
        <v>40</v>
      </c>
      <c r="E55" s="41" t="s">
        <v>25</v>
      </c>
      <c r="F55" s="41" t="s">
        <v>25</v>
      </c>
      <c r="G55" s="41" t="s">
        <v>25</v>
      </c>
      <c r="H55" s="41" t="s">
        <v>38</v>
      </c>
      <c r="I55" s="60">
        <v>44470</v>
      </c>
      <c r="J55" s="61">
        <f>EFEITO!$J$55*EFEITO!$Y$55</f>
        <v>0</v>
      </c>
      <c r="K55" s="61">
        <f ca="1">EFEITO!$L$55*EFEITO!$Z$55</f>
        <v>12545.715234570413</v>
      </c>
      <c r="L55" s="61">
        <f>EFEITO!$N$55*EFEITO!$AA$55</f>
        <v>25504.207129964441</v>
      </c>
      <c r="M55" s="61">
        <f>$J$55-EFEITO!$K$55*EFEITO!$Y$55</f>
        <v>0</v>
      </c>
      <c r="N55" s="61">
        <f ca="1">$K$55-EFEITO!$M$55*EFEITO!$Z$55</f>
        <v>0</v>
      </c>
      <c r="O55" s="61">
        <f>$L$55-EFEITO!$O$55*EFEITO!$AA$55</f>
        <v>0</v>
      </c>
      <c r="P55" s="45"/>
      <c r="Q55" s="45"/>
      <c r="R55" s="45"/>
      <c r="S55" s="45"/>
      <c r="T55" s="45"/>
      <c r="U55" s="45"/>
      <c r="V55" s="45"/>
      <c r="W55" s="45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1.25" customHeight="1" x14ac:dyDescent="0.2">
      <c r="A56" s="41" t="s">
        <v>28</v>
      </c>
      <c r="B56" s="41" t="s">
        <v>35</v>
      </c>
      <c r="C56" s="41" t="s">
        <v>39</v>
      </c>
      <c r="D56" s="41" t="s">
        <v>40</v>
      </c>
      <c r="E56" s="41" t="s">
        <v>25</v>
      </c>
      <c r="F56" s="41" t="s">
        <v>25</v>
      </c>
      <c r="G56" s="41" t="s">
        <v>25</v>
      </c>
      <c r="H56" s="41" t="s">
        <v>38</v>
      </c>
      <c r="I56" s="60">
        <v>44470</v>
      </c>
      <c r="J56" s="61">
        <f>EFEITO!$J$56*EFEITO!$Y$56</f>
        <v>0</v>
      </c>
      <c r="K56" s="61">
        <f ca="1">EFEITO!$L$56*EFEITO!$Z$56</f>
        <v>982.98797717591003</v>
      </c>
      <c r="L56" s="61">
        <f>EFEITO!$N$56*EFEITO!$AA$56</f>
        <v>1998.3180318868144</v>
      </c>
      <c r="M56" s="61">
        <f>$J$56-EFEITO!$K$56*EFEITO!$Y$56</f>
        <v>0</v>
      </c>
      <c r="N56" s="61">
        <f ca="1">$K$56-EFEITO!$M$56*EFEITO!$Z$56</f>
        <v>0</v>
      </c>
      <c r="O56" s="61">
        <f>$L$56-EFEITO!$O$56*EFEITO!$AA$56</f>
        <v>0</v>
      </c>
      <c r="P56" s="45"/>
      <c r="Q56" s="45"/>
      <c r="R56" s="45"/>
      <c r="S56" s="45"/>
      <c r="T56" s="45"/>
      <c r="U56" s="45"/>
      <c r="V56" s="45"/>
      <c r="W56" s="45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1.25" customHeight="1" x14ac:dyDescent="0.2">
      <c r="A57" s="41" t="s">
        <v>21</v>
      </c>
      <c r="B57" s="41" t="s">
        <v>35</v>
      </c>
      <c r="C57" s="41" t="s">
        <v>39</v>
      </c>
      <c r="D57" s="41" t="s">
        <v>40</v>
      </c>
      <c r="E57" s="41" t="s">
        <v>25</v>
      </c>
      <c r="F57" s="41" t="s">
        <v>25</v>
      </c>
      <c r="G57" s="41" t="s">
        <v>25</v>
      </c>
      <c r="H57" s="41" t="s">
        <v>38</v>
      </c>
      <c r="I57" s="60">
        <v>44501</v>
      </c>
      <c r="J57" s="61">
        <f>EFEITO!$J$57*EFEITO!$Y$57</f>
        <v>0</v>
      </c>
      <c r="K57" s="61">
        <f ca="1">EFEITO!$L$57*EFEITO!$Z$57</f>
        <v>17237.9695694529</v>
      </c>
      <c r="L57" s="61">
        <f>EFEITO!$N$57*EFEITO!$AA$57</f>
        <v>35043.099431102688</v>
      </c>
      <c r="M57" s="61">
        <f>$J$57-EFEITO!$K$57*EFEITO!$Y$57</f>
        <v>0</v>
      </c>
      <c r="N57" s="61">
        <f ca="1">$K$57-EFEITO!$M$57*EFEITO!$Z$57</f>
        <v>0</v>
      </c>
      <c r="O57" s="61">
        <f>$L$57-EFEITO!$O$57*EFEITO!$AA$57</f>
        <v>0</v>
      </c>
      <c r="P57" s="45"/>
      <c r="Q57" s="45"/>
      <c r="R57" s="45"/>
      <c r="S57" s="45"/>
      <c r="T57" s="45"/>
      <c r="U57" s="45"/>
      <c r="V57" s="45"/>
      <c r="W57" s="45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1.25" customHeight="1" x14ac:dyDescent="0.2">
      <c r="A58" s="41" t="s">
        <v>28</v>
      </c>
      <c r="B58" s="41" t="s">
        <v>35</v>
      </c>
      <c r="C58" s="41" t="s">
        <v>39</v>
      </c>
      <c r="D58" s="41" t="s">
        <v>40</v>
      </c>
      <c r="E58" s="41" t="s">
        <v>25</v>
      </c>
      <c r="F58" s="41" t="s">
        <v>25</v>
      </c>
      <c r="G58" s="41" t="s">
        <v>25</v>
      </c>
      <c r="H58" s="41" t="s">
        <v>38</v>
      </c>
      <c r="I58" s="60">
        <v>44501</v>
      </c>
      <c r="J58" s="61">
        <f>EFEITO!$J$58*EFEITO!$Y$58</f>
        <v>0</v>
      </c>
      <c r="K58" s="61">
        <f ca="1">EFEITO!$L$58*EFEITO!$Z$58</f>
        <v>1912.4076541988145</v>
      </c>
      <c r="L58" s="61">
        <f>EFEITO!$N$58*EFEITO!$AA$58</f>
        <v>3887.736969767599</v>
      </c>
      <c r="M58" s="61">
        <f>$J$58-EFEITO!$K$58*EFEITO!$Y$58</f>
        <v>0</v>
      </c>
      <c r="N58" s="61">
        <f ca="1">$K$58-EFEITO!$M$58*EFEITO!$Z$58</f>
        <v>0</v>
      </c>
      <c r="O58" s="61">
        <f>$L$58-EFEITO!$O$58*EFEITO!$AA$58</f>
        <v>0</v>
      </c>
      <c r="P58" s="45"/>
      <c r="Q58" s="45"/>
      <c r="R58" s="45"/>
      <c r="S58" s="45"/>
      <c r="T58" s="45"/>
      <c r="U58" s="45"/>
      <c r="V58" s="45"/>
      <c r="W58" s="45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1.25" customHeight="1" x14ac:dyDescent="0.2">
      <c r="A59" s="41" t="s">
        <v>21</v>
      </c>
      <c r="B59" s="41" t="s">
        <v>35</v>
      </c>
      <c r="C59" s="41" t="s">
        <v>39</v>
      </c>
      <c r="D59" s="41" t="s">
        <v>40</v>
      </c>
      <c r="E59" s="41" t="s">
        <v>25</v>
      </c>
      <c r="F59" s="41" t="s">
        <v>25</v>
      </c>
      <c r="G59" s="41" t="s">
        <v>25</v>
      </c>
      <c r="H59" s="41" t="s">
        <v>38</v>
      </c>
      <c r="I59" s="60">
        <v>44531</v>
      </c>
      <c r="J59" s="61">
        <f>EFEITO!$J$59*EFEITO!$Y$59</f>
        <v>0</v>
      </c>
      <c r="K59" s="61">
        <f ca="1">EFEITO!$L$59*EFEITO!$Z$59</f>
        <v>13790.549704190977</v>
      </c>
      <c r="L59" s="61">
        <f>EFEITO!$N$59*EFEITO!$AA$59</f>
        <v>28034.83336865329</v>
      </c>
      <c r="M59" s="61">
        <f>$J$59-EFEITO!$K$59*EFEITO!$Y$59</f>
        <v>0</v>
      </c>
      <c r="N59" s="61">
        <f ca="1">$K$59-EFEITO!$M$59*EFEITO!$Z$59</f>
        <v>0</v>
      </c>
      <c r="O59" s="61">
        <f>$L$59-EFEITO!$O$59*EFEITO!$AA$59</f>
        <v>0</v>
      </c>
      <c r="P59" s="45"/>
      <c r="Q59" s="45"/>
      <c r="R59" s="45"/>
      <c r="S59" s="45"/>
      <c r="T59" s="45"/>
      <c r="U59" s="45"/>
      <c r="V59" s="45"/>
      <c r="W59" s="45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1.25" customHeight="1" x14ac:dyDescent="0.2">
      <c r="A60" s="41" t="s">
        <v>21</v>
      </c>
      <c r="B60" s="41" t="s">
        <v>35</v>
      </c>
      <c r="C60" s="41" t="s">
        <v>39</v>
      </c>
      <c r="D60" s="41" t="s">
        <v>40</v>
      </c>
      <c r="E60" s="41" t="s">
        <v>25</v>
      </c>
      <c r="F60" s="41" t="s">
        <v>25</v>
      </c>
      <c r="G60" s="41" t="s">
        <v>25</v>
      </c>
      <c r="H60" s="41" t="s">
        <v>38</v>
      </c>
      <c r="I60" s="60">
        <v>44562</v>
      </c>
      <c r="J60" s="61">
        <f>EFEITO!$J$60*EFEITO!$Y$60</f>
        <v>0</v>
      </c>
      <c r="K60" s="61">
        <f ca="1">EFEITO!$L$60*EFEITO!$Z$60</f>
        <v>14823.915089994533</v>
      </c>
      <c r="L60" s="61">
        <f>EFEITO!$N$60*EFEITO!$AA$60</f>
        <v>30135.563725408589</v>
      </c>
      <c r="M60" s="61">
        <f>$J$60-EFEITO!$K$60*EFEITO!$Y$60</f>
        <v>0</v>
      </c>
      <c r="N60" s="61">
        <f ca="1">$K$60-EFEITO!$M$60*EFEITO!$Z$60</f>
        <v>0</v>
      </c>
      <c r="O60" s="61">
        <f>$L$60-EFEITO!$O$60*EFEITO!$AA$60</f>
        <v>0</v>
      </c>
      <c r="P60" s="45"/>
      <c r="Q60" s="45"/>
      <c r="R60" s="45"/>
      <c r="S60" s="45"/>
      <c r="T60" s="45"/>
      <c r="U60" s="45"/>
      <c r="V60" s="45"/>
      <c r="W60" s="45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1.25" customHeight="1" x14ac:dyDescent="0.2">
      <c r="A61" s="41" t="s">
        <v>21</v>
      </c>
      <c r="B61" s="41" t="s">
        <v>35</v>
      </c>
      <c r="C61" s="41" t="s">
        <v>39</v>
      </c>
      <c r="D61" s="41" t="s">
        <v>40</v>
      </c>
      <c r="E61" s="41" t="s">
        <v>25</v>
      </c>
      <c r="F61" s="41" t="s">
        <v>25</v>
      </c>
      <c r="G61" s="41" t="s">
        <v>25</v>
      </c>
      <c r="H61" s="41" t="s">
        <v>38</v>
      </c>
      <c r="I61" s="60">
        <v>44593</v>
      </c>
      <c r="J61" s="61">
        <f>EFEITO!$J$61*EFEITO!$Y$61</f>
        <v>0</v>
      </c>
      <c r="K61" s="61">
        <f ca="1">EFEITO!$L$61*EFEITO!$Z$61</f>
        <v>13635.936505734919</v>
      </c>
      <c r="L61" s="61">
        <f>EFEITO!$N$61*EFEITO!$AA$61</f>
        <v>27720.519918625054</v>
      </c>
      <c r="M61" s="61">
        <f>$J$61-EFEITO!$K$61*EFEITO!$Y$61</f>
        <v>0</v>
      </c>
      <c r="N61" s="61">
        <f ca="1">$K$61-EFEITO!$M$61*EFEITO!$Z$61</f>
        <v>0</v>
      </c>
      <c r="O61" s="61">
        <f>$L$61-EFEITO!$O$61*EFEITO!$AA$61</f>
        <v>0</v>
      </c>
      <c r="P61" s="45"/>
      <c r="Q61" s="45"/>
      <c r="R61" s="45"/>
      <c r="S61" s="45"/>
      <c r="T61" s="45"/>
      <c r="U61" s="45"/>
      <c r="V61" s="45"/>
      <c r="W61" s="45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1.25" customHeight="1" x14ac:dyDescent="0.2">
      <c r="A62" s="41" t="s">
        <v>28</v>
      </c>
      <c r="B62" s="41" t="s">
        <v>35</v>
      </c>
      <c r="C62" s="41" t="s">
        <v>39</v>
      </c>
      <c r="D62" s="41" t="s">
        <v>40</v>
      </c>
      <c r="E62" s="41" t="s">
        <v>25</v>
      </c>
      <c r="F62" s="41" t="s">
        <v>25</v>
      </c>
      <c r="G62" s="41" t="s">
        <v>25</v>
      </c>
      <c r="H62" s="41" t="s">
        <v>38</v>
      </c>
      <c r="I62" s="60">
        <v>44593</v>
      </c>
      <c r="J62" s="61">
        <f>EFEITO!$J$62*EFEITO!$Y$62</f>
        <v>0</v>
      </c>
      <c r="K62" s="61">
        <f ca="1">EFEITO!$L$62*EFEITO!$Z$62</f>
        <v>902.6355269464018</v>
      </c>
      <c r="L62" s="61">
        <f>EFEITO!$N$62*EFEITO!$AA$62</f>
        <v>1834.9693908777704</v>
      </c>
      <c r="M62" s="61">
        <f>$J$62-EFEITO!$K$62*EFEITO!$Y$62</f>
        <v>0</v>
      </c>
      <c r="N62" s="61">
        <f ca="1">$K$62-EFEITO!$M$62*EFEITO!$Z$62</f>
        <v>0</v>
      </c>
      <c r="O62" s="61">
        <f>$L$62-EFEITO!$O$62*EFEITO!$AA$62</f>
        <v>0</v>
      </c>
      <c r="P62" s="45"/>
      <c r="Q62" s="45"/>
      <c r="R62" s="45"/>
      <c r="S62" s="45"/>
      <c r="T62" s="45"/>
      <c r="U62" s="45"/>
      <c r="V62" s="45"/>
      <c r="W62" s="45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1.25" customHeight="1" x14ac:dyDescent="0.2">
      <c r="A63" s="41" t="s">
        <v>21</v>
      </c>
      <c r="B63" s="41" t="s">
        <v>35</v>
      </c>
      <c r="C63" s="41" t="s">
        <v>39</v>
      </c>
      <c r="D63" s="41" t="s">
        <v>40</v>
      </c>
      <c r="E63" s="41" t="s">
        <v>25</v>
      </c>
      <c r="F63" s="41" t="s">
        <v>25</v>
      </c>
      <c r="G63" s="41" t="s">
        <v>25</v>
      </c>
      <c r="H63" s="41" t="s">
        <v>38</v>
      </c>
      <c r="I63" s="60">
        <v>44621</v>
      </c>
      <c r="J63" s="61">
        <f>EFEITO!$J$63*EFEITO!$Y$63</f>
        <v>0</v>
      </c>
      <c r="K63" s="61">
        <f ca="1">EFEITO!$L$63*EFEITO!$Z$63</f>
        <v>17036.07316021197</v>
      </c>
      <c r="L63" s="61">
        <f>EFEITO!$N$63*EFEITO!$AA$63</f>
        <v>34632.66385658177</v>
      </c>
      <c r="M63" s="61">
        <f>$J$63-EFEITO!$K$63*EFEITO!$Y$63</f>
        <v>0</v>
      </c>
      <c r="N63" s="61">
        <f ca="1">$K$63-EFEITO!$M$63*EFEITO!$Z$63</f>
        <v>0</v>
      </c>
      <c r="O63" s="61">
        <f>$L$63-EFEITO!$O$63*EFEITO!$AA$63</f>
        <v>0</v>
      </c>
      <c r="P63" s="45"/>
      <c r="Q63" s="45"/>
      <c r="R63" s="45"/>
      <c r="S63" s="45"/>
      <c r="T63" s="45"/>
      <c r="U63" s="45"/>
      <c r="V63" s="45"/>
      <c r="W63" s="45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1.25" customHeight="1" x14ac:dyDescent="0.2">
      <c r="A64" s="41" t="s">
        <v>28</v>
      </c>
      <c r="B64" s="41" t="s">
        <v>35</v>
      </c>
      <c r="C64" s="41" t="s">
        <v>39</v>
      </c>
      <c r="D64" s="41" t="s">
        <v>40</v>
      </c>
      <c r="E64" s="41" t="s">
        <v>25</v>
      </c>
      <c r="F64" s="41" t="s">
        <v>25</v>
      </c>
      <c r="G64" s="41" t="s">
        <v>25</v>
      </c>
      <c r="H64" s="41" t="s">
        <v>38</v>
      </c>
      <c r="I64" s="60">
        <v>44621</v>
      </c>
      <c r="J64" s="61">
        <f>EFEITO!$J$64*EFEITO!$Y$64</f>
        <v>0</v>
      </c>
      <c r="K64" s="61">
        <f ca="1">EFEITO!$L$64*EFEITO!$Z$64</f>
        <v>1731.6871614443608</v>
      </c>
      <c r="L64" s="61">
        <f>EFEITO!$N$64*EFEITO!$AA$64</f>
        <v>3520.3499540685575</v>
      </c>
      <c r="M64" s="61">
        <f>$J$64-EFEITO!$K$64*EFEITO!$Y$64</f>
        <v>0</v>
      </c>
      <c r="N64" s="61">
        <f ca="1">$K$64-EFEITO!$M$64*EFEITO!$Z$64</f>
        <v>0</v>
      </c>
      <c r="O64" s="61">
        <f>$L$64-EFEITO!$O$64*EFEITO!$AA$64</f>
        <v>0</v>
      </c>
      <c r="P64" s="45"/>
      <c r="Q64" s="45"/>
      <c r="R64" s="45"/>
      <c r="S64" s="45"/>
      <c r="T64" s="45"/>
      <c r="U64" s="45"/>
      <c r="V64" s="45"/>
      <c r="W64" s="45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1.25" customHeight="1" x14ac:dyDescent="0.2">
      <c r="A65" s="41" t="s">
        <v>21</v>
      </c>
      <c r="B65" s="41" t="s">
        <v>35</v>
      </c>
      <c r="C65" s="41" t="s">
        <v>39</v>
      </c>
      <c r="D65" s="41" t="s">
        <v>40</v>
      </c>
      <c r="E65" s="41" t="s">
        <v>25</v>
      </c>
      <c r="F65" s="41" t="s">
        <v>25</v>
      </c>
      <c r="G65" s="41" t="s">
        <v>25</v>
      </c>
      <c r="H65" s="41" t="s">
        <v>38</v>
      </c>
      <c r="I65" s="60">
        <v>44652</v>
      </c>
      <c r="J65" s="61">
        <f>EFEITO!$J$65*EFEITO!$Y$65</f>
        <v>0</v>
      </c>
      <c r="K65" s="61">
        <f ca="1">EFEITO!$L$65*EFEITO!$Z$65</f>
        <v>20506.892896659861</v>
      </c>
      <c r="L65" s="61">
        <f>EFEITO!$N$65*EFEITO!$AA$65</f>
        <v>41688.499559373151</v>
      </c>
      <c r="M65" s="61">
        <f>$J$65-EFEITO!$K$65*EFEITO!$Y$65</f>
        <v>0</v>
      </c>
      <c r="N65" s="61">
        <f ca="1">$K$65-EFEITO!$M$65*EFEITO!$Z$65</f>
        <v>0</v>
      </c>
      <c r="O65" s="61">
        <f>$L$65-EFEITO!$O$65*EFEITO!$AA$65</f>
        <v>0</v>
      </c>
      <c r="P65" s="45"/>
      <c r="Q65" s="45"/>
      <c r="R65" s="45"/>
      <c r="S65" s="45"/>
      <c r="T65" s="45"/>
      <c r="U65" s="45"/>
      <c r="V65" s="45"/>
      <c r="W65" s="45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1.25" customHeight="1" x14ac:dyDescent="0.2">
      <c r="A66" s="41" t="s">
        <v>28</v>
      </c>
      <c r="B66" s="41" t="s">
        <v>35</v>
      </c>
      <c r="C66" s="41" t="s">
        <v>39</v>
      </c>
      <c r="D66" s="41" t="s">
        <v>40</v>
      </c>
      <c r="E66" s="41" t="s">
        <v>25</v>
      </c>
      <c r="F66" s="41" t="s">
        <v>25</v>
      </c>
      <c r="G66" s="41" t="s">
        <v>25</v>
      </c>
      <c r="H66" s="41" t="s">
        <v>38</v>
      </c>
      <c r="I66" s="60">
        <v>44652</v>
      </c>
      <c r="J66" s="61">
        <f>EFEITO!$J$66*EFEITO!$Y$66</f>
        <v>0</v>
      </c>
      <c r="K66" s="61">
        <f ca="1">EFEITO!$L$66*EFEITO!$Z$66</f>
        <v>1922.850571918173</v>
      </c>
      <c r="L66" s="61">
        <f>EFEITO!$N$66*EFEITO!$AA$66</f>
        <v>3908.9663960359226</v>
      </c>
      <c r="M66" s="61">
        <f>$J$66-EFEITO!$K$66*EFEITO!$Y$66</f>
        <v>0</v>
      </c>
      <c r="N66" s="61">
        <f ca="1">$K$66-EFEITO!$M$66*EFEITO!$Z$66</f>
        <v>0</v>
      </c>
      <c r="O66" s="61">
        <f>$L$66-EFEITO!$O$66*EFEITO!$AA$66</f>
        <v>0</v>
      </c>
      <c r="P66" s="45"/>
      <c r="Q66" s="45"/>
      <c r="R66" s="45"/>
      <c r="S66" s="45"/>
      <c r="T66" s="45"/>
      <c r="U66" s="45"/>
      <c r="V66" s="45"/>
      <c r="W66" s="45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1.25" customHeight="1" x14ac:dyDescent="0.2">
      <c r="A67" s="41" t="s">
        <v>21</v>
      </c>
      <c r="B67" s="41" t="s">
        <v>35</v>
      </c>
      <c r="C67" s="41" t="s">
        <v>39</v>
      </c>
      <c r="D67" s="41" t="s">
        <v>40</v>
      </c>
      <c r="E67" s="41" t="s">
        <v>25</v>
      </c>
      <c r="F67" s="41" t="s">
        <v>25</v>
      </c>
      <c r="G67" s="41" t="s">
        <v>25</v>
      </c>
      <c r="H67" s="41" t="s">
        <v>38</v>
      </c>
      <c r="I67" s="60">
        <v>44682</v>
      </c>
      <c r="J67" s="61">
        <f>EFEITO!$J$67*EFEITO!$Y$67</f>
        <v>0</v>
      </c>
      <c r="K67" s="61">
        <f ca="1">EFEITO!$L$67*EFEITO!$Z$67</f>
        <v>14555.106652403638</v>
      </c>
      <c r="L67" s="61">
        <f>EFEITO!$N$67*EFEITO!$AA$67</f>
        <v>29589.102567761005</v>
      </c>
      <c r="M67" s="61">
        <f>$J$67-EFEITO!$K$67*EFEITO!$Y$67</f>
        <v>0</v>
      </c>
      <c r="N67" s="61">
        <f ca="1">$K$67-EFEITO!$M$67*EFEITO!$Z$67</f>
        <v>0</v>
      </c>
      <c r="O67" s="61">
        <f>$L$67-EFEITO!$O$67*EFEITO!$AA$67</f>
        <v>0</v>
      </c>
      <c r="P67" s="45"/>
      <c r="Q67" s="45"/>
      <c r="R67" s="45"/>
      <c r="S67" s="45"/>
      <c r="T67" s="45"/>
      <c r="U67" s="45"/>
      <c r="V67" s="45"/>
      <c r="W67" s="45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1.25" customHeight="1" x14ac:dyDescent="0.2">
      <c r="A68" s="41" t="s">
        <v>28</v>
      </c>
      <c r="B68" s="41" t="s">
        <v>35</v>
      </c>
      <c r="C68" s="41" t="s">
        <v>39</v>
      </c>
      <c r="D68" s="41" t="s">
        <v>40</v>
      </c>
      <c r="E68" s="41" t="s">
        <v>25</v>
      </c>
      <c r="F68" s="41" t="s">
        <v>25</v>
      </c>
      <c r="G68" s="41" t="s">
        <v>25</v>
      </c>
      <c r="H68" s="41" t="s">
        <v>38</v>
      </c>
      <c r="I68" s="60">
        <v>44682</v>
      </c>
      <c r="J68" s="61">
        <f>EFEITO!$J$68*EFEITO!$Y$68</f>
        <v>0</v>
      </c>
      <c r="K68" s="61">
        <f ca="1">EFEITO!$L$68*EFEITO!$Z$68</f>
        <v>2026.409505968478</v>
      </c>
      <c r="L68" s="61">
        <f>EFEITO!$N$68*EFEITO!$AA$68</f>
        <v>4119.491539863463</v>
      </c>
      <c r="M68" s="61">
        <f>$J$68-EFEITO!$K$68*EFEITO!$Y$68</f>
        <v>0</v>
      </c>
      <c r="N68" s="61">
        <f ca="1">$K$68-EFEITO!$M$68*EFEITO!$Z$68</f>
        <v>0</v>
      </c>
      <c r="O68" s="61">
        <f>$L$68-EFEITO!$O$68*EFEITO!$AA$68</f>
        <v>0</v>
      </c>
      <c r="P68" s="45"/>
      <c r="Q68" s="45"/>
      <c r="R68" s="45"/>
      <c r="S68" s="45"/>
      <c r="T68" s="45"/>
      <c r="U68" s="45"/>
      <c r="V68" s="45"/>
      <c r="W68" s="45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1.25" customHeight="1" x14ac:dyDescent="0.2">
      <c r="A69" s="41" t="s">
        <v>21</v>
      </c>
      <c r="B69" s="41" t="s">
        <v>35</v>
      </c>
      <c r="C69" s="41" t="s">
        <v>39</v>
      </c>
      <c r="D69" s="41" t="s">
        <v>40</v>
      </c>
      <c r="E69" s="41" t="s">
        <v>25</v>
      </c>
      <c r="F69" s="41" t="s">
        <v>25</v>
      </c>
      <c r="G69" s="41" t="s">
        <v>25</v>
      </c>
      <c r="H69" s="41" t="s">
        <v>38</v>
      </c>
      <c r="I69" s="60">
        <v>44713</v>
      </c>
      <c r="J69" s="61">
        <f>EFEITO!$J$69*EFEITO!$Y$69</f>
        <v>0</v>
      </c>
      <c r="K69" s="61">
        <f ca="1">EFEITO!$L$69*EFEITO!$Z$69</f>
        <v>10956.071092845843</v>
      </c>
      <c r="L69" s="61">
        <f>EFEITO!$N$69*EFEITO!$AA$69</f>
        <v>22272.616686897429</v>
      </c>
      <c r="M69" s="61">
        <f>$J$69-EFEITO!$K$69*EFEITO!$Y$69</f>
        <v>0</v>
      </c>
      <c r="N69" s="61">
        <f ca="1">$K$69-EFEITO!$M$69*EFEITO!$Z$69</f>
        <v>0</v>
      </c>
      <c r="O69" s="61">
        <f>$L$69-EFEITO!$O$69*EFEITO!$AA$69</f>
        <v>0</v>
      </c>
      <c r="P69" s="45"/>
      <c r="Q69" s="45"/>
      <c r="R69" s="45"/>
      <c r="S69" s="45"/>
      <c r="T69" s="45"/>
      <c r="U69" s="45"/>
      <c r="V69" s="45"/>
      <c r="W69" s="45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1.25" customHeight="1" x14ac:dyDescent="0.2">
      <c r="A70" s="41" t="s">
        <v>28</v>
      </c>
      <c r="B70" s="41" t="s">
        <v>35</v>
      </c>
      <c r="C70" s="41" t="s">
        <v>39</v>
      </c>
      <c r="D70" s="41" t="s">
        <v>40</v>
      </c>
      <c r="E70" s="41" t="s">
        <v>25</v>
      </c>
      <c r="F70" s="41" t="s">
        <v>25</v>
      </c>
      <c r="G70" s="41" t="s">
        <v>25</v>
      </c>
      <c r="H70" s="41" t="s">
        <v>38</v>
      </c>
      <c r="I70" s="60">
        <v>44713</v>
      </c>
      <c r="J70" s="61">
        <f>EFEITO!$J$70*EFEITO!$Y$70</f>
        <v>0</v>
      </c>
      <c r="K70" s="61">
        <f ca="1">EFEITO!$L$70*EFEITO!$Z$70</f>
        <v>280.99184159681238</v>
      </c>
      <c r="L70" s="61">
        <f>EFEITO!$N$70*EFEITO!$AA$70</f>
        <v>571.22882162729513</v>
      </c>
      <c r="M70" s="61">
        <f>$J$70-EFEITO!$K$70*EFEITO!$Y$70</f>
        <v>0</v>
      </c>
      <c r="N70" s="61">
        <f ca="1">$K$70-EFEITO!$M$70*EFEITO!$Z$70</f>
        <v>0</v>
      </c>
      <c r="O70" s="61">
        <f>$L$70-EFEITO!$O$70*EFEITO!$AA$70</f>
        <v>0</v>
      </c>
      <c r="P70" s="45"/>
      <c r="Q70" s="45"/>
      <c r="R70" s="45"/>
      <c r="S70" s="45"/>
      <c r="T70" s="45"/>
      <c r="U70" s="45"/>
      <c r="V70" s="45"/>
      <c r="W70" s="45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1.25" customHeight="1" x14ac:dyDescent="0.2">
      <c r="A71" s="41" t="s">
        <v>21</v>
      </c>
      <c r="B71" s="41" t="s">
        <v>35</v>
      </c>
      <c r="C71" s="41" t="s">
        <v>39</v>
      </c>
      <c r="D71" s="41" t="s">
        <v>40</v>
      </c>
      <c r="E71" s="41" t="s">
        <v>25</v>
      </c>
      <c r="F71" s="41" t="s">
        <v>25</v>
      </c>
      <c r="G71" s="41" t="s">
        <v>25</v>
      </c>
      <c r="H71" s="41" t="s">
        <v>25</v>
      </c>
      <c r="I71" s="60">
        <v>44378</v>
      </c>
      <c r="J71" s="61">
        <f ca="1">EFEITO!$J$71*EFEITO!$Y$71</f>
        <v>35758.212545479735</v>
      </c>
      <c r="K71" s="61">
        <f>EFEITO!$L$71*EFEITO!$Z$71</f>
        <v>0</v>
      </c>
      <c r="L71" s="61">
        <f>EFEITO!$N$71*EFEITO!$AA$71</f>
        <v>0</v>
      </c>
      <c r="M71" s="61">
        <f ca="1">$J$71-EFEITO!$K$71*EFEITO!$Y$71</f>
        <v>0</v>
      </c>
      <c r="N71" s="61">
        <f>$K$71-EFEITO!$M$71*EFEITO!$Z$71</f>
        <v>0</v>
      </c>
      <c r="O71" s="61">
        <f>$L$71-EFEITO!$O$71*EFEITO!$AA$71</f>
        <v>0</v>
      </c>
      <c r="P71" s="45"/>
      <c r="Q71" s="45"/>
      <c r="R71" s="45"/>
      <c r="S71" s="45"/>
      <c r="T71" s="45"/>
      <c r="U71" s="45"/>
      <c r="V71" s="45"/>
      <c r="W71" s="45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1.25" customHeight="1" x14ac:dyDescent="0.2">
      <c r="A72" s="41" t="s">
        <v>28</v>
      </c>
      <c r="B72" s="41" t="s">
        <v>35</v>
      </c>
      <c r="C72" s="41" t="s">
        <v>39</v>
      </c>
      <c r="D72" s="41" t="s">
        <v>40</v>
      </c>
      <c r="E72" s="41" t="s">
        <v>25</v>
      </c>
      <c r="F72" s="41" t="s">
        <v>25</v>
      </c>
      <c r="G72" s="41" t="s">
        <v>25</v>
      </c>
      <c r="H72" s="41" t="s">
        <v>25</v>
      </c>
      <c r="I72" s="60">
        <v>44378</v>
      </c>
      <c r="J72" s="61">
        <f ca="1">EFEITO!$J$72*EFEITO!$Y$72</f>
        <v>6195.7298964940137</v>
      </c>
      <c r="K72" s="61">
        <f>EFEITO!$L$72*EFEITO!$Z$72</f>
        <v>0</v>
      </c>
      <c r="L72" s="61">
        <f>EFEITO!$N$72*EFEITO!$AA$72</f>
        <v>0</v>
      </c>
      <c r="M72" s="61">
        <f ca="1">$J$72-EFEITO!$K$72*EFEITO!$Y$72</f>
        <v>0</v>
      </c>
      <c r="N72" s="61">
        <f>$K$72-EFEITO!$M$72*EFEITO!$Z$72</f>
        <v>0</v>
      </c>
      <c r="O72" s="61">
        <f>$L$72-EFEITO!$O$72*EFEITO!$AA$72</f>
        <v>0</v>
      </c>
      <c r="P72" s="45"/>
      <c r="Q72" s="45"/>
      <c r="R72" s="45"/>
      <c r="S72" s="45"/>
      <c r="T72" s="45"/>
      <c r="U72" s="45"/>
      <c r="V72" s="45"/>
      <c r="W72" s="45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1.25" customHeight="1" x14ac:dyDescent="0.2">
      <c r="A73" s="41" t="s">
        <v>21</v>
      </c>
      <c r="B73" s="41" t="s">
        <v>35</v>
      </c>
      <c r="C73" s="41" t="s">
        <v>39</v>
      </c>
      <c r="D73" s="41" t="s">
        <v>40</v>
      </c>
      <c r="E73" s="41" t="s">
        <v>25</v>
      </c>
      <c r="F73" s="41" t="s">
        <v>25</v>
      </c>
      <c r="G73" s="41" t="s">
        <v>25</v>
      </c>
      <c r="H73" s="41" t="s">
        <v>25</v>
      </c>
      <c r="I73" s="60">
        <v>44409</v>
      </c>
      <c r="J73" s="61">
        <f ca="1">EFEITO!$J$73*EFEITO!$Y$73</f>
        <v>33279.92058688213</v>
      </c>
      <c r="K73" s="61">
        <f>EFEITO!$L$73*EFEITO!$Z$73</f>
        <v>0</v>
      </c>
      <c r="L73" s="61">
        <f>EFEITO!$N$73*EFEITO!$AA$73</f>
        <v>0</v>
      </c>
      <c r="M73" s="61">
        <f ca="1">$J$73-EFEITO!$K$73*EFEITO!$Y$73</f>
        <v>0</v>
      </c>
      <c r="N73" s="61">
        <f>$K$73-EFEITO!$M$73*EFEITO!$Z$73</f>
        <v>0</v>
      </c>
      <c r="O73" s="61">
        <f>$L$73-EFEITO!$O$73*EFEITO!$AA$73</f>
        <v>0</v>
      </c>
      <c r="P73" s="45"/>
      <c r="Q73" s="45"/>
      <c r="R73" s="45"/>
      <c r="S73" s="45"/>
      <c r="T73" s="45"/>
      <c r="U73" s="45"/>
      <c r="V73" s="45"/>
      <c r="W73" s="45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1.25" customHeight="1" x14ac:dyDescent="0.2">
      <c r="A74" s="41" t="s">
        <v>21</v>
      </c>
      <c r="B74" s="41" t="s">
        <v>35</v>
      </c>
      <c r="C74" s="41" t="s">
        <v>39</v>
      </c>
      <c r="D74" s="41" t="s">
        <v>40</v>
      </c>
      <c r="E74" s="41" t="s">
        <v>25</v>
      </c>
      <c r="F74" s="41" t="s">
        <v>25</v>
      </c>
      <c r="G74" s="41" t="s">
        <v>25</v>
      </c>
      <c r="H74" s="41" t="s">
        <v>25</v>
      </c>
      <c r="I74" s="60">
        <v>44440</v>
      </c>
      <c r="J74" s="61">
        <f ca="1">EFEITO!$J$74*EFEITO!$Y$74</f>
        <v>35890.978186118889</v>
      </c>
      <c r="K74" s="61">
        <f>EFEITO!$L$74*EFEITO!$Z$74</f>
        <v>0</v>
      </c>
      <c r="L74" s="61">
        <f>EFEITO!$N$74*EFEITO!$AA$74</f>
        <v>0</v>
      </c>
      <c r="M74" s="61">
        <f ca="1">$J$74-EFEITO!$K$74*EFEITO!$Y$74</f>
        <v>0</v>
      </c>
      <c r="N74" s="61">
        <f>$K$74-EFEITO!$M$74*EFEITO!$Z$74</f>
        <v>0</v>
      </c>
      <c r="O74" s="61">
        <f>$L$74-EFEITO!$O$74*EFEITO!$AA$74</f>
        <v>0</v>
      </c>
      <c r="P74" s="45"/>
      <c r="Q74" s="45"/>
      <c r="R74" s="45"/>
      <c r="S74" s="45"/>
      <c r="T74" s="45"/>
      <c r="U74" s="45"/>
      <c r="V74" s="45"/>
      <c r="W74" s="45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1.25" customHeight="1" x14ac:dyDescent="0.2">
      <c r="A75" s="41" t="s">
        <v>28</v>
      </c>
      <c r="B75" s="41" t="s">
        <v>35</v>
      </c>
      <c r="C75" s="41" t="s">
        <v>39</v>
      </c>
      <c r="D75" s="41" t="s">
        <v>40</v>
      </c>
      <c r="E75" s="41" t="s">
        <v>25</v>
      </c>
      <c r="F75" s="41" t="s">
        <v>25</v>
      </c>
      <c r="G75" s="41" t="s">
        <v>25</v>
      </c>
      <c r="H75" s="41" t="s">
        <v>25</v>
      </c>
      <c r="I75" s="60">
        <v>44440</v>
      </c>
      <c r="J75" s="61">
        <f ca="1">EFEITO!$J$75*EFEITO!$Y$75</f>
        <v>6195.7298964940137</v>
      </c>
      <c r="K75" s="61">
        <f>EFEITO!$L$75*EFEITO!$Z$75</f>
        <v>0</v>
      </c>
      <c r="L75" s="61">
        <f>EFEITO!$N$75*EFEITO!$AA$75</f>
        <v>0</v>
      </c>
      <c r="M75" s="61">
        <f ca="1">$J$75-EFEITO!$K$75*EFEITO!$Y$75</f>
        <v>0</v>
      </c>
      <c r="N75" s="61">
        <f>$K$75-EFEITO!$M$75*EFEITO!$Z$75</f>
        <v>0</v>
      </c>
      <c r="O75" s="61">
        <f>$L$75-EFEITO!$O$75*EFEITO!$AA$75</f>
        <v>0</v>
      </c>
      <c r="P75" s="45"/>
      <c r="Q75" s="45"/>
      <c r="R75" s="45"/>
      <c r="S75" s="45"/>
      <c r="T75" s="45"/>
      <c r="U75" s="45"/>
      <c r="V75" s="45"/>
      <c r="W75" s="45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1.25" customHeight="1" x14ac:dyDescent="0.2">
      <c r="A76" s="41" t="s">
        <v>21</v>
      </c>
      <c r="B76" s="41" t="s">
        <v>35</v>
      </c>
      <c r="C76" s="41" t="s">
        <v>39</v>
      </c>
      <c r="D76" s="41" t="s">
        <v>40</v>
      </c>
      <c r="E76" s="41" t="s">
        <v>25</v>
      </c>
      <c r="F76" s="41" t="s">
        <v>25</v>
      </c>
      <c r="G76" s="41" t="s">
        <v>25</v>
      </c>
      <c r="H76" s="41" t="s">
        <v>25</v>
      </c>
      <c r="I76" s="60">
        <v>44470</v>
      </c>
      <c r="J76" s="61">
        <f ca="1">EFEITO!$J$76*EFEITO!$Y$76</f>
        <v>40847.562103314107</v>
      </c>
      <c r="K76" s="61">
        <f>EFEITO!$L$76*EFEITO!$Z$76</f>
        <v>0</v>
      </c>
      <c r="L76" s="61">
        <f>EFEITO!$N$76*EFEITO!$AA$76</f>
        <v>0</v>
      </c>
      <c r="M76" s="61">
        <f ca="1">$J$76-EFEITO!$K$76*EFEITO!$Y$76</f>
        <v>0</v>
      </c>
      <c r="N76" s="61">
        <f>$K$76-EFEITO!$M$76*EFEITO!$Z$76</f>
        <v>0</v>
      </c>
      <c r="O76" s="61">
        <f>$L$76-EFEITO!$O$76*EFEITO!$AA$76</f>
        <v>0</v>
      </c>
      <c r="P76" s="45"/>
      <c r="Q76" s="45"/>
      <c r="R76" s="45"/>
      <c r="S76" s="45"/>
      <c r="T76" s="45"/>
      <c r="U76" s="45"/>
      <c r="V76" s="45"/>
      <c r="W76" s="45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1.25" customHeight="1" x14ac:dyDescent="0.2">
      <c r="A77" s="41" t="s">
        <v>28</v>
      </c>
      <c r="B77" s="41" t="s">
        <v>35</v>
      </c>
      <c r="C77" s="41" t="s">
        <v>39</v>
      </c>
      <c r="D77" s="41" t="s">
        <v>40</v>
      </c>
      <c r="E77" s="41" t="s">
        <v>25</v>
      </c>
      <c r="F77" s="41" t="s">
        <v>25</v>
      </c>
      <c r="G77" s="41" t="s">
        <v>25</v>
      </c>
      <c r="H77" s="41" t="s">
        <v>25</v>
      </c>
      <c r="I77" s="60">
        <v>44470</v>
      </c>
      <c r="J77" s="61">
        <f ca="1">EFEITO!$J$77*EFEITO!$Y$77</f>
        <v>6195.7298964940137</v>
      </c>
      <c r="K77" s="61">
        <f>EFEITO!$L$77*EFEITO!$Z$77</f>
        <v>0</v>
      </c>
      <c r="L77" s="61">
        <f>EFEITO!$N$77*EFEITO!$AA$77</f>
        <v>0</v>
      </c>
      <c r="M77" s="61">
        <f ca="1">$J$77-EFEITO!$K$77*EFEITO!$Y$77</f>
        <v>0</v>
      </c>
      <c r="N77" s="61">
        <f>$K$77-EFEITO!$M$77*EFEITO!$Z$77</f>
        <v>0</v>
      </c>
      <c r="O77" s="61">
        <f>$L$77-EFEITO!$O$77*EFEITO!$AA$77</f>
        <v>0</v>
      </c>
      <c r="P77" s="45"/>
      <c r="Q77" s="45"/>
      <c r="R77" s="45"/>
      <c r="S77" s="45"/>
      <c r="T77" s="45"/>
      <c r="U77" s="45"/>
      <c r="V77" s="45"/>
      <c r="W77" s="45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1.25" customHeight="1" x14ac:dyDescent="0.2">
      <c r="A78" s="41" t="s">
        <v>21</v>
      </c>
      <c r="B78" s="41" t="s">
        <v>35</v>
      </c>
      <c r="C78" s="41" t="s">
        <v>39</v>
      </c>
      <c r="D78" s="41" t="s">
        <v>40</v>
      </c>
      <c r="E78" s="41" t="s">
        <v>25</v>
      </c>
      <c r="F78" s="41" t="s">
        <v>25</v>
      </c>
      <c r="G78" s="41" t="s">
        <v>25</v>
      </c>
      <c r="H78" s="41" t="s">
        <v>25</v>
      </c>
      <c r="I78" s="60">
        <v>44501</v>
      </c>
      <c r="J78" s="61">
        <f ca="1">EFEITO!$J$78*EFEITO!$Y$78</f>
        <v>46512.229437251488</v>
      </c>
      <c r="K78" s="61">
        <f>EFEITO!$L$78*EFEITO!$Z$78</f>
        <v>0</v>
      </c>
      <c r="L78" s="61">
        <f>EFEITO!$N$78*EFEITO!$AA$78</f>
        <v>0</v>
      </c>
      <c r="M78" s="61">
        <f ca="1">$J$78-EFEITO!$K$78*EFEITO!$Y$78</f>
        <v>0</v>
      </c>
      <c r="N78" s="61">
        <f>$K$78-EFEITO!$M$78*EFEITO!$Z$78</f>
        <v>0</v>
      </c>
      <c r="O78" s="61">
        <f>$L$78-EFEITO!$O$78*EFEITO!$AA$78</f>
        <v>0</v>
      </c>
      <c r="P78" s="45"/>
      <c r="Q78" s="45"/>
      <c r="R78" s="45"/>
      <c r="S78" s="45"/>
      <c r="T78" s="45"/>
      <c r="U78" s="45"/>
      <c r="V78" s="45"/>
      <c r="W78" s="45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1.25" customHeight="1" x14ac:dyDescent="0.2">
      <c r="A79" s="41" t="s">
        <v>28</v>
      </c>
      <c r="B79" s="41" t="s">
        <v>35</v>
      </c>
      <c r="C79" s="41" t="s">
        <v>39</v>
      </c>
      <c r="D79" s="41" t="s">
        <v>40</v>
      </c>
      <c r="E79" s="41" t="s">
        <v>25</v>
      </c>
      <c r="F79" s="41" t="s">
        <v>25</v>
      </c>
      <c r="G79" s="41" t="s">
        <v>25</v>
      </c>
      <c r="H79" s="41" t="s">
        <v>25</v>
      </c>
      <c r="I79" s="60">
        <v>44501</v>
      </c>
      <c r="J79" s="61">
        <f ca="1">EFEITO!$J$79*EFEITO!$Y$79</f>
        <v>6195.7298964940137</v>
      </c>
      <c r="K79" s="61">
        <f>EFEITO!$L$79*EFEITO!$Z$79</f>
        <v>0</v>
      </c>
      <c r="L79" s="61">
        <f>EFEITO!$N$79*EFEITO!$AA$79</f>
        <v>0</v>
      </c>
      <c r="M79" s="61">
        <f ca="1">$J$79-EFEITO!$K$79*EFEITO!$Y$79</f>
        <v>0</v>
      </c>
      <c r="N79" s="61">
        <f>$K$79-EFEITO!$M$79*EFEITO!$Z$79</f>
        <v>0</v>
      </c>
      <c r="O79" s="61">
        <f>$L$79-EFEITO!$O$79*EFEITO!$AA$79</f>
        <v>0</v>
      </c>
      <c r="P79" s="45"/>
      <c r="Q79" s="45"/>
      <c r="R79" s="45"/>
      <c r="S79" s="45"/>
      <c r="T79" s="45"/>
      <c r="U79" s="45"/>
      <c r="V79" s="45"/>
      <c r="W79" s="45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1.25" customHeight="1" x14ac:dyDescent="0.2">
      <c r="A80" s="41" t="s">
        <v>21</v>
      </c>
      <c r="B80" s="41" t="s">
        <v>35</v>
      </c>
      <c r="C80" s="41" t="s">
        <v>39</v>
      </c>
      <c r="D80" s="41" t="s">
        <v>40</v>
      </c>
      <c r="E80" s="41" t="s">
        <v>25</v>
      </c>
      <c r="F80" s="41" t="s">
        <v>25</v>
      </c>
      <c r="G80" s="41" t="s">
        <v>25</v>
      </c>
      <c r="H80" s="41" t="s">
        <v>25</v>
      </c>
      <c r="I80" s="60">
        <v>44531</v>
      </c>
      <c r="J80" s="61">
        <f ca="1">EFEITO!$J$80*EFEITO!$Y$80</f>
        <v>39608.416124015297</v>
      </c>
      <c r="K80" s="61">
        <f>EFEITO!$L$80*EFEITO!$Z$80</f>
        <v>0</v>
      </c>
      <c r="L80" s="61">
        <f>EFEITO!$N$80*EFEITO!$AA$80</f>
        <v>0</v>
      </c>
      <c r="M80" s="61">
        <f ca="1">$J$80-EFEITO!$K$80*EFEITO!$Y$80</f>
        <v>0</v>
      </c>
      <c r="N80" s="61">
        <f>$K$80-EFEITO!$M$80*EFEITO!$Z$80</f>
        <v>0</v>
      </c>
      <c r="O80" s="61">
        <f>$L$80-EFEITO!$O$80*EFEITO!$AA$80</f>
        <v>0</v>
      </c>
      <c r="P80" s="45"/>
      <c r="Q80" s="45"/>
      <c r="R80" s="45"/>
      <c r="S80" s="45"/>
      <c r="T80" s="45"/>
      <c r="U80" s="45"/>
      <c r="V80" s="45"/>
      <c r="W80" s="45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1.25" customHeight="1" x14ac:dyDescent="0.2">
      <c r="A81" s="41" t="s">
        <v>28</v>
      </c>
      <c r="B81" s="41" t="s">
        <v>35</v>
      </c>
      <c r="C81" s="41" t="s">
        <v>39</v>
      </c>
      <c r="D81" s="41" t="s">
        <v>40</v>
      </c>
      <c r="E81" s="41" t="s">
        <v>25</v>
      </c>
      <c r="F81" s="41" t="s">
        <v>25</v>
      </c>
      <c r="G81" s="41" t="s">
        <v>25</v>
      </c>
      <c r="H81" s="41" t="s">
        <v>25</v>
      </c>
      <c r="I81" s="60">
        <v>44531</v>
      </c>
      <c r="J81" s="61">
        <f ca="1">EFEITO!$J$81*EFEITO!$Y$81</f>
        <v>6195.7298964940137</v>
      </c>
      <c r="K81" s="61">
        <f>EFEITO!$L$81*EFEITO!$Z$81</f>
        <v>0</v>
      </c>
      <c r="L81" s="61">
        <f>EFEITO!$N$81*EFEITO!$AA$81</f>
        <v>0</v>
      </c>
      <c r="M81" s="61">
        <f ca="1">$J$81-EFEITO!$K$81*EFEITO!$Y$81</f>
        <v>0</v>
      </c>
      <c r="N81" s="61">
        <f>$K$81-EFEITO!$M$81*EFEITO!$Z$81</f>
        <v>0</v>
      </c>
      <c r="O81" s="61">
        <f>$L$81-EFEITO!$O$81*EFEITO!$AA$81</f>
        <v>0</v>
      </c>
      <c r="P81" s="45"/>
      <c r="Q81" s="45"/>
      <c r="R81" s="45"/>
      <c r="S81" s="45"/>
      <c r="T81" s="45"/>
      <c r="U81" s="45"/>
      <c r="V81" s="45"/>
      <c r="W81" s="45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1.25" customHeight="1" x14ac:dyDescent="0.2">
      <c r="A82" s="41" t="s">
        <v>21</v>
      </c>
      <c r="B82" s="41" t="s">
        <v>35</v>
      </c>
      <c r="C82" s="41" t="s">
        <v>39</v>
      </c>
      <c r="D82" s="41" t="s">
        <v>40</v>
      </c>
      <c r="E82" s="41" t="s">
        <v>25</v>
      </c>
      <c r="F82" s="41" t="s">
        <v>25</v>
      </c>
      <c r="G82" s="41" t="s">
        <v>25</v>
      </c>
      <c r="H82" s="41" t="s">
        <v>25</v>
      </c>
      <c r="I82" s="60">
        <v>44562</v>
      </c>
      <c r="J82" s="61">
        <f ca="1">EFEITO!$J$82*EFEITO!$Y$82</f>
        <v>42617.770645169534</v>
      </c>
      <c r="K82" s="61">
        <f>EFEITO!$L$82*EFEITO!$Z$82</f>
        <v>0</v>
      </c>
      <c r="L82" s="61">
        <f>EFEITO!$N$82*EFEITO!$AA$82</f>
        <v>0</v>
      </c>
      <c r="M82" s="61">
        <f ca="1">$J$82-EFEITO!$K$82*EFEITO!$Y$82</f>
        <v>0</v>
      </c>
      <c r="N82" s="61">
        <f>$K$82-EFEITO!$M$82*EFEITO!$Z$82</f>
        <v>0</v>
      </c>
      <c r="O82" s="61">
        <f>$L$82-EFEITO!$O$82*EFEITO!$AA$82</f>
        <v>0</v>
      </c>
      <c r="P82" s="45"/>
      <c r="Q82" s="45"/>
      <c r="R82" s="45"/>
      <c r="S82" s="45"/>
      <c r="T82" s="45"/>
      <c r="U82" s="45"/>
      <c r="V82" s="45"/>
      <c r="W82" s="45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1.25" customHeight="1" x14ac:dyDescent="0.2">
      <c r="A83" s="41" t="s">
        <v>28</v>
      </c>
      <c r="B83" s="41" t="s">
        <v>35</v>
      </c>
      <c r="C83" s="41" t="s">
        <v>39</v>
      </c>
      <c r="D83" s="41" t="s">
        <v>40</v>
      </c>
      <c r="E83" s="41" t="s">
        <v>25</v>
      </c>
      <c r="F83" s="41" t="s">
        <v>25</v>
      </c>
      <c r="G83" s="41" t="s">
        <v>25</v>
      </c>
      <c r="H83" s="41" t="s">
        <v>25</v>
      </c>
      <c r="I83" s="60">
        <v>44562</v>
      </c>
      <c r="J83" s="61">
        <f ca="1">EFEITO!$J$83*EFEITO!$Y$83</f>
        <v>6195.7298964940137</v>
      </c>
      <c r="K83" s="61">
        <f>EFEITO!$L$83*EFEITO!$Z$83</f>
        <v>0</v>
      </c>
      <c r="L83" s="61">
        <f>EFEITO!$N$83*EFEITO!$AA$83</f>
        <v>0</v>
      </c>
      <c r="M83" s="61">
        <f ca="1">$J$83-EFEITO!$K$83*EFEITO!$Y$83</f>
        <v>0</v>
      </c>
      <c r="N83" s="61">
        <f>$K$83-EFEITO!$M$83*EFEITO!$Z$83</f>
        <v>0</v>
      </c>
      <c r="O83" s="61">
        <f>$L$83-EFEITO!$O$83*EFEITO!$AA$83</f>
        <v>0</v>
      </c>
      <c r="P83" s="45"/>
      <c r="Q83" s="45"/>
      <c r="R83" s="45"/>
      <c r="S83" s="45"/>
      <c r="T83" s="45"/>
      <c r="U83" s="45"/>
      <c r="V83" s="45"/>
      <c r="W83" s="45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1.25" customHeight="1" x14ac:dyDescent="0.2">
      <c r="A84" s="41" t="s">
        <v>21</v>
      </c>
      <c r="B84" s="41" t="s">
        <v>35</v>
      </c>
      <c r="C84" s="41" t="s">
        <v>39</v>
      </c>
      <c r="D84" s="41" t="s">
        <v>40</v>
      </c>
      <c r="E84" s="41" t="s">
        <v>25</v>
      </c>
      <c r="F84" s="41" t="s">
        <v>25</v>
      </c>
      <c r="G84" s="41" t="s">
        <v>25</v>
      </c>
      <c r="H84" s="41" t="s">
        <v>25</v>
      </c>
      <c r="I84" s="60">
        <v>44593</v>
      </c>
      <c r="J84" s="61">
        <f ca="1">EFEITO!$J$84*EFEITO!$Y$84</f>
        <v>43901.171838014721</v>
      </c>
      <c r="K84" s="61">
        <f>EFEITO!$L$84*EFEITO!$Z$84</f>
        <v>0</v>
      </c>
      <c r="L84" s="61">
        <f>EFEITO!$N$84*EFEITO!$AA$84</f>
        <v>0</v>
      </c>
      <c r="M84" s="61">
        <f ca="1">$J$84-EFEITO!$K$84*EFEITO!$Y$84</f>
        <v>0</v>
      </c>
      <c r="N84" s="61">
        <f>$K$84-EFEITO!$M$84*EFEITO!$Z$84</f>
        <v>0</v>
      </c>
      <c r="O84" s="61">
        <f>$L$84-EFEITO!$O$84*EFEITO!$AA$84</f>
        <v>0</v>
      </c>
      <c r="P84" s="45"/>
      <c r="Q84" s="45"/>
      <c r="R84" s="45"/>
      <c r="S84" s="45"/>
      <c r="T84" s="45"/>
      <c r="U84" s="45"/>
      <c r="V84" s="45"/>
      <c r="W84" s="45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1.25" customHeight="1" x14ac:dyDescent="0.2">
      <c r="A85" s="41" t="s">
        <v>28</v>
      </c>
      <c r="B85" s="41" t="s">
        <v>35</v>
      </c>
      <c r="C85" s="41" t="s">
        <v>39</v>
      </c>
      <c r="D85" s="41" t="s">
        <v>40</v>
      </c>
      <c r="E85" s="41" t="s">
        <v>25</v>
      </c>
      <c r="F85" s="41" t="s">
        <v>25</v>
      </c>
      <c r="G85" s="41" t="s">
        <v>25</v>
      </c>
      <c r="H85" s="41" t="s">
        <v>25</v>
      </c>
      <c r="I85" s="60">
        <v>44593</v>
      </c>
      <c r="J85" s="61">
        <f ca="1">EFEITO!$J$85*EFEITO!$Y$85</f>
        <v>6195.7298964940137</v>
      </c>
      <c r="K85" s="61">
        <f>EFEITO!$L$85*EFEITO!$Z$85</f>
        <v>0</v>
      </c>
      <c r="L85" s="61">
        <f>EFEITO!$N$85*EFEITO!$AA$85</f>
        <v>0</v>
      </c>
      <c r="M85" s="61">
        <f ca="1">$J$85-EFEITO!$K$85*EFEITO!$Y$85</f>
        <v>0</v>
      </c>
      <c r="N85" s="61">
        <f>$K$85-EFEITO!$M$85*EFEITO!$Z$85</f>
        <v>0</v>
      </c>
      <c r="O85" s="61">
        <f>$L$85-EFEITO!$O$85*EFEITO!$AA$85</f>
        <v>0</v>
      </c>
      <c r="P85" s="45"/>
      <c r="Q85" s="45"/>
      <c r="R85" s="45"/>
      <c r="S85" s="45"/>
      <c r="T85" s="45"/>
      <c r="U85" s="45"/>
      <c r="V85" s="45"/>
      <c r="W85" s="45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1.25" customHeight="1" x14ac:dyDescent="0.2">
      <c r="A86" s="41" t="s">
        <v>21</v>
      </c>
      <c r="B86" s="41" t="s">
        <v>35</v>
      </c>
      <c r="C86" s="41" t="s">
        <v>39</v>
      </c>
      <c r="D86" s="41" t="s">
        <v>40</v>
      </c>
      <c r="E86" s="41" t="s">
        <v>25</v>
      </c>
      <c r="F86" s="41" t="s">
        <v>25</v>
      </c>
      <c r="G86" s="41" t="s">
        <v>25</v>
      </c>
      <c r="H86" s="41" t="s">
        <v>25</v>
      </c>
      <c r="I86" s="60">
        <v>44621</v>
      </c>
      <c r="J86" s="61">
        <f ca="1">EFEITO!$J$86*EFEITO!$Y$86</f>
        <v>49211.797463581024</v>
      </c>
      <c r="K86" s="61">
        <f>EFEITO!$L$86*EFEITO!$Z$86</f>
        <v>0</v>
      </c>
      <c r="L86" s="61">
        <f>EFEITO!$N$86*EFEITO!$AA$86</f>
        <v>0</v>
      </c>
      <c r="M86" s="61">
        <f ca="1">$J$86-EFEITO!$K$86*EFEITO!$Y$86</f>
        <v>0</v>
      </c>
      <c r="N86" s="61">
        <f>$K$86-EFEITO!$M$86*EFEITO!$Z$86</f>
        <v>0</v>
      </c>
      <c r="O86" s="61">
        <f>$L$86-EFEITO!$O$86*EFEITO!$AA$86</f>
        <v>0</v>
      </c>
      <c r="P86" s="45"/>
      <c r="Q86" s="45"/>
      <c r="R86" s="45"/>
      <c r="S86" s="45"/>
      <c r="T86" s="45"/>
      <c r="U86" s="45"/>
      <c r="V86" s="45"/>
      <c r="W86" s="45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1.25" customHeight="1" x14ac:dyDescent="0.2">
      <c r="A87" s="41" t="s">
        <v>28</v>
      </c>
      <c r="B87" s="41" t="s">
        <v>35</v>
      </c>
      <c r="C87" s="41" t="s">
        <v>39</v>
      </c>
      <c r="D87" s="41" t="s">
        <v>40</v>
      </c>
      <c r="E87" s="41" t="s">
        <v>25</v>
      </c>
      <c r="F87" s="41" t="s">
        <v>25</v>
      </c>
      <c r="G87" s="41" t="s">
        <v>25</v>
      </c>
      <c r="H87" s="41" t="s">
        <v>25</v>
      </c>
      <c r="I87" s="60">
        <v>44621</v>
      </c>
      <c r="J87" s="61">
        <f ca="1">EFEITO!$J$87*EFEITO!$Y$87</f>
        <v>6195.7298964940137</v>
      </c>
      <c r="K87" s="61">
        <f>EFEITO!$L$87*EFEITO!$Z$87</f>
        <v>0</v>
      </c>
      <c r="L87" s="61">
        <f>EFEITO!$N$87*EFEITO!$AA$87</f>
        <v>0</v>
      </c>
      <c r="M87" s="61">
        <f ca="1">$J$87-EFEITO!$K$87*EFEITO!$Y$87</f>
        <v>0</v>
      </c>
      <c r="N87" s="61">
        <f>$K$87-EFEITO!$M$87*EFEITO!$Z$87</f>
        <v>0</v>
      </c>
      <c r="O87" s="61">
        <f>$L$87-EFEITO!$O$87*EFEITO!$AA$87</f>
        <v>0</v>
      </c>
      <c r="P87" s="45"/>
      <c r="Q87" s="45"/>
      <c r="R87" s="45"/>
      <c r="S87" s="45"/>
      <c r="T87" s="45"/>
      <c r="U87" s="45"/>
      <c r="V87" s="45"/>
      <c r="W87" s="45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1.25" customHeight="1" x14ac:dyDescent="0.2">
      <c r="A88" s="41" t="s">
        <v>21</v>
      </c>
      <c r="B88" s="41" t="s">
        <v>35</v>
      </c>
      <c r="C88" s="41" t="s">
        <v>39</v>
      </c>
      <c r="D88" s="41" t="s">
        <v>40</v>
      </c>
      <c r="E88" s="41" t="s">
        <v>25</v>
      </c>
      <c r="F88" s="41" t="s">
        <v>25</v>
      </c>
      <c r="G88" s="41" t="s">
        <v>25</v>
      </c>
      <c r="H88" s="41" t="s">
        <v>25</v>
      </c>
      <c r="I88" s="60">
        <v>44652</v>
      </c>
      <c r="J88" s="61">
        <f ca="1">EFEITO!$J$88*EFEITO!$Y$88</f>
        <v>43989.682265107498</v>
      </c>
      <c r="K88" s="61">
        <f>EFEITO!$L$88*EFEITO!$Z$88</f>
        <v>0</v>
      </c>
      <c r="L88" s="61">
        <f>EFEITO!$N$88*EFEITO!$AA$88</f>
        <v>0</v>
      </c>
      <c r="M88" s="61">
        <f ca="1">$J$88-EFEITO!$K$88*EFEITO!$Y$88</f>
        <v>0</v>
      </c>
      <c r="N88" s="61">
        <f>$K$88-EFEITO!$M$88*EFEITO!$Z$88</f>
        <v>0</v>
      </c>
      <c r="O88" s="61">
        <f>$L$88-EFEITO!$O$88*EFEITO!$AA$88</f>
        <v>0</v>
      </c>
      <c r="P88" s="45"/>
      <c r="Q88" s="45"/>
      <c r="R88" s="45"/>
      <c r="S88" s="45"/>
      <c r="T88" s="45"/>
      <c r="U88" s="45"/>
      <c r="V88" s="45"/>
      <c r="W88" s="45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1.25" customHeight="1" x14ac:dyDescent="0.2">
      <c r="A89" s="41" t="s">
        <v>28</v>
      </c>
      <c r="B89" s="41" t="s">
        <v>35</v>
      </c>
      <c r="C89" s="41" t="s">
        <v>39</v>
      </c>
      <c r="D89" s="41" t="s">
        <v>40</v>
      </c>
      <c r="E89" s="41" t="s">
        <v>25</v>
      </c>
      <c r="F89" s="41" t="s">
        <v>25</v>
      </c>
      <c r="G89" s="41" t="s">
        <v>25</v>
      </c>
      <c r="H89" s="41" t="s">
        <v>25</v>
      </c>
      <c r="I89" s="60">
        <v>44652</v>
      </c>
      <c r="J89" s="61">
        <f ca="1">EFEITO!$J$89*EFEITO!$Y$89</f>
        <v>6195.7298964940137</v>
      </c>
      <c r="K89" s="61">
        <f>EFEITO!$L$89*EFEITO!$Z$89</f>
        <v>0</v>
      </c>
      <c r="L89" s="61">
        <f>EFEITO!$N$89*EFEITO!$AA$89</f>
        <v>0</v>
      </c>
      <c r="M89" s="61">
        <f ca="1">$J$89-EFEITO!$K$89*EFEITO!$Y$89</f>
        <v>0</v>
      </c>
      <c r="N89" s="61">
        <f>$K$89-EFEITO!$M$89*EFEITO!$Z$89</f>
        <v>0</v>
      </c>
      <c r="O89" s="61">
        <f>$L$89-EFEITO!$O$89*EFEITO!$AA$89</f>
        <v>0</v>
      </c>
      <c r="P89" s="45"/>
      <c r="Q89" s="45"/>
      <c r="R89" s="45"/>
      <c r="S89" s="45"/>
      <c r="T89" s="45"/>
      <c r="U89" s="45"/>
      <c r="V89" s="45"/>
      <c r="W89" s="45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1.25" customHeight="1" x14ac:dyDescent="0.2">
      <c r="A90" s="41" t="s">
        <v>21</v>
      </c>
      <c r="B90" s="41" t="s">
        <v>35</v>
      </c>
      <c r="C90" s="41" t="s">
        <v>39</v>
      </c>
      <c r="D90" s="41" t="s">
        <v>40</v>
      </c>
      <c r="E90" s="41" t="s">
        <v>25</v>
      </c>
      <c r="F90" s="41" t="s">
        <v>25</v>
      </c>
      <c r="G90" s="41" t="s">
        <v>25</v>
      </c>
      <c r="H90" s="41" t="s">
        <v>25</v>
      </c>
      <c r="I90" s="60">
        <v>44682</v>
      </c>
      <c r="J90" s="61">
        <f ca="1">EFEITO!$J$90*EFEITO!$Y$90</f>
        <v>55363.272146528652</v>
      </c>
      <c r="K90" s="61">
        <f>EFEITO!$L$90*EFEITO!$Z$90</f>
        <v>0</v>
      </c>
      <c r="L90" s="61">
        <f>EFEITO!$N$90*EFEITO!$AA$90</f>
        <v>0</v>
      </c>
      <c r="M90" s="61">
        <f ca="1">$J$90-EFEITO!$K$90*EFEITO!$Y$90</f>
        <v>0</v>
      </c>
      <c r="N90" s="61">
        <f>$K$90-EFEITO!$M$90*EFEITO!$Z$90</f>
        <v>0</v>
      </c>
      <c r="O90" s="61">
        <f>$L$90-EFEITO!$O$90*EFEITO!$AA$90</f>
        <v>0</v>
      </c>
      <c r="P90" s="45"/>
      <c r="Q90" s="45"/>
      <c r="R90" s="45"/>
      <c r="S90" s="45"/>
      <c r="T90" s="45"/>
      <c r="U90" s="45"/>
      <c r="V90" s="45"/>
      <c r="W90" s="45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1.25" customHeight="1" x14ac:dyDescent="0.2">
      <c r="A91" s="41" t="s">
        <v>28</v>
      </c>
      <c r="B91" s="41" t="s">
        <v>35</v>
      </c>
      <c r="C91" s="41" t="s">
        <v>39</v>
      </c>
      <c r="D91" s="41" t="s">
        <v>40</v>
      </c>
      <c r="E91" s="41" t="s">
        <v>25</v>
      </c>
      <c r="F91" s="41" t="s">
        <v>25</v>
      </c>
      <c r="G91" s="41" t="s">
        <v>25</v>
      </c>
      <c r="H91" s="41" t="s">
        <v>25</v>
      </c>
      <c r="I91" s="60">
        <v>44682</v>
      </c>
      <c r="J91" s="61">
        <f ca="1">EFEITO!$J$91*EFEITO!$Y$91</f>
        <v>7080.8341674217299</v>
      </c>
      <c r="K91" s="61">
        <f>EFEITO!$L$91*EFEITO!$Z$91</f>
        <v>0</v>
      </c>
      <c r="L91" s="61">
        <f>EFEITO!$N$91*EFEITO!$AA$91</f>
        <v>0</v>
      </c>
      <c r="M91" s="61">
        <f ca="1">$J$91-EFEITO!$K$91*EFEITO!$Y$91</f>
        <v>0</v>
      </c>
      <c r="N91" s="61">
        <f>$K$91-EFEITO!$M$91*EFEITO!$Z$91</f>
        <v>0</v>
      </c>
      <c r="O91" s="61">
        <f>$L$91-EFEITO!$O$91*EFEITO!$AA$91</f>
        <v>0</v>
      </c>
      <c r="P91" s="45"/>
      <c r="Q91" s="45"/>
      <c r="R91" s="45"/>
      <c r="S91" s="45"/>
      <c r="T91" s="45"/>
      <c r="U91" s="45"/>
      <c r="V91" s="45"/>
      <c r="W91" s="45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1.25" customHeight="1" x14ac:dyDescent="0.2">
      <c r="A92" s="41" t="s">
        <v>21</v>
      </c>
      <c r="B92" s="41" t="s">
        <v>35</v>
      </c>
      <c r="C92" s="41" t="s">
        <v>39</v>
      </c>
      <c r="D92" s="41" t="s">
        <v>40</v>
      </c>
      <c r="E92" s="41" t="s">
        <v>25</v>
      </c>
      <c r="F92" s="41" t="s">
        <v>25</v>
      </c>
      <c r="G92" s="41" t="s">
        <v>25</v>
      </c>
      <c r="H92" s="41" t="s">
        <v>25</v>
      </c>
      <c r="I92" s="60">
        <v>44713</v>
      </c>
      <c r="J92" s="61">
        <f ca="1">EFEITO!$J$92*EFEITO!$Y$92</f>
        <v>40759.05167622133</v>
      </c>
      <c r="K92" s="61">
        <f>EFEITO!$L$92*EFEITO!$Z$92</f>
        <v>0</v>
      </c>
      <c r="L92" s="61">
        <f>EFEITO!$N$92*EFEITO!$AA$92</f>
        <v>0</v>
      </c>
      <c r="M92" s="61">
        <f ca="1">$J$92-EFEITO!$K$92*EFEITO!$Y$92</f>
        <v>0</v>
      </c>
      <c r="N92" s="61">
        <f>$K$92-EFEITO!$M$92*EFEITO!$Z$92</f>
        <v>0</v>
      </c>
      <c r="O92" s="61">
        <f>$L$92-EFEITO!$O$92*EFEITO!$AA$92</f>
        <v>0</v>
      </c>
      <c r="P92" s="45"/>
      <c r="Q92" s="45"/>
      <c r="R92" s="45"/>
      <c r="S92" s="45"/>
      <c r="T92" s="45"/>
      <c r="U92" s="45"/>
      <c r="V92" s="45"/>
      <c r="W92" s="45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1.25" customHeight="1" x14ac:dyDescent="0.2">
      <c r="A93" s="41" t="s">
        <v>28</v>
      </c>
      <c r="B93" s="41" t="s">
        <v>35</v>
      </c>
      <c r="C93" s="41" t="s">
        <v>39</v>
      </c>
      <c r="D93" s="41" t="s">
        <v>40</v>
      </c>
      <c r="E93" s="41" t="s">
        <v>25</v>
      </c>
      <c r="F93" s="41" t="s">
        <v>25</v>
      </c>
      <c r="G93" s="41" t="s">
        <v>25</v>
      </c>
      <c r="H93" s="41" t="s">
        <v>25</v>
      </c>
      <c r="I93" s="60">
        <v>44713</v>
      </c>
      <c r="J93" s="61">
        <f ca="1">EFEITO!$J$93*EFEITO!$Y$93</f>
        <v>6195.7298964940137</v>
      </c>
      <c r="K93" s="61">
        <f>EFEITO!$L$93*EFEITO!$Z$93</f>
        <v>0</v>
      </c>
      <c r="L93" s="61">
        <f>EFEITO!$N$93*EFEITO!$AA$93</f>
        <v>0</v>
      </c>
      <c r="M93" s="61">
        <f ca="1">$J$93-EFEITO!$K$93*EFEITO!$Y$93</f>
        <v>0</v>
      </c>
      <c r="N93" s="61">
        <f>$K$93-EFEITO!$M$93*EFEITO!$Z$93</f>
        <v>0</v>
      </c>
      <c r="O93" s="61">
        <f>$L$93-EFEITO!$O$93*EFEITO!$AA$93</f>
        <v>0</v>
      </c>
      <c r="P93" s="45"/>
      <c r="Q93" s="45"/>
      <c r="R93" s="45"/>
      <c r="S93" s="45"/>
      <c r="T93" s="45"/>
      <c r="U93" s="45"/>
      <c r="V93" s="45"/>
      <c r="W93" s="45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1.25" customHeight="1" x14ac:dyDescent="0.2">
      <c r="A94" s="41" t="s">
        <v>21</v>
      </c>
      <c r="B94" s="41" t="s">
        <v>35</v>
      </c>
      <c r="C94" s="41" t="s">
        <v>39</v>
      </c>
      <c r="D94" s="41" t="s">
        <v>40</v>
      </c>
      <c r="E94" s="41" t="s">
        <v>25</v>
      </c>
      <c r="F94" s="41" t="s">
        <v>25</v>
      </c>
      <c r="G94" s="41" t="s">
        <v>25</v>
      </c>
      <c r="H94" s="41" t="s">
        <v>37</v>
      </c>
      <c r="I94" s="60">
        <v>44378</v>
      </c>
      <c r="J94" s="61">
        <f>EFEITO!$J$94*EFEITO!$Y$94</f>
        <v>0</v>
      </c>
      <c r="K94" s="61">
        <f ca="1">EFEITO!$L$94*EFEITO!$Z$94</f>
        <v>2805.0171683606045</v>
      </c>
      <c r="L94" s="61">
        <f>EFEITO!$N$94*EFEITO!$AA$94</f>
        <v>241.3864394213071</v>
      </c>
      <c r="M94" s="61">
        <f>$J$94-EFEITO!$K$94*EFEITO!$Y$94</f>
        <v>0</v>
      </c>
      <c r="N94" s="61">
        <f ca="1">$K$94-EFEITO!$M$94*EFEITO!$Z$94</f>
        <v>0</v>
      </c>
      <c r="O94" s="61">
        <f>$L$94-EFEITO!$O$94*EFEITO!$AA$94</f>
        <v>0</v>
      </c>
      <c r="P94" s="45"/>
      <c r="Q94" s="45"/>
      <c r="R94" s="45"/>
      <c r="S94" s="45"/>
      <c r="T94" s="45"/>
      <c r="U94" s="45"/>
      <c r="V94" s="45"/>
      <c r="W94" s="45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1.25" customHeight="1" x14ac:dyDescent="0.2">
      <c r="A95" s="41" t="s">
        <v>28</v>
      </c>
      <c r="B95" s="41" t="s">
        <v>35</v>
      </c>
      <c r="C95" s="41" t="s">
        <v>39</v>
      </c>
      <c r="D95" s="41" t="s">
        <v>40</v>
      </c>
      <c r="E95" s="41" t="s">
        <v>25</v>
      </c>
      <c r="F95" s="41" t="s">
        <v>25</v>
      </c>
      <c r="G95" s="41" t="s">
        <v>25</v>
      </c>
      <c r="H95" s="41" t="s">
        <v>37</v>
      </c>
      <c r="I95" s="60">
        <v>44378</v>
      </c>
      <c r="J95" s="61">
        <f>EFEITO!$J$95*EFEITO!$Y$95</f>
        <v>0</v>
      </c>
      <c r="K95" s="61">
        <f ca="1">EFEITO!$L$95*EFEITO!$Z$95</f>
        <v>2494.3638011806033</v>
      </c>
      <c r="L95" s="61">
        <f>EFEITO!$N$95*EFEITO!$AA$95</f>
        <v>214.65308782415909</v>
      </c>
      <c r="M95" s="61">
        <f>$J$95-EFEITO!$K$95*EFEITO!$Y$95</f>
        <v>0</v>
      </c>
      <c r="N95" s="61">
        <f ca="1">$K$95-EFEITO!$M$95*EFEITO!$Z$95</f>
        <v>0</v>
      </c>
      <c r="O95" s="61">
        <f>$L$95-EFEITO!$O$95*EFEITO!$AA$95</f>
        <v>0</v>
      </c>
      <c r="P95" s="45"/>
      <c r="Q95" s="45"/>
      <c r="R95" s="45"/>
      <c r="S95" s="45"/>
      <c r="T95" s="45"/>
      <c r="U95" s="45"/>
      <c r="V95" s="45"/>
      <c r="W95" s="45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1.25" customHeight="1" x14ac:dyDescent="0.2">
      <c r="A96" s="41" t="s">
        <v>21</v>
      </c>
      <c r="B96" s="41" t="s">
        <v>35</v>
      </c>
      <c r="C96" s="41" t="s">
        <v>39</v>
      </c>
      <c r="D96" s="41" t="s">
        <v>40</v>
      </c>
      <c r="E96" s="41" t="s">
        <v>25</v>
      </c>
      <c r="F96" s="41" t="s">
        <v>25</v>
      </c>
      <c r="G96" s="41" t="s">
        <v>25</v>
      </c>
      <c r="H96" s="41" t="s">
        <v>37</v>
      </c>
      <c r="I96" s="60">
        <v>44409</v>
      </c>
      <c r="J96" s="61">
        <f>EFEITO!$J$96*EFEITO!$Y$96</f>
        <v>0</v>
      </c>
      <c r="K96" s="61">
        <f ca="1">EFEITO!$L$96*EFEITO!$Z$96</f>
        <v>2985.4702272372233</v>
      </c>
      <c r="L96" s="61">
        <f>EFEITO!$N$96*EFEITO!$AA$96</f>
        <v>256.91537159906221</v>
      </c>
      <c r="M96" s="61">
        <f>$J$96-EFEITO!$K$96*EFEITO!$Y$96</f>
        <v>0</v>
      </c>
      <c r="N96" s="61">
        <f ca="1">$K$96-EFEITO!$M$96*EFEITO!$Z$96</f>
        <v>0</v>
      </c>
      <c r="O96" s="61">
        <f>$L$96-EFEITO!$O$96*EFEITO!$AA$96</f>
        <v>0</v>
      </c>
      <c r="P96" s="45"/>
      <c r="Q96" s="45"/>
      <c r="R96" s="45"/>
      <c r="S96" s="45"/>
      <c r="T96" s="45"/>
      <c r="U96" s="45"/>
      <c r="V96" s="45"/>
      <c r="W96" s="45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1.25" customHeight="1" x14ac:dyDescent="0.2">
      <c r="A97" s="41" t="s">
        <v>21</v>
      </c>
      <c r="B97" s="41" t="s">
        <v>35</v>
      </c>
      <c r="C97" s="41" t="s">
        <v>39</v>
      </c>
      <c r="D97" s="41" t="s">
        <v>40</v>
      </c>
      <c r="E97" s="41" t="s">
        <v>25</v>
      </c>
      <c r="F97" s="41" t="s">
        <v>25</v>
      </c>
      <c r="G97" s="41" t="s">
        <v>25</v>
      </c>
      <c r="H97" s="41" t="s">
        <v>37</v>
      </c>
      <c r="I97" s="60">
        <v>44440</v>
      </c>
      <c r="J97" s="61">
        <f>EFEITO!$J$97*EFEITO!$Y$97</f>
        <v>0</v>
      </c>
      <c r="K97" s="61">
        <f ca="1">EFEITO!$L$97*EFEITO!$Z$97</f>
        <v>3784.9458045386987</v>
      </c>
      <c r="L97" s="61">
        <f>EFEITO!$N$97*EFEITO!$AA$97</f>
        <v>325.71443820936958</v>
      </c>
      <c r="M97" s="61">
        <f>$J$97-EFEITO!$K$97*EFEITO!$Y$97</f>
        <v>0</v>
      </c>
      <c r="N97" s="61">
        <f ca="1">$K$97-EFEITO!$M$97*EFEITO!$Z$97</f>
        <v>0</v>
      </c>
      <c r="O97" s="61">
        <f>$L$97-EFEITO!$O$97*EFEITO!$AA$97</f>
        <v>0</v>
      </c>
      <c r="P97" s="45"/>
      <c r="Q97" s="45"/>
      <c r="R97" s="45"/>
      <c r="S97" s="45"/>
      <c r="T97" s="45"/>
      <c r="U97" s="45"/>
      <c r="V97" s="45"/>
      <c r="W97" s="45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1.25" customHeight="1" x14ac:dyDescent="0.2">
      <c r="A98" s="41" t="s">
        <v>28</v>
      </c>
      <c r="B98" s="41" t="s">
        <v>35</v>
      </c>
      <c r="C98" s="41" t="s">
        <v>39</v>
      </c>
      <c r="D98" s="41" t="s">
        <v>40</v>
      </c>
      <c r="E98" s="41" t="s">
        <v>25</v>
      </c>
      <c r="F98" s="41" t="s">
        <v>25</v>
      </c>
      <c r="G98" s="41" t="s">
        <v>25</v>
      </c>
      <c r="H98" s="41" t="s">
        <v>37</v>
      </c>
      <c r="I98" s="60">
        <v>44440</v>
      </c>
      <c r="J98" s="61">
        <f>EFEITO!$J$98*EFEITO!$Y$98</f>
        <v>0</v>
      </c>
      <c r="K98" s="61">
        <f ca="1">EFEITO!$L$98*EFEITO!$Z$98</f>
        <v>1011.9076592701531</v>
      </c>
      <c r="L98" s="61">
        <f>EFEITO!$N$98*EFEITO!$AA$98</f>
        <v>87.079961452474791</v>
      </c>
      <c r="M98" s="61">
        <f>$J$98-EFEITO!$K$98*EFEITO!$Y$98</f>
        <v>0</v>
      </c>
      <c r="N98" s="61">
        <f ca="1">$K$98-EFEITO!$M$98*EFEITO!$Z$98</f>
        <v>0</v>
      </c>
      <c r="O98" s="61">
        <f>$L$98-EFEITO!$O$98*EFEITO!$AA$98</f>
        <v>0</v>
      </c>
      <c r="P98" s="45"/>
      <c r="Q98" s="45"/>
      <c r="R98" s="45"/>
      <c r="S98" s="45"/>
      <c r="T98" s="45"/>
      <c r="U98" s="45"/>
      <c r="V98" s="45"/>
      <c r="W98" s="45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1.25" customHeight="1" x14ac:dyDescent="0.2">
      <c r="A99" s="41" t="s">
        <v>21</v>
      </c>
      <c r="B99" s="41" t="s">
        <v>35</v>
      </c>
      <c r="C99" s="41" t="s">
        <v>39</v>
      </c>
      <c r="D99" s="41" t="s">
        <v>40</v>
      </c>
      <c r="E99" s="41" t="s">
        <v>25</v>
      </c>
      <c r="F99" s="41" t="s">
        <v>25</v>
      </c>
      <c r="G99" s="41" t="s">
        <v>25</v>
      </c>
      <c r="H99" s="41" t="s">
        <v>37</v>
      </c>
      <c r="I99" s="60">
        <v>44470</v>
      </c>
      <c r="J99" s="61">
        <f>EFEITO!$J$99*EFEITO!$Y$99</f>
        <v>0</v>
      </c>
      <c r="K99" s="61">
        <f ca="1">EFEITO!$L$99*EFEITO!$Z$99</f>
        <v>15000.446046110825</v>
      </c>
      <c r="L99" s="61">
        <f>EFEITO!$N$99*EFEITO!$AA$99</f>
        <v>1290.8670583711105</v>
      </c>
      <c r="M99" s="61">
        <f>$J$99-EFEITO!$K$99*EFEITO!$Y$99</f>
        <v>0</v>
      </c>
      <c r="N99" s="61">
        <f ca="1">$K$99-EFEITO!$M$99*EFEITO!$Z$99</f>
        <v>0</v>
      </c>
      <c r="O99" s="61">
        <f>$L$99-EFEITO!$O$99*EFEITO!$AA$99</f>
        <v>0</v>
      </c>
      <c r="P99" s="45"/>
      <c r="Q99" s="45"/>
      <c r="R99" s="45"/>
      <c r="S99" s="45"/>
      <c r="T99" s="45"/>
      <c r="U99" s="45"/>
      <c r="V99" s="45"/>
      <c r="W99" s="45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1.25" customHeight="1" x14ac:dyDescent="0.2">
      <c r="A100" s="41" t="s">
        <v>28</v>
      </c>
      <c r="B100" s="41" t="s">
        <v>35</v>
      </c>
      <c r="C100" s="41" t="s">
        <v>39</v>
      </c>
      <c r="D100" s="41" t="s">
        <v>40</v>
      </c>
      <c r="E100" s="41" t="s">
        <v>25</v>
      </c>
      <c r="F100" s="41" t="s">
        <v>25</v>
      </c>
      <c r="G100" s="41" t="s">
        <v>25</v>
      </c>
      <c r="H100" s="41" t="s">
        <v>37</v>
      </c>
      <c r="I100" s="60">
        <v>44470</v>
      </c>
      <c r="J100" s="61">
        <f>EFEITO!$J$100*EFEITO!$Y$100</f>
        <v>0</v>
      </c>
      <c r="K100" s="61">
        <f ca="1">EFEITO!$L$100*EFEITO!$Z$100</f>
        <v>3353.2289927959018</v>
      </c>
      <c r="L100" s="61">
        <f>EFEITO!$N$100*EFEITO!$AA$100</f>
        <v>288.56294223980359</v>
      </c>
      <c r="M100" s="61">
        <f>$J$100-EFEITO!$K$100*EFEITO!$Y$100</f>
        <v>0</v>
      </c>
      <c r="N100" s="61">
        <f ca="1">$K$100-EFEITO!$M$100*EFEITO!$Z$100</f>
        <v>0</v>
      </c>
      <c r="O100" s="61">
        <f>$L$100-EFEITO!$O$100*EFEITO!$AA$100</f>
        <v>0</v>
      </c>
      <c r="P100" s="45"/>
      <c r="Q100" s="45"/>
      <c r="R100" s="45"/>
      <c r="S100" s="45"/>
      <c r="T100" s="45"/>
      <c r="U100" s="45"/>
      <c r="V100" s="45"/>
      <c r="W100" s="45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1.25" customHeight="1" x14ac:dyDescent="0.2">
      <c r="A101" s="41" t="s">
        <v>21</v>
      </c>
      <c r="B101" s="41" t="s">
        <v>35</v>
      </c>
      <c r="C101" s="41" t="s">
        <v>39</v>
      </c>
      <c r="D101" s="41" t="s">
        <v>40</v>
      </c>
      <c r="E101" s="41" t="s">
        <v>25</v>
      </c>
      <c r="F101" s="41" t="s">
        <v>25</v>
      </c>
      <c r="G101" s="41" t="s">
        <v>25</v>
      </c>
      <c r="H101" s="41" t="s">
        <v>37</v>
      </c>
      <c r="I101" s="60">
        <v>44501</v>
      </c>
      <c r="J101" s="61">
        <f>EFEITO!$J$101*EFEITO!$Y$101</f>
        <v>0</v>
      </c>
      <c r="K101" s="61">
        <f ca="1">EFEITO!$L$101*EFEITO!$Z$101</f>
        <v>30254.440061022971</v>
      </c>
      <c r="L101" s="61">
        <f>EFEITO!$N$101*EFEITO!$AA$101</f>
        <v>2603.5532492957755</v>
      </c>
      <c r="M101" s="61">
        <f>$J$101-EFEITO!$K$101*EFEITO!$Y$101</f>
        <v>0</v>
      </c>
      <c r="N101" s="61">
        <f ca="1">$K$101-EFEITO!$M$101*EFEITO!$Z$101</f>
        <v>0</v>
      </c>
      <c r="O101" s="61">
        <f>$L$101-EFEITO!$O$101*EFEITO!$AA$101</f>
        <v>0</v>
      </c>
      <c r="P101" s="45"/>
      <c r="Q101" s="45"/>
      <c r="R101" s="45"/>
      <c r="S101" s="45"/>
      <c r="T101" s="45"/>
      <c r="U101" s="45"/>
      <c r="V101" s="45"/>
      <c r="W101" s="45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1.25" customHeight="1" x14ac:dyDescent="0.2">
      <c r="A102" s="41" t="s">
        <v>28</v>
      </c>
      <c r="B102" s="41" t="s">
        <v>35</v>
      </c>
      <c r="C102" s="41" t="s">
        <v>39</v>
      </c>
      <c r="D102" s="41" t="s">
        <v>40</v>
      </c>
      <c r="E102" s="41" t="s">
        <v>25</v>
      </c>
      <c r="F102" s="41" t="s">
        <v>25</v>
      </c>
      <c r="G102" s="41" t="s">
        <v>25</v>
      </c>
      <c r="H102" s="41" t="s">
        <v>37</v>
      </c>
      <c r="I102" s="60">
        <v>44501</v>
      </c>
      <c r="J102" s="61">
        <f>EFEITO!$J$102*EFEITO!$Y$102</f>
        <v>0</v>
      </c>
      <c r="K102" s="61">
        <f ca="1">EFEITO!$L$102*EFEITO!$Z$102</f>
        <v>6820.6687823491584</v>
      </c>
      <c r="L102" s="61">
        <f>EFEITO!$N$102*EFEITO!$AA$102</f>
        <v>586.95432256679396</v>
      </c>
      <c r="M102" s="61">
        <f>$J$102-EFEITO!$K$102*EFEITO!$Y$102</f>
        <v>0</v>
      </c>
      <c r="N102" s="61">
        <f ca="1">$K$102-EFEITO!$M$102*EFEITO!$Z$102</f>
        <v>0</v>
      </c>
      <c r="O102" s="61">
        <f>$L$102-EFEITO!$O$102*EFEITO!$AA$102</f>
        <v>0</v>
      </c>
      <c r="P102" s="45"/>
      <c r="Q102" s="45"/>
      <c r="R102" s="45"/>
      <c r="S102" s="45"/>
      <c r="T102" s="45"/>
      <c r="U102" s="45"/>
      <c r="V102" s="45"/>
      <c r="W102" s="45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1.25" customHeight="1" x14ac:dyDescent="0.2">
      <c r="A103" s="41" t="s">
        <v>21</v>
      </c>
      <c r="B103" s="41" t="s">
        <v>35</v>
      </c>
      <c r="C103" s="41" t="s">
        <v>39</v>
      </c>
      <c r="D103" s="41" t="s">
        <v>40</v>
      </c>
      <c r="E103" s="41" t="s">
        <v>25</v>
      </c>
      <c r="F103" s="41" t="s">
        <v>25</v>
      </c>
      <c r="G103" s="41" t="s">
        <v>25</v>
      </c>
      <c r="H103" s="41" t="s">
        <v>37</v>
      </c>
      <c r="I103" s="60">
        <v>44531</v>
      </c>
      <c r="J103" s="61">
        <f>EFEITO!$J$103*EFEITO!$Y$103</f>
        <v>0</v>
      </c>
      <c r="K103" s="61">
        <f ca="1">EFEITO!$L$103*EFEITO!$Z$103</f>
        <v>19155.434832143346</v>
      </c>
      <c r="L103" s="61">
        <f>EFEITO!$N$103*EFEITO!$AA$103</f>
        <v>1648.4256359829651</v>
      </c>
      <c r="M103" s="61">
        <f>$J$103-EFEITO!$K$103*EFEITO!$Y$103</f>
        <v>0</v>
      </c>
      <c r="N103" s="61">
        <f ca="1">$K$103-EFEITO!$M$103*EFEITO!$Z$103</f>
        <v>0</v>
      </c>
      <c r="O103" s="61">
        <f>$L$103-EFEITO!$O$103*EFEITO!$AA$103</f>
        <v>0</v>
      </c>
      <c r="P103" s="45"/>
      <c r="Q103" s="45"/>
      <c r="R103" s="45"/>
      <c r="S103" s="45"/>
      <c r="T103" s="45"/>
      <c r="U103" s="45"/>
      <c r="V103" s="45"/>
      <c r="W103" s="45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1.25" customHeight="1" x14ac:dyDescent="0.2">
      <c r="A104" s="41" t="s">
        <v>21</v>
      </c>
      <c r="B104" s="41" t="s">
        <v>35</v>
      </c>
      <c r="C104" s="41" t="s">
        <v>39</v>
      </c>
      <c r="D104" s="41" t="s">
        <v>40</v>
      </c>
      <c r="E104" s="41" t="s">
        <v>25</v>
      </c>
      <c r="F104" s="41" t="s">
        <v>25</v>
      </c>
      <c r="G104" s="41" t="s">
        <v>25</v>
      </c>
      <c r="H104" s="41" t="s">
        <v>37</v>
      </c>
      <c r="I104" s="60">
        <v>44562</v>
      </c>
      <c r="J104" s="61">
        <f>EFEITO!$J$104*EFEITO!$Y$104</f>
        <v>0</v>
      </c>
      <c r="K104" s="61">
        <f ca="1">EFEITO!$L$104*EFEITO!$Z$104</f>
        <v>4984.1591704909115</v>
      </c>
      <c r="L104" s="61">
        <f>EFEITO!$N$104*EFEITO!$AA$104</f>
        <v>428.91303812483068</v>
      </c>
      <c r="M104" s="61">
        <f>$J$104-EFEITO!$K$104*EFEITO!$Y$104</f>
        <v>0</v>
      </c>
      <c r="N104" s="61">
        <f ca="1">$K$104-EFEITO!$M$104*EFEITO!$Z$104</f>
        <v>0</v>
      </c>
      <c r="O104" s="61">
        <f>$L$104-EFEITO!$O$104*EFEITO!$AA$104</f>
        <v>0</v>
      </c>
      <c r="P104" s="45"/>
      <c r="Q104" s="45"/>
      <c r="R104" s="45"/>
      <c r="S104" s="45"/>
      <c r="T104" s="45"/>
      <c r="U104" s="45"/>
      <c r="V104" s="45"/>
      <c r="W104" s="45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1.25" customHeight="1" x14ac:dyDescent="0.2">
      <c r="A105" s="41" t="s">
        <v>28</v>
      </c>
      <c r="B105" s="41" t="s">
        <v>35</v>
      </c>
      <c r="C105" s="41" t="s">
        <v>39</v>
      </c>
      <c r="D105" s="41" t="s">
        <v>40</v>
      </c>
      <c r="E105" s="41" t="s">
        <v>25</v>
      </c>
      <c r="F105" s="41" t="s">
        <v>25</v>
      </c>
      <c r="G105" s="41" t="s">
        <v>25</v>
      </c>
      <c r="H105" s="41" t="s">
        <v>37</v>
      </c>
      <c r="I105" s="60">
        <v>44562</v>
      </c>
      <c r="J105" s="61">
        <f>EFEITO!$J$105*EFEITO!$Y$105</f>
        <v>0</v>
      </c>
      <c r="K105" s="61">
        <f ca="1">EFEITO!$L$105*EFEITO!$Z$105</f>
        <v>333.49552653147254</v>
      </c>
      <c r="L105" s="61">
        <f>EFEITO!$N$105*EFEITO!$AA$105</f>
        <v>28.699039214585369</v>
      </c>
      <c r="M105" s="61">
        <f>$J$105-EFEITO!$K$105*EFEITO!$Y$105</f>
        <v>0</v>
      </c>
      <c r="N105" s="61">
        <f ca="1">$K$105-EFEITO!$M$105*EFEITO!$Z$105</f>
        <v>0</v>
      </c>
      <c r="O105" s="61">
        <f>$L$105-EFEITO!$O$105*EFEITO!$AA$105</f>
        <v>0</v>
      </c>
      <c r="P105" s="45"/>
      <c r="Q105" s="45"/>
      <c r="R105" s="45"/>
      <c r="S105" s="45"/>
      <c r="T105" s="45"/>
      <c r="U105" s="45"/>
      <c r="V105" s="45"/>
      <c r="W105" s="45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1.25" customHeight="1" x14ac:dyDescent="0.2">
      <c r="A106" s="41" t="s">
        <v>21</v>
      </c>
      <c r="B106" s="41" t="s">
        <v>35</v>
      </c>
      <c r="C106" s="41" t="s">
        <v>39</v>
      </c>
      <c r="D106" s="41" t="s">
        <v>40</v>
      </c>
      <c r="E106" s="41" t="s">
        <v>25</v>
      </c>
      <c r="F106" s="41" t="s">
        <v>25</v>
      </c>
      <c r="G106" s="41" t="s">
        <v>25</v>
      </c>
      <c r="H106" s="41" t="s">
        <v>37</v>
      </c>
      <c r="I106" s="60">
        <v>44593</v>
      </c>
      <c r="J106" s="61">
        <f>EFEITO!$J$106*EFEITO!$Y$106</f>
        <v>0</v>
      </c>
      <c r="K106" s="61">
        <f ca="1">EFEITO!$L$106*EFEITO!$Z$106</f>
        <v>10217.297877912853</v>
      </c>
      <c r="L106" s="61">
        <f>EFEITO!$N$106*EFEITO!$AA$106</f>
        <v>879.25207127972851</v>
      </c>
      <c r="M106" s="61">
        <f>$J$106-EFEITO!$K$106*EFEITO!$Y$106</f>
        <v>0</v>
      </c>
      <c r="N106" s="61">
        <f ca="1">$K$106-EFEITO!$M$106*EFEITO!$Z$106</f>
        <v>0</v>
      </c>
      <c r="O106" s="61">
        <f>$L$106-EFEITO!$O$106*EFEITO!$AA$106</f>
        <v>0</v>
      </c>
      <c r="P106" s="45"/>
      <c r="Q106" s="45"/>
      <c r="R106" s="45"/>
      <c r="S106" s="45"/>
      <c r="T106" s="45"/>
      <c r="U106" s="45"/>
      <c r="V106" s="45"/>
      <c r="W106" s="45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1.25" customHeight="1" x14ac:dyDescent="0.2">
      <c r="A107" s="41" t="s">
        <v>28</v>
      </c>
      <c r="B107" s="41" t="s">
        <v>35</v>
      </c>
      <c r="C107" s="41" t="s">
        <v>39</v>
      </c>
      <c r="D107" s="41" t="s">
        <v>40</v>
      </c>
      <c r="E107" s="41" t="s">
        <v>25</v>
      </c>
      <c r="F107" s="41" t="s">
        <v>25</v>
      </c>
      <c r="G107" s="41" t="s">
        <v>25</v>
      </c>
      <c r="H107" s="41" t="s">
        <v>37</v>
      </c>
      <c r="I107" s="60">
        <v>44593</v>
      </c>
      <c r="J107" s="61">
        <f>EFEITO!$J$107*EFEITO!$Y$107</f>
        <v>0</v>
      </c>
      <c r="K107" s="61">
        <f ca="1">EFEITO!$L$107*EFEITO!$Z$107</f>
        <v>4922.4853402419403</v>
      </c>
      <c r="L107" s="61">
        <f>EFEITO!$N$107*EFEITO!$AA$107</f>
        <v>423.60568155774979</v>
      </c>
      <c r="M107" s="61">
        <f>$J$107-EFEITO!$K$107*EFEITO!$Y$107</f>
        <v>0</v>
      </c>
      <c r="N107" s="61">
        <f ca="1">$K$107-EFEITO!$M$107*EFEITO!$Z$107</f>
        <v>0</v>
      </c>
      <c r="O107" s="61">
        <f>$L$107-EFEITO!$O$107*EFEITO!$AA$107</f>
        <v>0</v>
      </c>
      <c r="P107" s="45"/>
      <c r="Q107" s="45"/>
      <c r="R107" s="45"/>
      <c r="S107" s="45"/>
      <c r="T107" s="45"/>
      <c r="U107" s="45"/>
      <c r="V107" s="45"/>
      <c r="W107" s="45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1.25" customHeight="1" x14ac:dyDescent="0.2">
      <c r="A108" s="41" t="s">
        <v>21</v>
      </c>
      <c r="B108" s="41" t="s">
        <v>35</v>
      </c>
      <c r="C108" s="41" t="s">
        <v>39</v>
      </c>
      <c r="D108" s="41" t="s">
        <v>40</v>
      </c>
      <c r="E108" s="41" t="s">
        <v>25</v>
      </c>
      <c r="F108" s="41" t="s">
        <v>25</v>
      </c>
      <c r="G108" s="41" t="s">
        <v>25</v>
      </c>
      <c r="H108" s="41" t="s">
        <v>37</v>
      </c>
      <c r="I108" s="60">
        <v>44621</v>
      </c>
      <c r="J108" s="61">
        <f>EFEITO!$J$108*EFEITO!$Y$108</f>
        <v>0</v>
      </c>
      <c r="K108" s="61">
        <f ca="1">EFEITO!$L$108*EFEITO!$Z$108</f>
        <v>28867.920988388698</v>
      </c>
      <c r="L108" s="61">
        <f>EFEITO!$N$108*EFEITO!$AA$108</f>
        <v>2484.2360109173283</v>
      </c>
      <c r="M108" s="61">
        <f>$J$108-EFEITO!$K$108*EFEITO!$Y$108</f>
        <v>0</v>
      </c>
      <c r="N108" s="61">
        <f ca="1">$K$108-EFEITO!$M$108*EFEITO!$Z$108</f>
        <v>0</v>
      </c>
      <c r="O108" s="61">
        <f>$L$108-EFEITO!$O$108*EFEITO!$AA$108</f>
        <v>0</v>
      </c>
      <c r="P108" s="45"/>
      <c r="Q108" s="45"/>
      <c r="R108" s="45"/>
      <c r="S108" s="45"/>
      <c r="T108" s="45"/>
      <c r="U108" s="45"/>
      <c r="V108" s="45"/>
      <c r="W108" s="45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1.25" customHeight="1" x14ac:dyDescent="0.2">
      <c r="A109" s="41" t="s">
        <v>28</v>
      </c>
      <c r="B109" s="41" t="s">
        <v>35</v>
      </c>
      <c r="C109" s="41" t="s">
        <v>39</v>
      </c>
      <c r="D109" s="41" t="s">
        <v>40</v>
      </c>
      <c r="E109" s="41" t="s">
        <v>25</v>
      </c>
      <c r="F109" s="41" t="s">
        <v>25</v>
      </c>
      <c r="G109" s="41" t="s">
        <v>25</v>
      </c>
      <c r="H109" s="41" t="s">
        <v>37</v>
      </c>
      <c r="I109" s="60">
        <v>44621</v>
      </c>
      <c r="J109" s="61">
        <f>EFEITO!$J$109*EFEITO!$Y$109</f>
        <v>0</v>
      </c>
      <c r="K109" s="61">
        <f ca="1">EFEITO!$L$109*EFEITO!$Z$109</f>
        <v>5859.0138736522404</v>
      </c>
      <c r="L109" s="61">
        <f>EFEITO!$N$109*EFEITO!$AA$109</f>
        <v>504.19887387268136</v>
      </c>
      <c r="M109" s="61">
        <f>$J$109-EFEITO!$K$109*EFEITO!$Y$109</f>
        <v>0</v>
      </c>
      <c r="N109" s="61">
        <f ca="1">$K$109-EFEITO!$M$109*EFEITO!$Z$109</f>
        <v>0</v>
      </c>
      <c r="O109" s="61">
        <f>$L$109-EFEITO!$O$109*EFEITO!$AA$109</f>
        <v>0</v>
      </c>
      <c r="P109" s="45"/>
      <c r="Q109" s="45"/>
      <c r="R109" s="45"/>
      <c r="S109" s="45"/>
      <c r="T109" s="45"/>
      <c r="U109" s="45"/>
      <c r="V109" s="45"/>
      <c r="W109" s="45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1.25" customHeight="1" x14ac:dyDescent="0.2">
      <c r="A110" s="41" t="s">
        <v>21</v>
      </c>
      <c r="B110" s="41" t="s">
        <v>35</v>
      </c>
      <c r="C110" s="41" t="s">
        <v>39</v>
      </c>
      <c r="D110" s="41" t="s">
        <v>40</v>
      </c>
      <c r="E110" s="41" t="s">
        <v>25</v>
      </c>
      <c r="F110" s="41" t="s">
        <v>25</v>
      </c>
      <c r="G110" s="41" t="s">
        <v>25</v>
      </c>
      <c r="H110" s="41" t="s">
        <v>37</v>
      </c>
      <c r="I110" s="60">
        <v>44652</v>
      </c>
      <c r="J110" s="61">
        <f>EFEITO!$J$110*EFEITO!$Y$110</f>
        <v>0</v>
      </c>
      <c r="K110" s="61">
        <f ca="1">EFEITO!$L$110*EFEITO!$Z$110</f>
        <v>29793.028442123261</v>
      </c>
      <c r="L110" s="61">
        <f>EFEITO!$N$110*EFEITO!$AA$110</f>
        <v>2563.8463594235409</v>
      </c>
      <c r="M110" s="61">
        <f>$J$110-EFEITO!$K$110*EFEITO!$Y$110</f>
        <v>0</v>
      </c>
      <c r="N110" s="61">
        <f ca="1">$K$110-EFEITO!$M$110*EFEITO!$Z$110</f>
        <v>0</v>
      </c>
      <c r="O110" s="61">
        <f>$L$110-EFEITO!$O$110*EFEITO!$AA$110</f>
        <v>0</v>
      </c>
      <c r="P110" s="45"/>
      <c r="Q110" s="45"/>
      <c r="R110" s="45"/>
      <c r="S110" s="45"/>
      <c r="T110" s="45"/>
      <c r="U110" s="45"/>
      <c r="V110" s="45"/>
      <c r="W110" s="45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1.25" customHeight="1" x14ac:dyDescent="0.2">
      <c r="A111" s="41" t="s">
        <v>28</v>
      </c>
      <c r="B111" s="41" t="s">
        <v>35</v>
      </c>
      <c r="C111" s="41" t="s">
        <v>39</v>
      </c>
      <c r="D111" s="41" t="s">
        <v>40</v>
      </c>
      <c r="E111" s="41" t="s">
        <v>25</v>
      </c>
      <c r="F111" s="41" t="s">
        <v>25</v>
      </c>
      <c r="G111" s="41" t="s">
        <v>25</v>
      </c>
      <c r="H111" s="41" t="s">
        <v>37</v>
      </c>
      <c r="I111" s="60">
        <v>44652</v>
      </c>
      <c r="J111" s="61">
        <f>EFEITO!$J$111*EFEITO!$Y$111</f>
        <v>0</v>
      </c>
      <c r="K111" s="61">
        <f ca="1">EFEITO!$L$111*EFEITO!$Z$111</f>
        <v>2743.3433381116338</v>
      </c>
      <c r="L111" s="61">
        <f>EFEITO!$N$111*EFEITO!$AA$111</f>
        <v>236.07908285422624</v>
      </c>
      <c r="M111" s="61">
        <f>$J$111-EFEITO!$K$111*EFEITO!$Y$111</f>
        <v>0</v>
      </c>
      <c r="N111" s="61">
        <f ca="1">$K$111-EFEITO!$M$111*EFEITO!$Z$111</f>
        <v>0</v>
      </c>
      <c r="O111" s="61">
        <f>$L$111-EFEITO!$O$111*EFEITO!$AA$111</f>
        <v>0</v>
      </c>
      <c r="P111" s="45"/>
      <c r="Q111" s="45"/>
      <c r="R111" s="45"/>
      <c r="S111" s="45"/>
      <c r="T111" s="45"/>
      <c r="U111" s="45"/>
      <c r="V111" s="45"/>
      <c r="W111" s="45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1.25" customHeight="1" x14ac:dyDescent="0.2">
      <c r="A112" s="41" t="s">
        <v>21</v>
      </c>
      <c r="B112" s="41" t="s">
        <v>35</v>
      </c>
      <c r="C112" s="41" t="s">
        <v>39</v>
      </c>
      <c r="D112" s="41" t="s">
        <v>40</v>
      </c>
      <c r="E112" s="41" t="s">
        <v>25</v>
      </c>
      <c r="F112" s="41" t="s">
        <v>25</v>
      </c>
      <c r="G112" s="41" t="s">
        <v>25</v>
      </c>
      <c r="H112" s="41" t="s">
        <v>37</v>
      </c>
      <c r="I112" s="60">
        <v>44682</v>
      </c>
      <c r="J112" s="61">
        <f>EFEITO!$J$112*EFEITO!$Y$112</f>
        <v>0</v>
      </c>
      <c r="K112" s="61">
        <f ca="1">EFEITO!$L$112*EFEITO!$Z$112</f>
        <v>13696.158747141846</v>
      </c>
      <c r="L112" s="61">
        <f>EFEITO!$N$112*EFEITO!$AA$112</f>
        <v>1178.6262954154377</v>
      </c>
      <c r="M112" s="61">
        <f>$J$112-EFEITO!$K$112*EFEITO!$Y$112</f>
        <v>0</v>
      </c>
      <c r="N112" s="61">
        <f ca="1">$K$112-EFEITO!$M$112*EFEITO!$Z$112</f>
        <v>0</v>
      </c>
      <c r="O112" s="61">
        <f>$L$112-EFEITO!$O$112*EFEITO!$AA$112</f>
        <v>0</v>
      </c>
      <c r="P112" s="45"/>
      <c r="Q112" s="45"/>
      <c r="R112" s="45"/>
      <c r="S112" s="45"/>
      <c r="T112" s="45"/>
      <c r="U112" s="45"/>
      <c r="V112" s="45"/>
      <c r="W112" s="45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1.25" customHeight="1" x14ac:dyDescent="0.2">
      <c r="A113" s="41" t="s">
        <v>28</v>
      </c>
      <c r="B113" s="41" t="s">
        <v>35</v>
      </c>
      <c r="C113" s="41" t="s">
        <v>39</v>
      </c>
      <c r="D113" s="41" t="s">
        <v>40</v>
      </c>
      <c r="E113" s="41" t="s">
        <v>25</v>
      </c>
      <c r="F113" s="41" t="s">
        <v>25</v>
      </c>
      <c r="G113" s="41" t="s">
        <v>25</v>
      </c>
      <c r="H113" s="41" t="s">
        <v>37</v>
      </c>
      <c r="I113" s="60">
        <v>44682</v>
      </c>
      <c r="J113" s="61">
        <f>EFEITO!$J$113*EFEITO!$Y$113</f>
        <v>0</v>
      </c>
      <c r="K113" s="61">
        <f ca="1">EFEITO!$L$113*EFEITO!$Z$113</f>
        <v>5607.7501207860623</v>
      </c>
      <c r="L113" s="61">
        <f>EFEITO!$N$113*EFEITO!$AA$113</f>
        <v>482.57631008087048</v>
      </c>
      <c r="M113" s="61">
        <f>$J$113-EFEITO!$K$113*EFEITO!$Y$113</f>
        <v>0</v>
      </c>
      <c r="N113" s="61">
        <f ca="1">$K$113-EFEITO!$M$113*EFEITO!$Z$113</f>
        <v>0</v>
      </c>
      <c r="O113" s="61">
        <f>$L$113-EFEITO!$O$113*EFEITO!$AA$113</f>
        <v>0</v>
      </c>
      <c r="P113" s="45"/>
      <c r="Q113" s="45"/>
      <c r="R113" s="45"/>
      <c r="S113" s="45"/>
      <c r="T113" s="45"/>
      <c r="U113" s="45"/>
      <c r="V113" s="45"/>
      <c r="W113" s="45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1.25" customHeight="1" x14ac:dyDescent="0.2">
      <c r="A114" s="41" t="s">
        <v>21</v>
      </c>
      <c r="B114" s="41" t="s">
        <v>35</v>
      </c>
      <c r="C114" s="41" t="s">
        <v>39</v>
      </c>
      <c r="D114" s="41" t="s">
        <v>40</v>
      </c>
      <c r="E114" s="41" t="s">
        <v>25</v>
      </c>
      <c r="F114" s="41" t="s">
        <v>25</v>
      </c>
      <c r="G114" s="41" t="s">
        <v>25</v>
      </c>
      <c r="H114" s="41" t="s">
        <v>37</v>
      </c>
      <c r="I114" s="60">
        <v>44713</v>
      </c>
      <c r="J114" s="61">
        <f>EFEITO!$J$114*EFEITO!$Y$114</f>
        <v>0</v>
      </c>
      <c r="K114" s="61">
        <f ca="1">EFEITO!$L$114*EFEITO!$Z$114</f>
        <v>7304.9225606003374</v>
      </c>
      <c r="L114" s="61">
        <f>EFEITO!$N$114*EFEITO!$AA$114</f>
        <v>628.62690005646584</v>
      </c>
      <c r="M114" s="61">
        <f>$J$114-EFEITO!$K$114*EFEITO!$Y$114</f>
        <v>0</v>
      </c>
      <c r="N114" s="61">
        <f ca="1">$K$114-EFEITO!$M$114*EFEITO!$Z$114</f>
        <v>0</v>
      </c>
      <c r="O114" s="61">
        <f>$L$114-EFEITO!$O$114*EFEITO!$AA$114</f>
        <v>0</v>
      </c>
      <c r="P114" s="45"/>
      <c r="Q114" s="45"/>
      <c r="R114" s="45"/>
      <c r="S114" s="45"/>
      <c r="T114" s="45"/>
      <c r="U114" s="45"/>
      <c r="V114" s="45"/>
      <c r="W114" s="45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1.25" customHeight="1" x14ac:dyDescent="0.2">
      <c r="A115" s="41" t="s">
        <v>28</v>
      </c>
      <c r="B115" s="41" t="s">
        <v>35</v>
      </c>
      <c r="C115" s="41" t="s">
        <v>39</v>
      </c>
      <c r="D115" s="41" t="s">
        <v>40</v>
      </c>
      <c r="E115" s="41" t="s">
        <v>25</v>
      </c>
      <c r="F115" s="41" t="s">
        <v>25</v>
      </c>
      <c r="G115" s="41" t="s">
        <v>25</v>
      </c>
      <c r="H115" s="41" t="s">
        <v>37</v>
      </c>
      <c r="I115" s="60">
        <v>44713</v>
      </c>
      <c r="J115" s="61">
        <f>EFEITO!$J$115*EFEITO!$Y$115</f>
        <v>0</v>
      </c>
      <c r="K115" s="61">
        <f ca="1">EFEITO!$L$115*EFEITO!$Z$115</f>
        <v>1717.7303832305984</v>
      </c>
      <c r="L115" s="61">
        <f>EFEITO!$N$115*EFEITO!$AA$115</f>
        <v>147.81970883128903</v>
      </c>
      <c r="M115" s="61">
        <f>$J$115-EFEITO!$K$115*EFEITO!$Y$115</f>
        <v>0</v>
      </c>
      <c r="N115" s="61">
        <f ca="1">$K$115-EFEITO!$M$115*EFEITO!$Z$115</f>
        <v>0</v>
      </c>
      <c r="O115" s="61">
        <f>$L$115-EFEITO!$O$115*EFEITO!$AA$115</f>
        <v>0</v>
      </c>
      <c r="P115" s="45"/>
      <c r="Q115" s="45"/>
      <c r="R115" s="45"/>
      <c r="S115" s="45"/>
      <c r="T115" s="45"/>
      <c r="U115" s="45"/>
      <c r="V115" s="45"/>
      <c r="W115" s="45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1.25" customHeight="1" x14ac:dyDescent="0.2">
      <c r="A116" s="41" t="s">
        <v>21</v>
      </c>
      <c r="B116" s="41" t="s">
        <v>35</v>
      </c>
      <c r="C116" s="41" t="s">
        <v>39</v>
      </c>
      <c r="D116" s="41" t="s">
        <v>34</v>
      </c>
      <c r="E116" s="41" t="s">
        <v>25</v>
      </c>
      <c r="F116" s="41" t="s">
        <v>25</v>
      </c>
      <c r="G116" s="41" t="s">
        <v>25</v>
      </c>
      <c r="H116" s="41" t="s">
        <v>38</v>
      </c>
      <c r="I116" s="60">
        <v>44378</v>
      </c>
      <c r="J116" s="61">
        <f>EFEITO!$J$116*EFEITO!$Y$116</f>
        <v>0</v>
      </c>
      <c r="K116" s="61">
        <f ca="1">EFEITO!$L$116*EFEITO!$Z$116</f>
        <v>105074.31744380292</v>
      </c>
      <c r="L116" s="61">
        <f>EFEITO!$N$116*EFEITO!$AA$116</f>
        <v>213605.76946158847</v>
      </c>
      <c r="M116" s="61">
        <f>$J$116-EFEITO!$K$116*EFEITO!$Y$116</f>
        <v>0</v>
      </c>
      <c r="N116" s="61">
        <f ca="1">$K$116-EFEITO!$M$116*EFEITO!$Z$116</f>
        <v>0</v>
      </c>
      <c r="O116" s="61">
        <f>$L$116-EFEITO!$O$116*EFEITO!$AA$116</f>
        <v>0</v>
      </c>
      <c r="P116" s="45"/>
      <c r="Q116" s="45"/>
      <c r="R116" s="45"/>
      <c r="S116" s="45"/>
      <c r="T116" s="45"/>
      <c r="U116" s="45"/>
      <c r="V116" s="45"/>
      <c r="W116" s="45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1.25" customHeight="1" x14ac:dyDescent="0.2">
      <c r="A117" s="41" t="s">
        <v>21</v>
      </c>
      <c r="B117" s="41" t="s">
        <v>35</v>
      </c>
      <c r="C117" s="41" t="s">
        <v>39</v>
      </c>
      <c r="D117" s="41" t="s">
        <v>34</v>
      </c>
      <c r="E117" s="41" t="s">
        <v>25</v>
      </c>
      <c r="F117" s="41" t="s">
        <v>25</v>
      </c>
      <c r="G117" s="41" t="s">
        <v>25</v>
      </c>
      <c r="H117" s="41" t="s">
        <v>38</v>
      </c>
      <c r="I117" s="60">
        <v>44409</v>
      </c>
      <c r="J117" s="61">
        <f>EFEITO!$J$117*EFEITO!$Y$117</f>
        <v>0</v>
      </c>
      <c r="K117" s="61">
        <f ca="1">EFEITO!$L$117*EFEITO!$Z$117</f>
        <v>105589.01791621167</v>
      </c>
      <c r="L117" s="61">
        <f>EFEITO!$N$117*EFEITO!$AA$117</f>
        <v>214652.10498035033</v>
      </c>
      <c r="M117" s="61">
        <f>$J$117-EFEITO!$K$117*EFEITO!$Y$117</f>
        <v>0</v>
      </c>
      <c r="N117" s="61">
        <f ca="1">$K$117-EFEITO!$M$117*EFEITO!$Z$117</f>
        <v>0</v>
      </c>
      <c r="O117" s="61">
        <f>$L$117-EFEITO!$O$117*EFEITO!$AA$117</f>
        <v>0</v>
      </c>
      <c r="P117" s="45"/>
      <c r="Q117" s="45"/>
      <c r="R117" s="45"/>
      <c r="S117" s="45"/>
      <c r="T117" s="45"/>
      <c r="U117" s="45"/>
      <c r="V117" s="45"/>
      <c r="W117" s="45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1.25" customHeight="1" x14ac:dyDescent="0.2">
      <c r="A118" s="41" t="s">
        <v>21</v>
      </c>
      <c r="B118" s="41" t="s">
        <v>35</v>
      </c>
      <c r="C118" s="41" t="s">
        <v>39</v>
      </c>
      <c r="D118" s="41" t="s">
        <v>34</v>
      </c>
      <c r="E118" s="41" t="s">
        <v>25</v>
      </c>
      <c r="F118" s="41" t="s">
        <v>25</v>
      </c>
      <c r="G118" s="41" t="s">
        <v>25</v>
      </c>
      <c r="H118" s="41" t="s">
        <v>38</v>
      </c>
      <c r="I118" s="60">
        <v>44440</v>
      </c>
      <c r="J118" s="61">
        <f>EFEITO!$J$118*EFEITO!$Y$118</f>
        <v>0</v>
      </c>
      <c r="K118" s="61">
        <f ca="1">EFEITO!$L$118*EFEITO!$Z$118</f>
        <v>104670.81470636882</v>
      </c>
      <c r="L118" s="61">
        <f>EFEITO!$N$118*EFEITO!$AA$118</f>
        <v>212785.48801883185</v>
      </c>
      <c r="M118" s="61">
        <f>$J$118-EFEITO!$K$118*EFEITO!$Y$118</f>
        <v>0</v>
      </c>
      <c r="N118" s="61">
        <f ca="1">$K$118-EFEITO!$M$118*EFEITO!$Z$118</f>
        <v>0</v>
      </c>
      <c r="O118" s="61">
        <f>$L$118-EFEITO!$O$118*EFEITO!$AA$118</f>
        <v>0</v>
      </c>
      <c r="P118" s="45"/>
      <c r="Q118" s="45"/>
      <c r="R118" s="45"/>
      <c r="S118" s="45"/>
      <c r="T118" s="45"/>
      <c r="U118" s="45"/>
      <c r="V118" s="45"/>
      <c r="W118" s="45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1.25" customHeight="1" x14ac:dyDescent="0.2">
      <c r="A119" s="41" t="s">
        <v>21</v>
      </c>
      <c r="B119" s="41" t="s">
        <v>35</v>
      </c>
      <c r="C119" s="41" t="s">
        <v>39</v>
      </c>
      <c r="D119" s="41" t="s">
        <v>34</v>
      </c>
      <c r="E119" s="41" t="s">
        <v>25</v>
      </c>
      <c r="F119" s="41" t="s">
        <v>25</v>
      </c>
      <c r="G119" s="41" t="s">
        <v>25</v>
      </c>
      <c r="H119" s="41" t="s">
        <v>38</v>
      </c>
      <c r="I119" s="60">
        <v>44470</v>
      </c>
      <c r="J119" s="61">
        <f>EFEITO!$J$119*EFEITO!$Y$119</f>
        <v>0</v>
      </c>
      <c r="K119" s="61">
        <f ca="1">EFEITO!$L$119*EFEITO!$Z$119</f>
        <v>102217.50259178027</v>
      </c>
      <c r="L119" s="61">
        <f>EFEITO!$N$119*EFEITO!$AA$119</f>
        <v>207798.1453958698</v>
      </c>
      <c r="M119" s="61">
        <f>$J$119-EFEITO!$K$119*EFEITO!$Y$119</f>
        <v>0</v>
      </c>
      <c r="N119" s="61">
        <f ca="1">$K$119-EFEITO!$M$119*EFEITO!$Z$119</f>
        <v>0</v>
      </c>
      <c r="O119" s="61">
        <f>$L$119-EFEITO!$O$119*EFEITO!$AA$119</f>
        <v>0</v>
      </c>
      <c r="P119" s="45"/>
      <c r="Q119" s="45"/>
      <c r="R119" s="45"/>
      <c r="S119" s="45"/>
      <c r="T119" s="45"/>
      <c r="U119" s="45"/>
      <c r="V119" s="45"/>
      <c r="W119" s="45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1.25" customHeight="1" x14ac:dyDescent="0.2">
      <c r="A120" s="41" t="s">
        <v>21</v>
      </c>
      <c r="B120" s="41" t="s">
        <v>35</v>
      </c>
      <c r="C120" s="41" t="s">
        <v>39</v>
      </c>
      <c r="D120" s="41" t="s">
        <v>34</v>
      </c>
      <c r="E120" s="41" t="s">
        <v>25</v>
      </c>
      <c r="F120" s="41" t="s">
        <v>25</v>
      </c>
      <c r="G120" s="41" t="s">
        <v>25</v>
      </c>
      <c r="H120" s="41" t="s">
        <v>38</v>
      </c>
      <c r="I120" s="60">
        <v>44501</v>
      </c>
      <c r="J120" s="61">
        <f>EFEITO!$J$120*EFEITO!$Y$120</f>
        <v>0</v>
      </c>
      <c r="K120" s="61">
        <f ca="1">EFEITO!$L$120*EFEITO!$Z$120</f>
        <v>92069.984072724023</v>
      </c>
      <c r="L120" s="61">
        <f>EFEITO!$N$120*EFEITO!$AA$120</f>
        <v>187169.23669467348</v>
      </c>
      <c r="M120" s="61">
        <f>$J$120-EFEITO!$K$120*EFEITO!$Y$120</f>
        <v>0</v>
      </c>
      <c r="N120" s="61">
        <f ca="1">$K$120-EFEITO!$M$120*EFEITO!$Z$120</f>
        <v>0</v>
      </c>
      <c r="O120" s="61">
        <f>$L$120-EFEITO!$O$120*EFEITO!$AA$120</f>
        <v>0</v>
      </c>
      <c r="P120" s="45"/>
      <c r="Q120" s="45"/>
      <c r="R120" s="45"/>
      <c r="S120" s="45"/>
      <c r="T120" s="45"/>
      <c r="U120" s="45"/>
      <c r="V120" s="45"/>
      <c r="W120" s="45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1.25" customHeight="1" x14ac:dyDescent="0.2">
      <c r="A121" s="41" t="s">
        <v>21</v>
      </c>
      <c r="B121" s="41" t="s">
        <v>35</v>
      </c>
      <c r="C121" s="41" t="s">
        <v>39</v>
      </c>
      <c r="D121" s="41" t="s">
        <v>34</v>
      </c>
      <c r="E121" s="41" t="s">
        <v>25</v>
      </c>
      <c r="F121" s="41" t="s">
        <v>25</v>
      </c>
      <c r="G121" s="41" t="s">
        <v>25</v>
      </c>
      <c r="H121" s="41" t="s">
        <v>38</v>
      </c>
      <c r="I121" s="60">
        <v>44531</v>
      </c>
      <c r="J121" s="61">
        <f>EFEITO!$J$121*EFEITO!$Y$121</f>
        <v>0</v>
      </c>
      <c r="K121" s="61">
        <f ca="1">EFEITO!$L$121*EFEITO!$Z$121</f>
        <v>100376.84165006074</v>
      </c>
      <c r="L121" s="61">
        <f>EFEITO!$N$121*EFEITO!$AA$121</f>
        <v>204056.26244731602</v>
      </c>
      <c r="M121" s="61">
        <f>$J$121-EFEITO!$K$121*EFEITO!$Y$121</f>
        <v>0</v>
      </c>
      <c r="N121" s="61">
        <f ca="1">$K$121-EFEITO!$M$121*EFEITO!$Z$121</f>
        <v>0</v>
      </c>
      <c r="O121" s="61">
        <f>$L$121-EFEITO!$O$121*EFEITO!$AA$121</f>
        <v>0</v>
      </c>
      <c r="P121" s="45"/>
      <c r="Q121" s="45"/>
      <c r="R121" s="45"/>
      <c r="S121" s="45"/>
      <c r="T121" s="45"/>
      <c r="U121" s="45"/>
      <c r="V121" s="45"/>
      <c r="W121" s="45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1.25" customHeight="1" x14ac:dyDescent="0.2">
      <c r="A122" s="41" t="s">
        <v>21</v>
      </c>
      <c r="B122" s="41" t="s">
        <v>35</v>
      </c>
      <c r="C122" s="41" t="s">
        <v>39</v>
      </c>
      <c r="D122" s="41" t="s">
        <v>34</v>
      </c>
      <c r="E122" s="41" t="s">
        <v>25</v>
      </c>
      <c r="F122" s="41" t="s">
        <v>25</v>
      </c>
      <c r="G122" s="41" t="s">
        <v>25</v>
      </c>
      <c r="H122" s="41" t="s">
        <v>38</v>
      </c>
      <c r="I122" s="60">
        <v>44562</v>
      </c>
      <c r="J122" s="61">
        <f>EFEITO!$J$122*EFEITO!$Y$122</f>
        <v>0</v>
      </c>
      <c r="K122" s="61">
        <f ca="1">EFEITO!$L$122*EFEITO!$Z$122</f>
        <v>101156.28942539176</v>
      </c>
      <c r="L122" s="61">
        <f>EFEITO!$N$122*EFEITO!$AA$122</f>
        <v>205640.80323573231</v>
      </c>
      <c r="M122" s="61">
        <f>$J$122-EFEITO!$K$122*EFEITO!$Y$122</f>
        <v>0</v>
      </c>
      <c r="N122" s="61">
        <f ca="1">$K$122-EFEITO!$M$122*EFEITO!$Z$122</f>
        <v>0</v>
      </c>
      <c r="O122" s="61">
        <f>$L$122-EFEITO!$O$122*EFEITO!$AA$122</f>
        <v>0</v>
      </c>
      <c r="P122" s="45"/>
      <c r="Q122" s="45"/>
      <c r="R122" s="45"/>
      <c r="S122" s="45"/>
      <c r="T122" s="45"/>
      <c r="U122" s="45"/>
      <c r="V122" s="45"/>
      <c r="W122" s="45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1.25" customHeight="1" x14ac:dyDescent="0.2">
      <c r="A123" s="41" t="s">
        <v>21</v>
      </c>
      <c r="B123" s="41" t="s">
        <v>35</v>
      </c>
      <c r="C123" s="41" t="s">
        <v>39</v>
      </c>
      <c r="D123" s="41" t="s">
        <v>34</v>
      </c>
      <c r="E123" s="41" t="s">
        <v>25</v>
      </c>
      <c r="F123" s="41" t="s">
        <v>25</v>
      </c>
      <c r="G123" s="41" t="s">
        <v>25</v>
      </c>
      <c r="H123" s="41" t="s">
        <v>38</v>
      </c>
      <c r="I123" s="60">
        <v>44593</v>
      </c>
      <c r="J123" s="61">
        <f>EFEITO!$J$123*EFEITO!$Y$123</f>
        <v>0</v>
      </c>
      <c r="K123" s="61">
        <f ca="1">EFEITO!$L$123*EFEITO!$Z$123</f>
        <v>99029.608570580909</v>
      </c>
      <c r="L123" s="61">
        <f>EFEITO!$N$123*EFEITO!$AA$123</f>
        <v>201317.46988994058</v>
      </c>
      <c r="M123" s="61">
        <f>$J$123-EFEITO!$K$123*EFEITO!$Y$123</f>
        <v>0</v>
      </c>
      <c r="N123" s="61">
        <f ca="1">$K$123-EFEITO!$M$123*EFEITO!$Z$123</f>
        <v>0</v>
      </c>
      <c r="O123" s="61">
        <f>$L$123-EFEITO!$O$123*EFEITO!$AA$123</f>
        <v>0</v>
      </c>
      <c r="P123" s="45"/>
      <c r="Q123" s="45"/>
      <c r="R123" s="45"/>
      <c r="S123" s="45"/>
      <c r="T123" s="45"/>
      <c r="U123" s="45"/>
      <c r="V123" s="45"/>
      <c r="W123" s="45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1.25" customHeight="1" x14ac:dyDescent="0.2">
      <c r="A124" s="41" t="s">
        <v>21</v>
      </c>
      <c r="B124" s="41" t="s">
        <v>35</v>
      </c>
      <c r="C124" s="41" t="s">
        <v>39</v>
      </c>
      <c r="D124" s="41" t="s">
        <v>34</v>
      </c>
      <c r="E124" s="41" t="s">
        <v>25</v>
      </c>
      <c r="F124" s="41" t="s">
        <v>25</v>
      </c>
      <c r="G124" s="41" t="s">
        <v>25</v>
      </c>
      <c r="H124" s="41" t="s">
        <v>38</v>
      </c>
      <c r="I124" s="60">
        <v>44621</v>
      </c>
      <c r="J124" s="61">
        <f>EFEITO!$J$124*EFEITO!$Y$124</f>
        <v>0</v>
      </c>
      <c r="K124" s="61">
        <f ca="1">EFEITO!$L$124*EFEITO!$Z$124</f>
        <v>109306.89001166845</v>
      </c>
      <c r="L124" s="61">
        <f>EFEITO!$N$124*EFEITO!$AA$124</f>
        <v>222210.17386939697</v>
      </c>
      <c r="M124" s="61">
        <f>$J$124-EFEITO!$K$124*EFEITO!$Y$124</f>
        <v>0</v>
      </c>
      <c r="N124" s="61">
        <f ca="1">$K$124-EFEITO!$M$124*EFEITO!$Z$124</f>
        <v>0</v>
      </c>
      <c r="O124" s="61">
        <f>$L$124-EFEITO!$O$124*EFEITO!$AA$124</f>
        <v>0</v>
      </c>
      <c r="P124" s="45"/>
      <c r="Q124" s="45"/>
      <c r="R124" s="45"/>
      <c r="S124" s="45"/>
      <c r="T124" s="45"/>
      <c r="U124" s="45"/>
      <c r="V124" s="45"/>
      <c r="W124" s="45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1.25" customHeight="1" x14ac:dyDescent="0.2">
      <c r="A125" s="41" t="s">
        <v>21</v>
      </c>
      <c r="B125" s="41" t="s">
        <v>35</v>
      </c>
      <c r="C125" s="41" t="s">
        <v>39</v>
      </c>
      <c r="D125" s="41" t="s">
        <v>34</v>
      </c>
      <c r="E125" s="41" t="s">
        <v>25</v>
      </c>
      <c r="F125" s="41" t="s">
        <v>25</v>
      </c>
      <c r="G125" s="41" t="s">
        <v>25</v>
      </c>
      <c r="H125" s="41" t="s">
        <v>38</v>
      </c>
      <c r="I125" s="60">
        <v>44652</v>
      </c>
      <c r="J125" s="61">
        <f>EFEITO!$J$125*EFEITO!$Y$125</f>
        <v>0</v>
      </c>
      <c r="K125" s="61">
        <f ca="1">EFEITO!$L$125*EFEITO!$Z$125</f>
        <v>96574.652663388406</v>
      </c>
      <c r="L125" s="61">
        <f>EFEITO!$N$125*EFEITO!$AA$125</f>
        <v>196326.78559802889</v>
      </c>
      <c r="M125" s="61">
        <f>$J$125-EFEITO!$K$125*EFEITO!$Y$125</f>
        <v>0</v>
      </c>
      <c r="N125" s="61">
        <f ca="1">$K$125-EFEITO!$M$125*EFEITO!$Z$125</f>
        <v>0</v>
      </c>
      <c r="O125" s="61">
        <f>$L$125-EFEITO!$O$125*EFEITO!$AA$125</f>
        <v>0</v>
      </c>
      <c r="P125" s="45"/>
      <c r="Q125" s="45"/>
      <c r="R125" s="45"/>
      <c r="S125" s="45"/>
      <c r="T125" s="45"/>
      <c r="U125" s="45"/>
      <c r="V125" s="45"/>
      <c r="W125" s="45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1.25" customHeight="1" x14ac:dyDescent="0.2">
      <c r="A126" s="41" t="s">
        <v>21</v>
      </c>
      <c r="B126" s="41" t="s">
        <v>35</v>
      </c>
      <c r="C126" s="41" t="s">
        <v>39</v>
      </c>
      <c r="D126" s="41" t="s">
        <v>34</v>
      </c>
      <c r="E126" s="41" t="s">
        <v>25</v>
      </c>
      <c r="F126" s="41" t="s">
        <v>25</v>
      </c>
      <c r="G126" s="41" t="s">
        <v>25</v>
      </c>
      <c r="H126" s="41" t="s">
        <v>38</v>
      </c>
      <c r="I126" s="60">
        <v>44682</v>
      </c>
      <c r="J126" s="61">
        <f>EFEITO!$J$126*EFEITO!$Y$126</f>
        <v>0</v>
      </c>
      <c r="K126" s="61">
        <f ca="1">EFEITO!$L$126*EFEITO!$Z$126</f>
        <v>98260.603712969285</v>
      </c>
      <c r="L126" s="61">
        <f>EFEITO!$N$126*EFEITO!$AA$126</f>
        <v>199754.15852779266</v>
      </c>
      <c r="M126" s="61">
        <f>$J$126-EFEITO!$K$126*EFEITO!$Y$126</f>
        <v>0</v>
      </c>
      <c r="N126" s="61">
        <f ca="1">$K$126-EFEITO!$M$126*EFEITO!$Z$126</f>
        <v>0</v>
      </c>
      <c r="O126" s="61">
        <f>$L$126-EFEITO!$O$126*EFEITO!$AA$126</f>
        <v>0</v>
      </c>
      <c r="P126" s="45"/>
      <c r="Q126" s="45"/>
      <c r="R126" s="45"/>
      <c r="S126" s="45"/>
      <c r="T126" s="45"/>
      <c r="U126" s="45"/>
      <c r="V126" s="45"/>
      <c r="W126" s="45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1.25" customHeight="1" x14ac:dyDescent="0.2">
      <c r="A127" s="41" t="s">
        <v>21</v>
      </c>
      <c r="B127" s="41" t="s">
        <v>35</v>
      </c>
      <c r="C127" s="41" t="s">
        <v>39</v>
      </c>
      <c r="D127" s="41" t="s">
        <v>34</v>
      </c>
      <c r="E127" s="41" t="s">
        <v>25</v>
      </c>
      <c r="F127" s="41" t="s">
        <v>25</v>
      </c>
      <c r="G127" s="41" t="s">
        <v>25</v>
      </c>
      <c r="H127" s="41" t="s">
        <v>38</v>
      </c>
      <c r="I127" s="60">
        <v>44713</v>
      </c>
      <c r="J127" s="61">
        <f>EFEITO!$J$127*EFEITO!$Y$127</f>
        <v>0</v>
      </c>
      <c r="K127" s="61">
        <f ca="1">EFEITO!$L$127*EFEITO!$Z$127</f>
        <v>89877.938288484598</v>
      </c>
      <c r="L127" s="61">
        <f>EFEITO!$N$127*EFEITO!$AA$127</f>
        <v>182713.022865943</v>
      </c>
      <c r="M127" s="61">
        <f>$J$127-EFEITO!$K$127*EFEITO!$Y$127</f>
        <v>0</v>
      </c>
      <c r="N127" s="61">
        <f ca="1">$K$127-EFEITO!$M$127*EFEITO!$Z$127</f>
        <v>0</v>
      </c>
      <c r="O127" s="61">
        <f>$L$127-EFEITO!$O$127*EFEITO!$AA$127</f>
        <v>0</v>
      </c>
      <c r="P127" s="45"/>
      <c r="Q127" s="45"/>
      <c r="R127" s="45"/>
      <c r="S127" s="45"/>
      <c r="T127" s="45"/>
      <c r="U127" s="45"/>
      <c r="V127" s="45"/>
      <c r="W127" s="45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1.25" customHeight="1" x14ac:dyDescent="0.2">
      <c r="A128" s="41" t="s">
        <v>21</v>
      </c>
      <c r="B128" s="41" t="s">
        <v>35</v>
      </c>
      <c r="C128" s="41" t="s">
        <v>39</v>
      </c>
      <c r="D128" s="41" t="s">
        <v>34</v>
      </c>
      <c r="E128" s="41" t="s">
        <v>25</v>
      </c>
      <c r="F128" s="41" t="s">
        <v>25</v>
      </c>
      <c r="G128" s="41" t="s">
        <v>25</v>
      </c>
      <c r="H128" s="41" t="s">
        <v>25</v>
      </c>
      <c r="I128" s="60">
        <v>44378</v>
      </c>
      <c r="J128" s="61">
        <f ca="1">EFEITO!$J$128*EFEITO!$Y$128</f>
        <v>181402.12032663543</v>
      </c>
      <c r="K128" s="61">
        <f>EFEITO!$L$128*EFEITO!$Z$128</f>
        <v>0</v>
      </c>
      <c r="L128" s="61">
        <f>EFEITO!$N$128*EFEITO!$AA$128</f>
        <v>0</v>
      </c>
      <c r="M128" s="61">
        <f ca="1">$J$128-EFEITO!$K$128*EFEITO!$Y$128</f>
        <v>0</v>
      </c>
      <c r="N128" s="61">
        <f>$K$128-EFEITO!$M$128*EFEITO!$Z$128</f>
        <v>0</v>
      </c>
      <c r="O128" s="61">
        <f>$L$128-EFEITO!$O$128*EFEITO!$AA$128</f>
        <v>0</v>
      </c>
      <c r="P128" s="45"/>
      <c r="Q128" s="45"/>
      <c r="R128" s="45"/>
      <c r="S128" s="45"/>
      <c r="T128" s="45"/>
      <c r="U128" s="45"/>
      <c r="V128" s="45"/>
      <c r="W128" s="45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1.25" customHeight="1" x14ac:dyDescent="0.2">
      <c r="A129" s="41" t="s">
        <v>21</v>
      </c>
      <c r="B129" s="41" t="s">
        <v>35</v>
      </c>
      <c r="C129" s="41" t="s">
        <v>39</v>
      </c>
      <c r="D129" s="41" t="s">
        <v>34</v>
      </c>
      <c r="E129" s="41" t="s">
        <v>25</v>
      </c>
      <c r="F129" s="41" t="s">
        <v>25</v>
      </c>
      <c r="G129" s="41" t="s">
        <v>25</v>
      </c>
      <c r="H129" s="41" t="s">
        <v>25</v>
      </c>
      <c r="I129" s="60">
        <v>44409</v>
      </c>
      <c r="J129" s="61">
        <f ca="1">EFEITO!$J$129*EFEITO!$Y$129</f>
        <v>175648.94256560528</v>
      </c>
      <c r="K129" s="61">
        <f>EFEITO!$L$129*EFEITO!$Z$129</f>
        <v>0</v>
      </c>
      <c r="L129" s="61">
        <f>EFEITO!$N$129*EFEITO!$AA$129</f>
        <v>0</v>
      </c>
      <c r="M129" s="61">
        <f ca="1">$J$129-EFEITO!$K$129*EFEITO!$Y$129</f>
        <v>0</v>
      </c>
      <c r="N129" s="61">
        <f>$K$129-EFEITO!$M$129*EFEITO!$Z$129</f>
        <v>0</v>
      </c>
      <c r="O129" s="61">
        <f>$L$129-EFEITO!$O$129*EFEITO!$AA$129</f>
        <v>0</v>
      </c>
      <c r="P129" s="45"/>
      <c r="Q129" s="45"/>
      <c r="R129" s="45"/>
      <c r="S129" s="45"/>
      <c r="T129" s="45"/>
      <c r="U129" s="45"/>
      <c r="V129" s="45"/>
      <c r="W129" s="45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1.25" customHeight="1" x14ac:dyDescent="0.2">
      <c r="A130" s="41" t="s">
        <v>27</v>
      </c>
      <c r="B130" s="41" t="s">
        <v>35</v>
      </c>
      <c r="C130" s="41" t="s">
        <v>39</v>
      </c>
      <c r="D130" s="41" t="s">
        <v>34</v>
      </c>
      <c r="E130" s="41" t="s">
        <v>25</v>
      </c>
      <c r="F130" s="41" t="s">
        <v>25</v>
      </c>
      <c r="G130" s="41" t="s">
        <v>25</v>
      </c>
      <c r="H130" s="41" t="s">
        <v>25</v>
      </c>
      <c r="I130" s="60">
        <v>44409</v>
      </c>
      <c r="J130" s="61">
        <f ca="1">EFEITO!$J$130*EFEITO!$Y$130</f>
        <v>-4735.3078494632819</v>
      </c>
      <c r="K130" s="61">
        <f>EFEITO!$L$130*EFEITO!$Z$130</f>
        <v>0</v>
      </c>
      <c r="L130" s="61">
        <f>EFEITO!$N$130*EFEITO!$AA$130</f>
        <v>0</v>
      </c>
      <c r="M130" s="61">
        <f ca="1">$J$130-EFEITO!$K$130*EFEITO!$Y$130</f>
        <v>0</v>
      </c>
      <c r="N130" s="61">
        <f>$K$130-EFEITO!$M$130*EFEITO!$Z$130</f>
        <v>0</v>
      </c>
      <c r="O130" s="61">
        <f>$L$130-EFEITO!$O$130*EFEITO!$AA$130</f>
        <v>0</v>
      </c>
      <c r="P130" s="45"/>
      <c r="Q130" s="45"/>
      <c r="R130" s="45"/>
      <c r="S130" s="45"/>
      <c r="T130" s="45"/>
      <c r="U130" s="45"/>
      <c r="V130" s="45"/>
      <c r="W130" s="45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1.25" customHeight="1" x14ac:dyDescent="0.2">
      <c r="A131" s="41" t="s">
        <v>21</v>
      </c>
      <c r="B131" s="41" t="s">
        <v>35</v>
      </c>
      <c r="C131" s="41" t="s">
        <v>39</v>
      </c>
      <c r="D131" s="41" t="s">
        <v>34</v>
      </c>
      <c r="E131" s="41" t="s">
        <v>25</v>
      </c>
      <c r="F131" s="41" t="s">
        <v>25</v>
      </c>
      <c r="G131" s="41" t="s">
        <v>25</v>
      </c>
      <c r="H131" s="41" t="s">
        <v>25</v>
      </c>
      <c r="I131" s="60">
        <v>44440</v>
      </c>
      <c r="J131" s="61">
        <f ca="1">EFEITO!$J$131*EFEITO!$Y$131</f>
        <v>176843.83333135769</v>
      </c>
      <c r="K131" s="61">
        <f>EFEITO!$L$131*EFEITO!$Z$131</f>
        <v>0</v>
      </c>
      <c r="L131" s="61">
        <f>EFEITO!$N$131*EFEITO!$AA$131</f>
        <v>0</v>
      </c>
      <c r="M131" s="61">
        <f ca="1">$J$131-EFEITO!$K$131*EFEITO!$Y$131</f>
        <v>0</v>
      </c>
      <c r="N131" s="61">
        <f>$K$131-EFEITO!$M$131*EFEITO!$Z$131</f>
        <v>0</v>
      </c>
      <c r="O131" s="61">
        <f>$L$131-EFEITO!$O$131*EFEITO!$AA$131</f>
        <v>0</v>
      </c>
      <c r="P131" s="45"/>
      <c r="Q131" s="45"/>
      <c r="R131" s="45"/>
      <c r="S131" s="45"/>
      <c r="T131" s="45"/>
      <c r="U131" s="45"/>
      <c r="V131" s="45"/>
      <c r="W131" s="45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1.25" customHeight="1" x14ac:dyDescent="0.2">
      <c r="A132" s="41" t="s">
        <v>21</v>
      </c>
      <c r="B132" s="41" t="s">
        <v>35</v>
      </c>
      <c r="C132" s="41" t="s">
        <v>39</v>
      </c>
      <c r="D132" s="41" t="s">
        <v>34</v>
      </c>
      <c r="E132" s="41" t="s">
        <v>25</v>
      </c>
      <c r="F132" s="41" t="s">
        <v>25</v>
      </c>
      <c r="G132" s="41" t="s">
        <v>25</v>
      </c>
      <c r="H132" s="41" t="s">
        <v>25</v>
      </c>
      <c r="I132" s="60">
        <v>44470</v>
      </c>
      <c r="J132" s="61">
        <f ca="1">EFEITO!$J$132*EFEITO!$Y$132</f>
        <v>174763.83829467755</v>
      </c>
      <c r="K132" s="61">
        <f>EFEITO!$L$132*EFEITO!$Z$132</f>
        <v>0</v>
      </c>
      <c r="L132" s="61">
        <f>EFEITO!$N$132*EFEITO!$AA$132</f>
        <v>0</v>
      </c>
      <c r="M132" s="61">
        <f ca="1">$J$132-EFEITO!$K$132*EFEITO!$Y$132</f>
        <v>0</v>
      </c>
      <c r="N132" s="61">
        <f>$K$132-EFEITO!$M$132*EFEITO!$Z$132</f>
        <v>0</v>
      </c>
      <c r="O132" s="61">
        <f>$L$132-EFEITO!$O$132*EFEITO!$AA$132</f>
        <v>0</v>
      </c>
      <c r="P132" s="45"/>
      <c r="Q132" s="45"/>
      <c r="R132" s="45"/>
      <c r="S132" s="45"/>
      <c r="T132" s="45"/>
      <c r="U132" s="45"/>
      <c r="V132" s="45"/>
      <c r="W132" s="45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1.25" customHeight="1" x14ac:dyDescent="0.2">
      <c r="A133" s="41" t="s">
        <v>21</v>
      </c>
      <c r="B133" s="41" t="s">
        <v>35</v>
      </c>
      <c r="C133" s="41" t="s">
        <v>39</v>
      </c>
      <c r="D133" s="41" t="s">
        <v>34</v>
      </c>
      <c r="E133" s="41" t="s">
        <v>25</v>
      </c>
      <c r="F133" s="41" t="s">
        <v>25</v>
      </c>
      <c r="G133" s="41" t="s">
        <v>25</v>
      </c>
      <c r="H133" s="41" t="s">
        <v>25</v>
      </c>
      <c r="I133" s="60">
        <v>44501</v>
      </c>
      <c r="J133" s="61">
        <f ca="1">EFEITO!$J$133*EFEITO!$Y$133</f>
        <v>176180.00512816192</v>
      </c>
      <c r="K133" s="61">
        <f>EFEITO!$L$133*EFEITO!$Z$133</f>
        <v>0</v>
      </c>
      <c r="L133" s="61">
        <f>EFEITO!$N$133*EFEITO!$AA$133</f>
        <v>0</v>
      </c>
      <c r="M133" s="61">
        <f ca="1">$J$133-EFEITO!$K$133*EFEITO!$Y$133</f>
        <v>0</v>
      </c>
      <c r="N133" s="61">
        <f>$K$133-EFEITO!$M$133*EFEITO!$Z$133</f>
        <v>0</v>
      </c>
      <c r="O133" s="61">
        <f>$L$133-EFEITO!$O$133*EFEITO!$AA$133</f>
        <v>0</v>
      </c>
      <c r="P133" s="45"/>
      <c r="Q133" s="45"/>
      <c r="R133" s="45"/>
      <c r="S133" s="45"/>
      <c r="T133" s="45"/>
      <c r="U133" s="45"/>
      <c r="V133" s="45"/>
      <c r="W133" s="45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1.25" customHeight="1" x14ac:dyDescent="0.2">
      <c r="A134" s="41" t="s">
        <v>21</v>
      </c>
      <c r="B134" s="41" t="s">
        <v>35</v>
      </c>
      <c r="C134" s="41" t="s">
        <v>39</v>
      </c>
      <c r="D134" s="41" t="s">
        <v>34</v>
      </c>
      <c r="E134" s="41" t="s">
        <v>25</v>
      </c>
      <c r="F134" s="41" t="s">
        <v>25</v>
      </c>
      <c r="G134" s="41" t="s">
        <v>25</v>
      </c>
      <c r="H134" s="41" t="s">
        <v>25</v>
      </c>
      <c r="I134" s="60">
        <v>44531</v>
      </c>
      <c r="J134" s="61">
        <f ca="1">EFEITO!$J$134*EFEITO!$Y$134</f>
        <v>180384.25041506856</v>
      </c>
      <c r="K134" s="61">
        <f>EFEITO!$L$134*EFEITO!$Z$134</f>
        <v>0</v>
      </c>
      <c r="L134" s="61">
        <f>EFEITO!$N$134*EFEITO!$AA$134</f>
        <v>0</v>
      </c>
      <c r="M134" s="61">
        <f ca="1">$J$134-EFEITO!$K$134*EFEITO!$Y$134</f>
        <v>0</v>
      </c>
      <c r="N134" s="61">
        <f>$K$134-EFEITO!$M$134*EFEITO!$Z$134</f>
        <v>0</v>
      </c>
      <c r="O134" s="61">
        <f>$L$134-EFEITO!$O$134*EFEITO!$AA$134</f>
        <v>0</v>
      </c>
      <c r="P134" s="45"/>
      <c r="Q134" s="45"/>
      <c r="R134" s="45"/>
      <c r="S134" s="45"/>
      <c r="T134" s="45"/>
      <c r="U134" s="45"/>
      <c r="V134" s="45"/>
      <c r="W134" s="45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1.25" customHeight="1" x14ac:dyDescent="0.2">
      <c r="A135" s="41" t="s">
        <v>21</v>
      </c>
      <c r="B135" s="41" t="s">
        <v>35</v>
      </c>
      <c r="C135" s="41" t="s">
        <v>39</v>
      </c>
      <c r="D135" s="41" t="s">
        <v>34</v>
      </c>
      <c r="E135" s="41" t="s">
        <v>25</v>
      </c>
      <c r="F135" s="41" t="s">
        <v>25</v>
      </c>
      <c r="G135" s="41" t="s">
        <v>25</v>
      </c>
      <c r="H135" s="41" t="s">
        <v>25</v>
      </c>
      <c r="I135" s="60">
        <v>44562</v>
      </c>
      <c r="J135" s="61">
        <f ca="1">EFEITO!$J$135*EFEITO!$Y$135</f>
        <v>173834.47881020347</v>
      </c>
      <c r="K135" s="61">
        <f>EFEITO!$L$135*EFEITO!$Z$135</f>
        <v>0</v>
      </c>
      <c r="L135" s="61">
        <f>EFEITO!$N$135*EFEITO!$AA$135</f>
        <v>0</v>
      </c>
      <c r="M135" s="61">
        <f ca="1">$J$135-EFEITO!$K$135*EFEITO!$Y$135</f>
        <v>0</v>
      </c>
      <c r="N135" s="61">
        <f>$K$135-EFEITO!$M$135*EFEITO!$Z$135</f>
        <v>0</v>
      </c>
      <c r="O135" s="61">
        <f>$L$135-EFEITO!$O$135*EFEITO!$AA$135</f>
        <v>0</v>
      </c>
      <c r="P135" s="45"/>
      <c r="Q135" s="45"/>
      <c r="R135" s="45"/>
      <c r="S135" s="45"/>
      <c r="T135" s="45"/>
      <c r="U135" s="45"/>
      <c r="V135" s="45"/>
      <c r="W135" s="45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1.25" customHeight="1" x14ac:dyDescent="0.2">
      <c r="A136" s="41" t="s">
        <v>21</v>
      </c>
      <c r="B136" s="41" t="s">
        <v>35</v>
      </c>
      <c r="C136" s="41" t="s">
        <v>39</v>
      </c>
      <c r="D136" s="41" t="s">
        <v>34</v>
      </c>
      <c r="E136" s="41" t="s">
        <v>25</v>
      </c>
      <c r="F136" s="41" t="s">
        <v>25</v>
      </c>
      <c r="G136" s="41" t="s">
        <v>25</v>
      </c>
      <c r="H136" s="41" t="s">
        <v>25</v>
      </c>
      <c r="I136" s="60">
        <v>44593</v>
      </c>
      <c r="J136" s="61">
        <f ca="1">EFEITO!$J$136*EFEITO!$Y$136</f>
        <v>178968.08358158421</v>
      </c>
      <c r="K136" s="61">
        <f>EFEITO!$L$136*EFEITO!$Z$136</f>
        <v>0</v>
      </c>
      <c r="L136" s="61">
        <f>EFEITO!$N$136*EFEITO!$AA$136</f>
        <v>0</v>
      </c>
      <c r="M136" s="61">
        <f ca="1">$J$136-EFEITO!$K$136*EFEITO!$Y$136</f>
        <v>0</v>
      </c>
      <c r="N136" s="61">
        <f>$K$136-EFEITO!$M$136*EFEITO!$Z$136</f>
        <v>0</v>
      </c>
      <c r="O136" s="61">
        <f>$L$136-EFEITO!$O$136*EFEITO!$AA$136</f>
        <v>0</v>
      </c>
      <c r="P136" s="45"/>
      <c r="Q136" s="45"/>
      <c r="R136" s="45"/>
      <c r="S136" s="45"/>
      <c r="T136" s="45"/>
      <c r="U136" s="45"/>
      <c r="V136" s="45"/>
      <c r="W136" s="45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1.25" customHeight="1" x14ac:dyDescent="0.2">
      <c r="A137" s="41" t="s">
        <v>21</v>
      </c>
      <c r="B137" s="41" t="s">
        <v>35</v>
      </c>
      <c r="C137" s="41" t="s">
        <v>39</v>
      </c>
      <c r="D137" s="41" t="s">
        <v>34</v>
      </c>
      <c r="E137" s="41" t="s">
        <v>25</v>
      </c>
      <c r="F137" s="41" t="s">
        <v>25</v>
      </c>
      <c r="G137" s="41" t="s">
        <v>25</v>
      </c>
      <c r="H137" s="41" t="s">
        <v>25</v>
      </c>
      <c r="I137" s="60">
        <v>44621</v>
      </c>
      <c r="J137" s="61">
        <f ca="1">EFEITO!$J$137*EFEITO!$Y$137</f>
        <v>185385.08954581016</v>
      </c>
      <c r="K137" s="61">
        <f>EFEITO!$L$137*EFEITO!$Z$137</f>
        <v>0</v>
      </c>
      <c r="L137" s="61">
        <f>EFEITO!$N$137*EFEITO!$AA$137</f>
        <v>0</v>
      </c>
      <c r="M137" s="61">
        <f ca="1">$J$137-EFEITO!$K$137*EFEITO!$Y$137</f>
        <v>0</v>
      </c>
      <c r="N137" s="61">
        <f>$K$137-EFEITO!$M$137*EFEITO!$Z$137</f>
        <v>0</v>
      </c>
      <c r="O137" s="61">
        <f>$L$137-EFEITO!$O$137*EFEITO!$AA$137</f>
        <v>0</v>
      </c>
      <c r="P137" s="45"/>
      <c r="Q137" s="45"/>
      <c r="R137" s="45"/>
      <c r="S137" s="45"/>
      <c r="T137" s="45"/>
      <c r="U137" s="45"/>
      <c r="V137" s="45"/>
      <c r="W137" s="45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1.25" customHeight="1" x14ac:dyDescent="0.2">
      <c r="A138" s="41" t="s">
        <v>21</v>
      </c>
      <c r="B138" s="41" t="s">
        <v>35</v>
      </c>
      <c r="C138" s="41" t="s">
        <v>39</v>
      </c>
      <c r="D138" s="41" t="s">
        <v>34</v>
      </c>
      <c r="E138" s="41" t="s">
        <v>25</v>
      </c>
      <c r="F138" s="41" t="s">
        <v>25</v>
      </c>
      <c r="G138" s="41" t="s">
        <v>25</v>
      </c>
      <c r="H138" s="41" t="s">
        <v>25</v>
      </c>
      <c r="I138" s="60">
        <v>44652</v>
      </c>
      <c r="J138" s="61">
        <f ca="1">EFEITO!$J$138*EFEITO!$Y$138</f>
        <v>184499.98527488243</v>
      </c>
      <c r="K138" s="61">
        <f>EFEITO!$L$138*EFEITO!$Z$138</f>
        <v>0</v>
      </c>
      <c r="L138" s="61">
        <f>EFEITO!$N$138*EFEITO!$AA$138</f>
        <v>0</v>
      </c>
      <c r="M138" s="61">
        <f ca="1">$J$138-EFEITO!$K$138*EFEITO!$Y$138</f>
        <v>0</v>
      </c>
      <c r="N138" s="61">
        <f>$K$138-EFEITO!$M$138*EFEITO!$Z$138</f>
        <v>0</v>
      </c>
      <c r="O138" s="61">
        <f>$L$138-EFEITO!$O$138*EFEITO!$AA$138</f>
        <v>0</v>
      </c>
      <c r="P138" s="45"/>
      <c r="Q138" s="45"/>
      <c r="R138" s="45"/>
      <c r="S138" s="45"/>
      <c r="T138" s="45"/>
      <c r="U138" s="45"/>
      <c r="V138" s="45"/>
      <c r="W138" s="45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1.25" customHeight="1" x14ac:dyDescent="0.2">
      <c r="A139" s="41" t="s">
        <v>21</v>
      </c>
      <c r="B139" s="41" t="s">
        <v>35</v>
      </c>
      <c r="C139" s="41" t="s">
        <v>39</v>
      </c>
      <c r="D139" s="41" t="s">
        <v>34</v>
      </c>
      <c r="E139" s="41" t="s">
        <v>25</v>
      </c>
      <c r="F139" s="41" t="s">
        <v>25</v>
      </c>
      <c r="G139" s="41" t="s">
        <v>25</v>
      </c>
      <c r="H139" s="41" t="s">
        <v>25</v>
      </c>
      <c r="I139" s="60">
        <v>44682</v>
      </c>
      <c r="J139" s="61">
        <f ca="1">EFEITO!$J$139*EFEITO!$Y$139</f>
        <v>181048.07861826435</v>
      </c>
      <c r="K139" s="61">
        <f>EFEITO!$L$139*EFEITO!$Z$139</f>
        <v>0</v>
      </c>
      <c r="L139" s="61">
        <f>EFEITO!$N$139*EFEITO!$AA$139</f>
        <v>0</v>
      </c>
      <c r="M139" s="61">
        <f ca="1">$J$139-EFEITO!$K$139*EFEITO!$Y$139</f>
        <v>0</v>
      </c>
      <c r="N139" s="61">
        <f>$K$139-EFEITO!$M$139*EFEITO!$Z$139</f>
        <v>0</v>
      </c>
      <c r="O139" s="61">
        <f>$L$139-EFEITO!$O$139*EFEITO!$AA$139</f>
        <v>0</v>
      </c>
      <c r="P139" s="45"/>
      <c r="Q139" s="45"/>
      <c r="R139" s="45"/>
      <c r="S139" s="45"/>
      <c r="T139" s="45"/>
      <c r="U139" s="45"/>
      <c r="V139" s="45"/>
      <c r="W139" s="45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1.25" customHeight="1" x14ac:dyDescent="0.2">
      <c r="A140" s="41" t="s">
        <v>21</v>
      </c>
      <c r="B140" s="41" t="s">
        <v>35</v>
      </c>
      <c r="C140" s="41" t="s">
        <v>39</v>
      </c>
      <c r="D140" s="41" t="s">
        <v>34</v>
      </c>
      <c r="E140" s="41" t="s">
        <v>25</v>
      </c>
      <c r="F140" s="41" t="s">
        <v>25</v>
      </c>
      <c r="G140" s="41" t="s">
        <v>25</v>
      </c>
      <c r="H140" s="41" t="s">
        <v>25</v>
      </c>
      <c r="I140" s="60">
        <v>44713</v>
      </c>
      <c r="J140" s="61">
        <f ca="1">EFEITO!$J$140*EFEITO!$Y$140</f>
        <v>179056.594008677</v>
      </c>
      <c r="K140" s="61">
        <f>EFEITO!$L$140*EFEITO!$Z$140</f>
        <v>0</v>
      </c>
      <c r="L140" s="61">
        <f>EFEITO!$N$140*EFEITO!$AA$140</f>
        <v>0</v>
      </c>
      <c r="M140" s="61">
        <f ca="1">$J$140-EFEITO!$K$140*EFEITO!$Y$140</f>
        <v>0</v>
      </c>
      <c r="N140" s="61">
        <f>$K$140-EFEITO!$M$140*EFEITO!$Z$140</f>
        <v>0</v>
      </c>
      <c r="O140" s="61">
        <f>$L$140-EFEITO!$O$140*EFEITO!$AA$140</f>
        <v>0</v>
      </c>
      <c r="P140" s="45"/>
      <c r="Q140" s="45"/>
      <c r="R140" s="45"/>
      <c r="S140" s="45"/>
      <c r="T140" s="45"/>
      <c r="U140" s="45"/>
      <c r="V140" s="45"/>
      <c r="W140" s="45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1.25" customHeight="1" x14ac:dyDescent="0.2">
      <c r="A141" s="41" t="s">
        <v>21</v>
      </c>
      <c r="B141" s="41" t="s">
        <v>35</v>
      </c>
      <c r="C141" s="41" t="s">
        <v>39</v>
      </c>
      <c r="D141" s="41" t="s">
        <v>34</v>
      </c>
      <c r="E141" s="41" t="s">
        <v>25</v>
      </c>
      <c r="F141" s="41" t="s">
        <v>25</v>
      </c>
      <c r="G141" s="41" t="s">
        <v>25</v>
      </c>
      <c r="H141" s="41" t="s">
        <v>37</v>
      </c>
      <c r="I141" s="60">
        <v>44378</v>
      </c>
      <c r="J141" s="61">
        <f>EFEITO!$J$141*EFEITO!$Y$141</f>
        <v>0</v>
      </c>
      <c r="K141" s="61">
        <f ca="1">EFEITO!$L$141*EFEITO!$Z$141</f>
        <v>43715.324566844676</v>
      </c>
      <c r="L141" s="61">
        <f>EFEITO!$N$141*EFEITO!$AA$141</f>
        <v>3761.9329622516088</v>
      </c>
      <c r="M141" s="61">
        <f>$J$141-EFEITO!$K$141*EFEITO!$Y$141</f>
        <v>0</v>
      </c>
      <c r="N141" s="61">
        <f ca="1">$K$141-EFEITO!$M$141*EFEITO!$Z$141</f>
        <v>0</v>
      </c>
      <c r="O141" s="61">
        <f>$L$141-EFEITO!$O$141*EFEITO!$AA$141</f>
        <v>0</v>
      </c>
      <c r="P141" s="45"/>
      <c r="Q141" s="45"/>
      <c r="R141" s="45"/>
      <c r="S141" s="45"/>
      <c r="T141" s="45"/>
      <c r="U141" s="45"/>
      <c r="V141" s="45"/>
      <c r="W141" s="45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1.25" customHeight="1" x14ac:dyDescent="0.2">
      <c r="A142" s="41" t="s">
        <v>21</v>
      </c>
      <c r="B142" s="41" t="s">
        <v>35</v>
      </c>
      <c r="C142" s="41" t="s">
        <v>39</v>
      </c>
      <c r="D142" s="41" t="s">
        <v>34</v>
      </c>
      <c r="E142" s="41" t="s">
        <v>25</v>
      </c>
      <c r="F142" s="41" t="s">
        <v>25</v>
      </c>
      <c r="G142" s="41" t="s">
        <v>25</v>
      </c>
      <c r="H142" s="41" t="s">
        <v>37</v>
      </c>
      <c r="I142" s="60">
        <v>44409</v>
      </c>
      <c r="J142" s="61">
        <f>EFEITO!$J$142*EFEITO!$Y$142</f>
        <v>0</v>
      </c>
      <c r="K142" s="61">
        <f ca="1">EFEITO!$L$142*EFEITO!$Z$142</f>
        <v>32488.403245596812</v>
      </c>
      <c r="L142" s="61">
        <f>EFEITO!$N$142*EFEITO!$AA$142</f>
        <v>2795.7974982811493</v>
      </c>
      <c r="M142" s="61">
        <f>$J$142-EFEITO!$K$142*EFEITO!$Y$142</f>
        <v>0</v>
      </c>
      <c r="N142" s="61">
        <f ca="1">$K$142-EFEITO!$M$142*EFEITO!$Z$142</f>
        <v>0</v>
      </c>
      <c r="O142" s="61">
        <f>$L$142-EFEITO!$O$142*EFEITO!$AA$142</f>
        <v>0</v>
      </c>
      <c r="P142" s="45"/>
      <c r="Q142" s="45"/>
      <c r="R142" s="45"/>
      <c r="S142" s="45"/>
      <c r="T142" s="45"/>
      <c r="U142" s="45"/>
      <c r="V142" s="45"/>
      <c r="W142" s="45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1.25" customHeight="1" x14ac:dyDescent="0.2">
      <c r="A143" s="41" t="s">
        <v>21</v>
      </c>
      <c r="B143" s="41" t="s">
        <v>35</v>
      </c>
      <c r="C143" s="41" t="s">
        <v>39</v>
      </c>
      <c r="D143" s="41" t="s">
        <v>34</v>
      </c>
      <c r="E143" s="41" t="s">
        <v>25</v>
      </c>
      <c r="F143" s="41" t="s">
        <v>25</v>
      </c>
      <c r="G143" s="41" t="s">
        <v>25</v>
      </c>
      <c r="H143" s="41" t="s">
        <v>37</v>
      </c>
      <c r="I143" s="60">
        <v>44440</v>
      </c>
      <c r="J143" s="61">
        <f>EFEITO!$J$143*EFEITO!$Y$143</f>
        <v>0</v>
      </c>
      <c r="K143" s="61">
        <f ca="1">EFEITO!$L$143*EFEITO!$Z$143</f>
        <v>33271.889311352257</v>
      </c>
      <c r="L143" s="61">
        <f>EFEITO!$N$143*EFEITO!$AA$143</f>
        <v>2863.2205835592504</v>
      </c>
      <c r="M143" s="61">
        <f>$J$143-EFEITO!$K$143*EFEITO!$Y$143</f>
        <v>0</v>
      </c>
      <c r="N143" s="61">
        <f ca="1">$K$143-EFEITO!$M$143*EFEITO!$Z$143</f>
        <v>0</v>
      </c>
      <c r="O143" s="61">
        <f>$L$143-EFEITO!$O$143*EFEITO!$AA$143</f>
        <v>0</v>
      </c>
      <c r="P143" s="45"/>
      <c r="Q143" s="45"/>
      <c r="R143" s="45"/>
      <c r="S143" s="45"/>
      <c r="T143" s="45"/>
      <c r="U143" s="45"/>
      <c r="V143" s="45"/>
      <c r="W143" s="45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1.25" customHeight="1" x14ac:dyDescent="0.2">
      <c r="A144" s="41" t="s">
        <v>21</v>
      </c>
      <c r="B144" s="41" t="s">
        <v>35</v>
      </c>
      <c r="C144" s="41" t="s">
        <v>39</v>
      </c>
      <c r="D144" s="41" t="s">
        <v>34</v>
      </c>
      <c r="E144" s="41" t="s">
        <v>25</v>
      </c>
      <c r="F144" s="41" t="s">
        <v>25</v>
      </c>
      <c r="G144" s="41" t="s">
        <v>25</v>
      </c>
      <c r="H144" s="41" t="s">
        <v>37</v>
      </c>
      <c r="I144" s="60">
        <v>44470</v>
      </c>
      <c r="J144" s="61">
        <f>EFEITO!$J$144*EFEITO!$Y$144</f>
        <v>0</v>
      </c>
      <c r="K144" s="61">
        <f ca="1">EFEITO!$L$144*EFEITO!$Z$144</f>
        <v>33516.300416412989</v>
      </c>
      <c r="L144" s="61">
        <f>EFEITO!$N$144*EFEITO!$AA$144</f>
        <v>2884.25344106583</v>
      </c>
      <c r="M144" s="61">
        <f>$J$144-EFEITO!$K$144*EFEITO!$Y$144</f>
        <v>0</v>
      </c>
      <c r="N144" s="61">
        <f ca="1">$K$144-EFEITO!$M$144*EFEITO!$Z$144</f>
        <v>0</v>
      </c>
      <c r="O144" s="61">
        <f>$L$144-EFEITO!$O$144*EFEITO!$AA$144</f>
        <v>0</v>
      </c>
      <c r="P144" s="45"/>
      <c r="Q144" s="45"/>
      <c r="R144" s="45"/>
      <c r="S144" s="45"/>
      <c r="T144" s="45"/>
      <c r="U144" s="45"/>
      <c r="V144" s="45"/>
      <c r="W144" s="45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1.25" customHeight="1" x14ac:dyDescent="0.2">
      <c r="A145" s="41" t="s">
        <v>21</v>
      </c>
      <c r="B145" s="41" t="s">
        <v>35</v>
      </c>
      <c r="C145" s="41" t="s">
        <v>39</v>
      </c>
      <c r="D145" s="41" t="s">
        <v>34</v>
      </c>
      <c r="E145" s="41" t="s">
        <v>25</v>
      </c>
      <c r="F145" s="41" t="s">
        <v>25</v>
      </c>
      <c r="G145" s="41" t="s">
        <v>25</v>
      </c>
      <c r="H145" s="41" t="s">
        <v>37</v>
      </c>
      <c r="I145" s="60">
        <v>44501</v>
      </c>
      <c r="J145" s="61">
        <f>EFEITO!$J$145*EFEITO!$Y$145</f>
        <v>0</v>
      </c>
      <c r="K145" s="61">
        <f ca="1">EFEITO!$L$145*EFEITO!$Z$145</f>
        <v>34569.323962515795</v>
      </c>
      <c r="L145" s="61">
        <f>EFEITO!$N$145*EFEITO!$AA$145</f>
        <v>2974.8716402296918</v>
      </c>
      <c r="M145" s="61">
        <f>$J$145-EFEITO!$K$145*EFEITO!$Y$145</f>
        <v>0</v>
      </c>
      <c r="N145" s="61">
        <f ca="1">$K$145-EFEITO!$M$145*EFEITO!$Z$145</f>
        <v>0</v>
      </c>
      <c r="O145" s="61">
        <f>$L$145-EFEITO!$O$145*EFEITO!$AA$145</f>
        <v>0</v>
      </c>
      <c r="P145" s="45"/>
      <c r="Q145" s="45"/>
      <c r="R145" s="45"/>
      <c r="S145" s="45"/>
      <c r="T145" s="45"/>
      <c r="U145" s="45"/>
      <c r="V145" s="45"/>
      <c r="W145" s="45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1.25" customHeight="1" x14ac:dyDescent="0.2">
      <c r="A146" s="41" t="s">
        <v>21</v>
      </c>
      <c r="B146" s="41" t="s">
        <v>35</v>
      </c>
      <c r="C146" s="41" t="s">
        <v>39</v>
      </c>
      <c r="D146" s="41" t="s">
        <v>34</v>
      </c>
      <c r="E146" s="41" t="s">
        <v>25</v>
      </c>
      <c r="F146" s="41" t="s">
        <v>25</v>
      </c>
      <c r="G146" s="41" t="s">
        <v>25</v>
      </c>
      <c r="H146" s="41" t="s">
        <v>37</v>
      </c>
      <c r="I146" s="60">
        <v>44531</v>
      </c>
      <c r="J146" s="61">
        <f>EFEITO!$J$146*EFEITO!$Y$146</f>
        <v>0</v>
      </c>
      <c r="K146" s="61">
        <f ca="1">EFEITO!$L$146*EFEITO!$Z$146</f>
        <v>43276.755107296434</v>
      </c>
      <c r="L146" s="61">
        <f>EFEITO!$N$146*EFEITO!$AA$146</f>
        <v>3724.1917599968115</v>
      </c>
      <c r="M146" s="61">
        <f>$J$146-EFEITO!$K$146*EFEITO!$Y$146</f>
        <v>0</v>
      </c>
      <c r="N146" s="61">
        <f ca="1">$K$146-EFEITO!$M$146*EFEITO!$Z$146</f>
        <v>0</v>
      </c>
      <c r="O146" s="61">
        <f>$L$146-EFEITO!$O$146*EFEITO!$AA$146</f>
        <v>0</v>
      </c>
      <c r="P146" s="45"/>
      <c r="Q146" s="45"/>
      <c r="R146" s="45"/>
      <c r="S146" s="45"/>
      <c r="T146" s="45"/>
      <c r="U146" s="45"/>
      <c r="V146" s="45"/>
      <c r="W146" s="45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1.25" customHeight="1" x14ac:dyDescent="0.2">
      <c r="A147" s="41" t="s">
        <v>21</v>
      </c>
      <c r="B147" s="41" t="s">
        <v>35</v>
      </c>
      <c r="C147" s="41" t="s">
        <v>39</v>
      </c>
      <c r="D147" s="41" t="s">
        <v>34</v>
      </c>
      <c r="E147" s="41" t="s">
        <v>25</v>
      </c>
      <c r="F147" s="41" t="s">
        <v>25</v>
      </c>
      <c r="G147" s="41" t="s">
        <v>25</v>
      </c>
      <c r="H147" s="41" t="s">
        <v>37</v>
      </c>
      <c r="I147" s="60">
        <v>44562</v>
      </c>
      <c r="J147" s="61">
        <f>EFEITO!$J$147*EFEITO!$Y$147</f>
        <v>0</v>
      </c>
      <c r="K147" s="61">
        <f ca="1">EFEITO!$L$147*EFEITO!$Z$147</f>
        <v>42527.532280568186</v>
      </c>
      <c r="L147" s="61">
        <f>EFEITO!$N$147*EFEITO!$AA$147</f>
        <v>3659.7172061448659</v>
      </c>
      <c r="M147" s="61">
        <f>$J$147-EFEITO!$K$147*EFEITO!$Y$147</f>
        <v>0</v>
      </c>
      <c r="N147" s="61">
        <f ca="1">$K$147-EFEITO!$M$147*EFEITO!$Z$147</f>
        <v>0</v>
      </c>
      <c r="O147" s="61">
        <f>$L$147-EFEITO!$O$147*EFEITO!$AA$147</f>
        <v>0</v>
      </c>
      <c r="P147" s="45"/>
      <c r="Q147" s="45"/>
      <c r="R147" s="45"/>
      <c r="S147" s="45"/>
      <c r="T147" s="45"/>
      <c r="U147" s="45"/>
      <c r="V147" s="45"/>
      <c r="W147" s="45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1.25" customHeight="1" x14ac:dyDescent="0.2">
      <c r="A148" s="41" t="s">
        <v>21</v>
      </c>
      <c r="B148" s="41" t="s">
        <v>35</v>
      </c>
      <c r="C148" s="41" t="s">
        <v>39</v>
      </c>
      <c r="D148" s="41" t="s">
        <v>34</v>
      </c>
      <c r="E148" s="41" t="s">
        <v>25</v>
      </c>
      <c r="F148" s="41" t="s">
        <v>25</v>
      </c>
      <c r="G148" s="41" t="s">
        <v>25</v>
      </c>
      <c r="H148" s="41" t="s">
        <v>37</v>
      </c>
      <c r="I148" s="60">
        <v>44593</v>
      </c>
      <c r="J148" s="61">
        <f>EFEITO!$J$148*EFEITO!$Y$148</f>
        <v>0</v>
      </c>
      <c r="K148" s="61">
        <f ca="1">EFEITO!$L$148*EFEITO!$Z$148</f>
        <v>46687.08949847101</v>
      </c>
      <c r="L148" s="61">
        <f>EFEITO!$N$148*EFEITO!$AA$148</f>
        <v>4017.6689212802085</v>
      </c>
      <c r="M148" s="61">
        <f>$J$148-EFEITO!$K$148*EFEITO!$Y$148</f>
        <v>0</v>
      </c>
      <c r="N148" s="61">
        <f ca="1">$K$148-EFEITO!$M$148*EFEITO!$Z$148</f>
        <v>0</v>
      </c>
      <c r="O148" s="61">
        <f>$L$148-EFEITO!$O$148*EFEITO!$AA$148</f>
        <v>0</v>
      </c>
      <c r="P148" s="45"/>
      <c r="Q148" s="45"/>
      <c r="R148" s="45"/>
      <c r="S148" s="45"/>
      <c r="T148" s="45"/>
      <c r="U148" s="45"/>
      <c r="V148" s="45"/>
      <c r="W148" s="45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1.25" customHeight="1" x14ac:dyDescent="0.2">
      <c r="A149" s="41" t="s">
        <v>21</v>
      </c>
      <c r="B149" s="41" t="s">
        <v>35</v>
      </c>
      <c r="C149" s="41" t="s">
        <v>39</v>
      </c>
      <c r="D149" s="41" t="s">
        <v>34</v>
      </c>
      <c r="E149" s="41" t="s">
        <v>25</v>
      </c>
      <c r="F149" s="41" t="s">
        <v>25</v>
      </c>
      <c r="G149" s="41" t="s">
        <v>25</v>
      </c>
      <c r="H149" s="41" t="s">
        <v>37</v>
      </c>
      <c r="I149" s="60">
        <v>44621</v>
      </c>
      <c r="J149" s="61">
        <f>EFEITO!$J$149*EFEITO!$Y$149</f>
        <v>0</v>
      </c>
      <c r="K149" s="61">
        <f ca="1">EFEITO!$L$149*EFEITO!$Z$149</f>
        <v>61290.081971866246</v>
      </c>
      <c r="L149" s="61">
        <f>EFEITO!$N$149*EFEITO!$AA$149</f>
        <v>5274.333015107909</v>
      </c>
      <c r="M149" s="61">
        <f>$J$149-EFEITO!$K$149*EFEITO!$Y$149</f>
        <v>0</v>
      </c>
      <c r="N149" s="61">
        <f ca="1">$K$149-EFEITO!$M$149*EFEITO!$Z$149</f>
        <v>0</v>
      </c>
      <c r="O149" s="61">
        <f>$L$149-EFEITO!$O$149*EFEITO!$AA$149</f>
        <v>0</v>
      </c>
      <c r="P149" s="45"/>
      <c r="Q149" s="45"/>
      <c r="R149" s="45"/>
      <c r="S149" s="45"/>
      <c r="T149" s="45"/>
      <c r="U149" s="45"/>
      <c r="V149" s="45"/>
      <c r="W149" s="45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1.25" customHeight="1" x14ac:dyDescent="0.2">
      <c r="A150" s="41" t="s">
        <v>21</v>
      </c>
      <c r="B150" s="41" t="s">
        <v>35</v>
      </c>
      <c r="C150" s="41" t="s">
        <v>39</v>
      </c>
      <c r="D150" s="41" t="s">
        <v>34</v>
      </c>
      <c r="E150" s="41" t="s">
        <v>25</v>
      </c>
      <c r="F150" s="41" t="s">
        <v>25</v>
      </c>
      <c r="G150" s="41" t="s">
        <v>25</v>
      </c>
      <c r="H150" s="41" t="s">
        <v>37</v>
      </c>
      <c r="I150" s="60">
        <v>44652</v>
      </c>
      <c r="J150" s="61">
        <f>EFEITO!$J$150*EFEITO!$Y$150</f>
        <v>0</v>
      </c>
      <c r="K150" s="61">
        <f ca="1">EFEITO!$L$150*EFEITO!$Z$150</f>
        <v>51175.573811035007</v>
      </c>
      <c r="L150" s="61">
        <f>EFEITO!$N$150*EFEITO!$AA$150</f>
        <v>4403.926538106648</v>
      </c>
      <c r="M150" s="61">
        <f>$J$150-EFEITO!$K$150*EFEITO!$Y$150</f>
        <v>0</v>
      </c>
      <c r="N150" s="61">
        <f ca="1">$K$150-EFEITO!$M$150*EFEITO!$Z$150</f>
        <v>0</v>
      </c>
      <c r="O150" s="61">
        <f>$L$150-EFEITO!$O$150*EFEITO!$AA$150</f>
        <v>0</v>
      </c>
      <c r="P150" s="45"/>
      <c r="Q150" s="45"/>
      <c r="R150" s="45"/>
      <c r="S150" s="45"/>
      <c r="T150" s="45"/>
      <c r="U150" s="45"/>
      <c r="V150" s="45"/>
      <c r="W150" s="45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1.25" customHeight="1" x14ac:dyDescent="0.2">
      <c r="A151" s="41" t="s">
        <v>21</v>
      </c>
      <c r="B151" s="41" t="s">
        <v>35</v>
      </c>
      <c r="C151" s="41" t="s">
        <v>39</v>
      </c>
      <c r="D151" s="41" t="s">
        <v>34</v>
      </c>
      <c r="E151" s="41" t="s">
        <v>25</v>
      </c>
      <c r="F151" s="41" t="s">
        <v>25</v>
      </c>
      <c r="G151" s="41" t="s">
        <v>25</v>
      </c>
      <c r="H151" s="41" t="s">
        <v>37</v>
      </c>
      <c r="I151" s="60">
        <v>44682</v>
      </c>
      <c r="J151" s="61">
        <f>EFEITO!$J$151*EFEITO!$Y$151</f>
        <v>0</v>
      </c>
      <c r="K151" s="61">
        <f ca="1">EFEITO!$L$151*EFEITO!$Z$151</f>
        <v>71594.18005531469</v>
      </c>
      <c r="L151" s="61">
        <f>EFEITO!$N$151*EFEITO!$AA$151</f>
        <v>6161.0546993338994</v>
      </c>
      <c r="M151" s="61">
        <f>$J$151-EFEITO!$K$151*EFEITO!$Y$151</f>
        <v>0</v>
      </c>
      <c r="N151" s="61">
        <f ca="1">$K$151-EFEITO!$M$151*EFEITO!$Z$151</f>
        <v>0</v>
      </c>
      <c r="O151" s="61">
        <f>$L$151-EFEITO!$O$151*EFEITO!$AA$151</f>
        <v>0</v>
      </c>
      <c r="P151" s="45"/>
      <c r="Q151" s="45"/>
      <c r="R151" s="45"/>
      <c r="S151" s="45"/>
      <c r="T151" s="45"/>
      <c r="U151" s="45"/>
      <c r="V151" s="45"/>
      <c r="W151" s="45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1.25" customHeight="1" x14ac:dyDescent="0.2">
      <c r="A152" s="41" t="s">
        <v>21</v>
      </c>
      <c r="B152" s="41" t="s">
        <v>35</v>
      </c>
      <c r="C152" s="41" t="s">
        <v>39</v>
      </c>
      <c r="D152" s="41" t="s">
        <v>34</v>
      </c>
      <c r="E152" s="41" t="s">
        <v>25</v>
      </c>
      <c r="F152" s="41" t="s">
        <v>25</v>
      </c>
      <c r="G152" s="41" t="s">
        <v>25</v>
      </c>
      <c r="H152" s="41" t="s">
        <v>37</v>
      </c>
      <c r="I152" s="60">
        <v>44713</v>
      </c>
      <c r="J152" s="61">
        <f>EFEITO!$J$152*EFEITO!$Y$152</f>
        <v>0</v>
      </c>
      <c r="K152" s="61">
        <f ca="1">EFEITO!$L$152*EFEITO!$Z$152</f>
        <v>47059.416695899985</v>
      </c>
      <c r="L152" s="61">
        <f>EFEITO!$N$152*EFEITO!$AA$152</f>
        <v>4049.7096294444373</v>
      </c>
      <c r="M152" s="61">
        <f>$J$152-EFEITO!$K$152*EFEITO!$Y$152</f>
        <v>0</v>
      </c>
      <c r="N152" s="61">
        <f ca="1">$K$152-EFEITO!$M$152*EFEITO!$Z$152</f>
        <v>0</v>
      </c>
      <c r="O152" s="61">
        <f>$L$152-EFEITO!$O$152*EFEITO!$AA$152</f>
        <v>0</v>
      </c>
      <c r="P152" s="45"/>
      <c r="Q152" s="45"/>
      <c r="R152" s="45"/>
      <c r="S152" s="45"/>
      <c r="T152" s="45"/>
      <c r="U152" s="45"/>
      <c r="V152" s="45"/>
      <c r="W152" s="45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1.25" customHeight="1" x14ac:dyDescent="0.2">
      <c r="A153" s="41" t="s">
        <v>21</v>
      </c>
      <c r="B153" s="41" t="s">
        <v>35</v>
      </c>
      <c r="C153" s="41" t="s">
        <v>39</v>
      </c>
      <c r="D153" s="41" t="s">
        <v>43</v>
      </c>
      <c r="E153" s="41" t="s">
        <v>25</v>
      </c>
      <c r="F153" s="41" t="s">
        <v>25</v>
      </c>
      <c r="G153" s="41" t="s">
        <v>25</v>
      </c>
      <c r="H153" s="41" t="s">
        <v>38</v>
      </c>
      <c r="I153" s="60">
        <v>44378</v>
      </c>
      <c r="J153" s="61">
        <f>EFEITO!$J$153*EFEITO!$Y$153</f>
        <v>0</v>
      </c>
      <c r="K153" s="61">
        <f ca="1">EFEITO!$L$153*EFEITO!$Z$153</f>
        <v>30.651897379968865</v>
      </c>
      <c r="L153" s="61">
        <f>EFEITO!$N$153*EFEITO!$AA$153</f>
        <v>62.312297472764129</v>
      </c>
      <c r="M153" s="61">
        <f>$J$153-EFEITO!$K$153*EFEITO!$Y$153</f>
        <v>0</v>
      </c>
      <c r="N153" s="61">
        <f ca="1">$K$153-EFEITO!$M$153*EFEITO!$Z$153</f>
        <v>0</v>
      </c>
      <c r="O153" s="61">
        <f>$L$153-EFEITO!$O$153*EFEITO!$AA$153</f>
        <v>0</v>
      </c>
      <c r="P153" s="45"/>
      <c r="Q153" s="45"/>
      <c r="R153" s="45"/>
      <c r="S153" s="45"/>
      <c r="T153" s="45"/>
      <c r="U153" s="45"/>
      <c r="V153" s="45"/>
      <c r="W153" s="45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1.25" customHeight="1" x14ac:dyDescent="0.2">
      <c r="A154" s="41" t="s">
        <v>21</v>
      </c>
      <c r="B154" s="41" t="s">
        <v>35</v>
      </c>
      <c r="C154" s="41" t="s">
        <v>39</v>
      </c>
      <c r="D154" s="41" t="s">
        <v>43</v>
      </c>
      <c r="E154" s="41" t="s">
        <v>25</v>
      </c>
      <c r="F154" s="41" t="s">
        <v>25</v>
      </c>
      <c r="G154" s="41" t="s">
        <v>25</v>
      </c>
      <c r="H154" s="41" t="s">
        <v>38</v>
      </c>
      <c r="I154" s="60">
        <v>44409</v>
      </c>
      <c r="J154" s="61">
        <f>EFEITO!$J$154*EFEITO!$Y$154</f>
        <v>0</v>
      </c>
      <c r="K154" s="61">
        <f ca="1">EFEITO!$L$154*EFEITO!$Z$154</f>
        <v>349.54766255074907</v>
      </c>
      <c r="L154" s="61">
        <f>EFEITO!$N$154*EFEITO!$AA$154</f>
        <v>710.59607370360357</v>
      </c>
      <c r="M154" s="61">
        <f>$J$154-EFEITO!$K$154*EFEITO!$Y$154</f>
        <v>0</v>
      </c>
      <c r="N154" s="61">
        <f ca="1">$K$154-EFEITO!$M$154*EFEITO!$Z$154</f>
        <v>0</v>
      </c>
      <c r="O154" s="61">
        <f>$L$154-EFEITO!$O$154*EFEITO!$AA$154</f>
        <v>0</v>
      </c>
      <c r="P154" s="45"/>
      <c r="Q154" s="45"/>
      <c r="R154" s="45"/>
      <c r="S154" s="45"/>
      <c r="T154" s="45"/>
      <c r="U154" s="45"/>
      <c r="V154" s="45"/>
      <c r="W154" s="45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1.25" customHeight="1" x14ac:dyDescent="0.2">
      <c r="A155" s="41" t="s">
        <v>21</v>
      </c>
      <c r="B155" s="41" t="s">
        <v>35</v>
      </c>
      <c r="C155" s="41" t="s">
        <v>39</v>
      </c>
      <c r="D155" s="41" t="s">
        <v>43</v>
      </c>
      <c r="E155" s="41" t="s">
        <v>25</v>
      </c>
      <c r="F155" s="41" t="s">
        <v>25</v>
      </c>
      <c r="G155" s="41" t="s">
        <v>25</v>
      </c>
      <c r="H155" s="41" t="s">
        <v>38</v>
      </c>
      <c r="I155" s="60">
        <v>44440</v>
      </c>
      <c r="J155" s="61">
        <f>EFEITO!$J$155*EFEITO!$Y$155</f>
        <v>0</v>
      </c>
      <c r="K155" s="61">
        <f ca="1">EFEITO!$L$155*EFEITO!$Z$155</f>
        <v>319.95939567923335</v>
      </c>
      <c r="L155" s="61">
        <f>EFEITO!$N$155*EFEITO!$AA$155</f>
        <v>650.44603261002055</v>
      </c>
      <c r="M155" s="61">
        <f>$J$155-EFEITO!$K$155*EFEITO!$Y$155</f>
        <v>0</v>
      </c>
      <c r="N155" s="61">
        <f ca="1">$K$155-EFEITO!$M$155*EFEITO!$Z$155</f>
        <v>0</v>
      </c>
      <c r="O155" s="61">
        <f>$L$155-EFEITO!$O$155*EFEITO!$AA$155</f>
        <v>0</v>
      </c>
      <c r="P155" s="45"/>
      <c r="Q155" s="45"/>
      <c r="R155" s="45"/>
      <c r="S155" s="45"/>
      <c r="T155" s="45"/>
      <c r="U155" s="45"/>
      <c r="V155" s="45"/>
      <c r="W155" s="45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1.25" customHeight="1" x14ac:dyDescent="0.2">
      <c r="A156" s="41" t="s">
        <v>21</v>
      </c>
      <c r="B156" s="41" t="s">
        <v>35</v>
      </c>
      <c r="C156" s="41" t="s">
        <v>39</v>
      </c>
      <c r="D156" s="41" t="s">
        <v>43</v>
      </c>
      <c r="E156" s="41" t="s">
        <v>25</v>
      </c>
      <c r="F156" s="41" t="s">
        <v>25</v>
      </c>
      <c r="G156" s="41" t="s">
        <v>25</v>
      </c>
      <c r="H156" s="41" t="s">
        <v>38</v>
      </c>
      <c r="I156" s="60">
        <v>44470</v>
      </c>
      <c r="J156" s="61">
        <f>EFEITO!$J$156*EFEITO!$Y$156</f>
        <v>0</v>
      </c>
      <c r="K156" s="61">
        <f ca="1">EFEITO!$L$156*EFEITO!$Z$156</f>
        <v>431.64059906681712</v>
      </c>
      <c r="L156" s="61">
        <f>EFEITO!$N$156*EFEITO!$AA$156</f>
        <v>877.48295242403503</v>
      </c>
      <c r="M156" s="61">
        <f>$J$156-EFEITO!$K$156*EFEITO!$Y$156</f>
        <v>0</v>
      </c>
      <c r="N156" s="61">
        <f ca="1">$K$156-EFEITO!$M$156*EFEITO!$Z$156</f>
        <v>0</v>
      </c>
      <c r="O156" s="61">
        <f>$L$156-EFEITO!$O$156*EFEITO!$AA$156</f>
        <v>0</v>
      </c>
      <c r="P156" s="45"/>
      <c r="Q156" s="45"/>
      <c r="R156" s="45"/>
      <c r="S156" s="45"/>
      <c r="T156" s="45"/>
      <c r="U156" s="45"/>
      <c r="V156" s="45"/>
      <c r="W156" s="45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1.25" customHeight="1" x14ac:dyDescent="0.2">
      <c r="A157" s="41" t="s">
        <v>21</v>
      </c>
      <c r="B157" s="41" t="s">
        <v>35</v>
      </c>
      <c r="C157" s="41" t="s">
        <v>39</v>
      </c>
      <c r="D157" s="41" t="s">
        <v>43</v>
      </c>
      <c r="E157" s="41" t="s">
        <v>25</v>
      </c>
      <c r="F157" s="41" t="s">
        <v>25</v>
      </c>
      <c r="G157" s="41" t="s">
        <v>25</v>
      </c>
      <c r="H157" s="41" t="s">
        <v>38</v>
      </c>
      <c r="I157" s="60">
        <v>44501</v>
      </c>
      <c r="J157" s="61">
        <f>EFEITO!$J$157*EFEITO!$Y$157</f>
        <v>0</v>
      </c>
      <c r="K157" s="61">
        <f ca="1">EFEITO!$L$157*EFEITO!$Z$157</f>
        <v>221.42853312343439</v>
      </c>
      <c r="L157" s="61">
        <f>EFEITO!$N$157*EFEITO!$AA$157</f>
        <v>450.14246439315411</v>
      </c>
      <c r="M157" s="61">
        <f>$J$157-EFEITO!$K$157*EFEITO!$Y$157</f>
        <v>0</v>
      </c>
      <c r="N157" s="61">
        <f ca="1">$K$157-EFEITO!$M$157*EFEITO!$Z$157</f>
        <v>0</v>
      </c>
      <c r="O157" s="61">
        <f>$L$157-EFEITO!$O$157*EFEITO!$AA$157</f>
        <v>0</v>
      </c>
      <c r="P157" s="45"/>
      <c r="Q157" s="45"/>
      <c r="R157" s="45"/>
      <c r="S157" s="45"/>
      <c r="T157" s="45"/>
      <c r="U157" s="45"/>
      <c r="V157" s="45"/>
      <c r="W157" s="45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1.25" customHeight="1" x14ac:dyDescent="0.2">
      <c r="A158" s="41" t="s">
        <v>21</v>
      </c>
      <c r="B158" s="41" t="s">
        <v>35</v>
      </c>
      <c r="C158" s="41" t="s">
        <v>39</v>
      </c>
      <c r="D158" s="41" t="s">
        <v>43</v>
      </c>
      <c r="E158" s="41" t="s">
        <v>25</v>
      </c>
      <c r="F158" s="41" t="s">
        <v>25</v>
      </c>
      <c r="G158" s="41" t="s">
        <v>25</v>
      </c>
      <c r="H158" s="41" t="s">
        <v>38</v>
      </c>
      <c r="I158" s="60">
        <v>44531</v>
      </c>
      <c r="J158" s="61">
        <f>EFEITO!$J$158*EFEITO!$Y$158</f>
        <v>0</v>
      </c>
      <c r="K158" s="61">
        <f ca="1">EFEITO!$L$158*EFEITO!$Z$158</f>
        <v>569.52579043538356</v>
      </c>
      <c r="L158" s="61">
        <f>EFEITO!$N$158*EFEITO!$AA$158</f>
        <v>1157.7900066706015</v>
      </c>
      <c r="M158" s="61">
        <f>$J$158-EFEITO!$K$158*EFEITO!$Y$158</f>
        <v>0</v>
      </c>
      <c r="N158" s="61">
        <f ca="1">$K$158-EFEITO!$M$158*EFEITO!$Z$158</f>
        <v>0</v>
      </c>
      <c r="O158" s="61">
        <f>$L$158-EFEITO!$O$158*EFEITO!$AA$158</f>
        <v>0</v>
      </c>
      <c r="P158" s="45"/>
      <c r="Q158" s="45"/>
      <c r="R158" s="45"/>
      <c r="S158" s="45"/>
      <c r="T158" s="45"/>
      <c r="U158" s="45"/>
      <c r="V158" s="45"/>
      <c r="W158" s="45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1.25" customHeight="1" x14ac:dyDescent="0.2">
      <c r="A159" s="41" t="s">
        <v>21</v>
      </c>
      <c r="B159" s="41" t="s">
        <v>35</v>
      </c>
      <c r="C159" s="41" t="s">
        <v>39</v>
      </c>
      <c r="D159" s="41" t="s">
        <v>43</v>
      </c>
      <c r="E159" s="41" t="s">
        <v>25</v>
      </c>
      <c r="F159" s="41" t="s">
        <v>25</v>
      </c>
      <c r="G159" s="41" t="s">
        <v>25</v>
      </c>
      <c r="H159" s="41" t="s">
        <v>38</v>
      </c>
      <c r="I159" s="60">
        <v>44562</v>
      </c>
      <c r="J159" s="61">
        <f>EFEITO!$J$159*EFEITO!$Y$159</f>
        <v>0</v>
      </c>
      <c r="K159" s="61">
        <f ca="1">EFEITO!$L$159*EFEITO!$Z$159</f>
        <v>529.59129952709611</v>
      </c>
      <c r="L159" s="61">
        <f>EFEITO!$N$159*EFEITO!$AA$159</f>
        <v>1076.6071080704389</v>
      </c>
      <c r="M159" s="61">
        <f>$J$159-EFEITO!$K$159*EFEITO!$Y$159</f>
        <v>0</v>
      </c>
      <c r="N159" s="61">
        <f ca="1">$K$159-EFEITO!$M$159*EFEITO!$Z$159</f>
        <v>0</v>
      </c>
      <c r="O159" s="61">
        <f>$L$159-EFEITO!$O$159*EFEITO!$AA$159</f>
        <v>0</v>
      </c>
      <c r="P159" s="45"/>
      <c r="Q159" s="45"/>
      <c r="R159" s="45"/>
      <c r="S159" s="45"/>
      <c r="T159" s="45"/>
      <c r="U159" s="45"/>
      <c r="V159" s="45"/>
      <c r="W159" s="45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1.25" customHeight="1" x14ac:dyDescent="0.2">
      <c r="A160" s="41" t="s">
        <v>21</v>
      </c>
      <c r="B160" s="41" t="s">
        <v>35</v>
      </c>
      <c r="C160" s="41" t="s">
        <v>39</v>
      </c>
      <c r="D160" s="41" t="s">
        <v>43</v>
      </c>
      <c r="E160" s="41" t="s">
        <v>25</v>
      </c>
      <c r="F160" s="41" t="s">
        <v>25</v>
      </c>
      <c r="G160" s="41" t="s">
        <v>25</v>
      </c>
      <c r="H160" s="41" t="s">
        <v>38</v>
      </c>
      <c r="I160" s="60">
        <v>44593</v>
      </c>
      <c r="J160" s="61">
        <f>EFEITO!$J$160*EFEITO!$Y$160</f>
        <v>0</v>
      </c>
      <c r="K160" s="61">
        <f ca="1">EFEITO!$L$160*EFEITO!$Z$160</f>
        <v>477.08662988254378</v>
      </c>
      <c r="L160" s="61">
        <f>EFEITO!$N$160*EFEITO!$AA$160</f>
        <v>969.87027044359058</v>
      </c>
      <c r="M160" s="61">
        <f>$J$160-EFEITO!$K$160*EFEITO!$Y$160</f>
        <v>0</v>
      </c>
      <c r="N160" s="61">
        <f ca="1">$K$160-EFEITO!$M$160*EFEITO!$Z$160</f>
        <v>0</v>
      </c>
      <c r="O160" s="61">
        <f>$L$160-EFEITO!$O$160*EFEITO!$AA$160</f>
        <v>0</v>
      </c>
      <c r="P160" s="45"/>
      <c r="Q160" s="45"/>
      <c r="R160" s="45"/>
      <c r="S160" s="45"/>
      <c r="T160" s="45"/>
      <c r="U160" s="45"/>
      <c r="V160" s="45"/>
      <c r="W160" s="45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1.25" customHeight="1" x14ac:dyDescent="0.2">
      <c r="A161" s="41" t="s">
        <v>21</v>
      </c>
      <c r="B161" s="41" t="s">
        <v>35</v>
      </c>
      <c r="C161" s="41" t="s">
        <v>39</v>
      </c>
      <c r="D161" s="41" t="s">
        <v>43</v>
      </c>
      <c r="E161" s="41" t="s">
        <v>25</v>
      </c>
      <c r="F161" s="41" t="s">
        <v>25</v>
      </c>
      <c r="G161" s="41" t="s">
        <v>25</v>
      </c>
      <c r="H161" s="41" t="s">
        <v>38</v>
      </c>
      <c r="I161" s="60">
        <v>44621</v>
      </c>
      <c r="J161" s="61">
        <f>EFEITO!$J$161*EFEITO!$Y$161</f>
        <v>0</v>
      </c>
      <c r="K161" s="61">
        <f ca="1">EFEITO!$L$161*EFEITO!$Z$161</f>
        <v>267.16464498692102</v>
      </c>
      <c r="L161" s="61">
        <f>EFEITO!$N$161*EFEITO!$AA$161</f>
        <v>543.11948869794094</v>
      </c>
      <c r="M161" s="61">
        <f>$J$161-EFEITO!$K$161*EFEITO!$Y$161</f>
        <v>0</v>
      </c>
      <c r="N161" s="61">
        <f ca="1">$K$161-EFEITO!$M$161*EFEITO!$Z$161</f>
        <v>0</v>
      </c>
      <c r="O161" s="61">
        <f>$L$161-EFEITO!$O$161*EFEITO!$AA$161</f>
        <v>0</v>
      </c>
      <c r="P161" s="45"/>
      <c r="Q161" s="45"/>
      <c r="R161" s="45"/>
      <c r="S161" s="45"/>
      <c r="T161" s="45"/>
      <c r="U161" s="45"/>
      <c r="V161" s="45"/>
      <c r="W161" s="45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1.25" customHeight="1" x14ac:dyDescent="0.2">
      <c r="A162" s="41" t="s">
        <v>21</v>
      </c>
      <c r="B162" s="41" t="s">
        <v>35</v>
      </c>
      <c r="C162" s="41" t="s">
        <v>39</v>
      </c>
      <c r="D162" s="41" t="s">
        <v>43</v>
      </c>
      <c r="E162" s="41" t="s">
        <v>25</v>
      </c>
      <c r="F162" s="41" t="s">
        <v>25</v>
      </c>
      <c r="G162" s="41" t="s">
        <v>25</v>
      </c>
      <c r="H162" s="41" t="s">
        <v>38</v>
      </c>
      <c r="I162" s="60">
        <v>44652</v>
      </c>
      <c r="J162" s="61">
        <f>EFEITO!$J$162*EFEITO!$Y$162</f>
        <v>0</v>
      </c>
      <c r="K162" s="61">
        <f ca="1">EFEITO!$L$162*EFEITO!$Z$162</f>
        <v>284.1827331221719</v>
      </c>
      <c r="L162" s="61">
        <f>EFEITO!$N$162*EFEITO!$AA$162</f>
        <v>577.71559076483845</v>
      </c>
      <c r="M162" s="61">
        <f>$J$162-EFEITO!$K$162*EFEITO!$Y$162</f>
        <v>0</v>
      </c>
      <c r="N162" s="61">
        <f ca="1">$K$162-EFEITO!$M$162*EFEITO!$Z$162</f>
        <v>0</v>
      </c>
      <c r="O162" s="61">
        <f>$L$162-EFEITO!$O$162*EFEITO!$AA$162</f>
        <v>0</v>
      </c>
      <c r="P162" s="45"/>
      <c r="Q162" s="45"/>
      <c r="R162" s="45"/>
      <c r="S162" s="45"/>
      <c r="T162" s="45"/>
      <c r="U162" s="45"/>
      <c r="V162" s="45"/>
      <c r="W162" s="45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1.25" customHeight="1" x14ac:dyDescent="0.2">
      <c r="A163" s="41" t="s">
        <v>21</v>
      </c>
      <c r="B163" s="41" t="s">
        <v>35</v>
      </c>
      <c r="C163" s="41" t="s">
        <v>39</v>
      </c>
      <c r="D163" s="41" t="s">
        <v>43</v>
      </c>
      <c r="E163" s="41" t="s">
        <v>25</v>
      </c>
      <c r="F163" s="41" t="s">
        <v>25</v>
      </c>
      <c r="G163" s="41" t="s">
        <v>25</v>
      </c>
      <c r="H163" s="41" t="s">
        <v>38</v>
      </c>
      <c r="I163" s="60">
        <v>44682</v>
      </c>
      <c r="J163" s="61">
        <f>EFEITO!$J$163*EFEITO!$Y$163</f>
        <v>0</v>
      </c>
      <c r="K163" s="61">
        <f ca="1">EFEITO!$L$163*EFEITO!$Z$163</f>
        <v>286.50338150425159</v>
      </c>
      <c r="L163" s="61">
        <f>EFEITO!$N$163*EFEITO!$AA$163</f>
        <v>582.43324104668807</v>
      </c>
      <c r="M163" s="61">
        <f>$J$163-EFEITO!$K$163*EFEITO!$Y$163</f>
        <v>0</v>
      </c>
      <c r="N163" s="61">
        <f ca="1">$K$163-EFEITO!$M$163*EFEITO!$Z$163</f>
        <v>0</v>
      </c>
      <c r="O163" s="61">
        <f>$L$163-EFEITO!$O$163*EFEITO!$AA$163</f>
        <v>0</v>
      </c>
      <c r="P163" s="45"/>
      <c r="Q163" s="45"/>
      <c r="R163" s="45"/>
      <c r="S163" s="45"/>
      <c r="T163" s="45"/>
      <c r="U163" s="45"/>
      <c r="V163" s="45"/>
      <c r="W163" s="45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1.25" customHeight="1" x14ac:dyDescent="0.2">
      <c r="A164" s="41" t="s">
        <v>21</v>
      </c>
      <c r="B164" s="41" t="s">
        <v>35</v>
      </c>
      <c r="C164" s="41" t="s">
        <v>39</v>
      </c>
      <c r="D164" s="41" t="s">
        <v>43</v>
      </c>
      <c r="E164" s="41" t="s">
        <v>25</v>
      </c>
      <c r="F164" s="41" t="s">
        <v>25</v>
      </c>
      <c r="G164" s="41" t="s">
        <v>25</v>
      </c>
      <c r="H164" s="41" t="s">
        <v>38</v>
      </c>
      <c r="I164" s="60">
        <v>44713</v>
      </c>
      <c r="J164" s="61">
        <f>EFEITO!$J$164*EFEITO!$Y$164</f>
        <v>0</v>
      </c>
      <c r="K164" s="61">
        <f ca="1">EFEITO!$L$164*EFEITO!$Z$164</f>
        <v>327.11472819064562</v>
      </c>
      <c r="L164" s="61">
        <f>EFEITO!$N$164*EFEITO!$AA$164</f>
        <v>664.99212097905695</v>
      </c>
      <c r="M164" s="61">
        <f>$J$164-EFEITO!$K$164*EFEITO!$Y$164</f>
        <v>0</v>
      </c>
      <c r="N164" s="61">
        <f ca="1">$K$164-EFEITO!$M$164*EFEITO!$Z$164</f>
        <v>0</v>
      </c>
      <c r="O164" s="61">
        <f>$L$164-EFEITO!$O$164*EFEITO!$AA$164</f>
        <v>0</v>
      </c>
      <c r="P164" s="45"/>
      <c r="Q164" s="45"/>
      <c r="R164" s="45"/>
      <c r="S164" s="45"/>
      <c r="T164" s="45"/>
      <c r="U164" s="45"/>
      <c r="V164" s="45"/>
      <c r="W164" s="45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1.25" customHeight="1" x14ac:dyDescent="0.2">
      <c r="A165" s="41" t="s">
        <v>21</v>
      </c>
      <c r="B165" s="41" t="s">
        <v>35</v>
      </c>
      <c r="C165" s="41" t="s">
        <v>39</v>
      </c>
      <c r="D165" s="41" t="s">
        <v>43</v>
      </c>
      <c r="E165" s="41" t="s">
        <v>25</v>
      </c>
      <c r="F165" s="41" t="s">
        <v>25</v>
      </c>
      <c r="G165" s="41" t="s">
        <v>25</v>
      </c>
      <c r="H165" s="41" t="s">
        <v>25</v>
      </c>
      <c r="I165" s="60">
        <v>44378</v>
      </c>
      <c r="J165" s="61">
        <f ca="1">EFEITO!$J$165*EFEITO!$Y$165</f>
        <v>4248.5005004530376</v>
      </c>
      <c r="K165" s="61">
        <f>EFEITO!$L$165*EFEITO!$Z$165</f>
        <v>0</v>
      </c>
      <c r="L165" s="61">
        <f>EFEITO!$N$165*EFEITO!$AA$165</f>
        <v>0</v>
      </c>
      <c r="M165" s="61">
        <f ca="1">$J$165-EFEITO!$K$165*EFEITO!$Y$165</f>
        <v>0</v>
      </c>
      <c r="N165" s="61">
        <f>$K$165-EFEITO!$M$165*EFEITO!$Z$165</f>
        <v>0</v>
      </c>
      <c r="O165" s="61">
        <f>$L$165-EFEITO!$O$165*EFEITO!$AA$165</f>
        <v>0</v>
      </c>
      <c r="P165" s="45"/>
      <c r="Q165" s="45"/>
      <c r="R165" s="45"/>
      <c r="S165" s="45"/>
      <c r="T165" s="45"/>
      <c r="U165" s="45"/>
      <c r="V165" s="45"/>
      <c r="W165" s="45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1.25" customHeight="1" x14ac:dyDescent="0.2">
      <c r="A166" s="41" t="s">
        <v>21</v>
      </c>
      <c r="B166" s="41" t="s">
        <v>35</v>
      </c>
      <c r="C166" s="41" t="s">
        <v>39</v>
      </c>
      <c r="D166" s="41" t="s">
        <v>43</v>
      </c>
      <c r="E166" s="41" t="s">
        <v>25</v>
      </c>
      <c r="F166" s="41" t="s">
        <v>25</v>
      </c>
      <c r="G166" s="41" t="s">
        <v>25</v>
      </c>
      <c r="H166" s="41" t="s">
        <v>25</v>
      </c>
      <c r="I166" s="60">
        <v>44409</v>
      </c>
      <c r="J166" s="61">
        <f ca="1">EFEITO!$J$166*EFEITO!$Y$166</f>
        <v>4248.5005004530376</v>
      </c>
      <c r="K166" s="61">
        <f>EFEITO!$L$166*EFEITO!$Z$166</f>
        <v>0</v>
      </c>
      <c r="L166" s="61">
        <f>EFEITO!$N$166*EFEITO!$AA$166</f>
        <v>0</v>
      </c>
      <c r="M166" s="61">
        <f ca="1">$J$166-EFEITO!$K$166*EFEITO!$Y$166</f>
        <v>0</v>
      </c>
      <c r="N166" s="61">
        <f>$K$166-EFEITO!$M$166*EFEITO!$Z$166</f>
        <v>0</v>
      </c>
      <c r="O166" s="61">
        <f>$L$166-EFEITO!$O$166*EFEITO!$AA$166</f>
        <v>0</v>
      </c>
      <c r="P166" s="45"/>
      <c r="Q166" s="45"/>
      <c r="R166" s="45"/>
      <c r="S166" s="45"/>
      <c r="T166" s="45"/>
      <c r="U166" s="45"/>
      <c r="V166" s="45"/>
      <c r="W166" s="45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1.25" customHeight="1" x14ac:dyDescent="0.2">
      <c r="A167" s="41" t="s">
        <v>21</v>
      </c>
      <c r="B167" s="41" t="s">
        <v>35</v>
      </c>
      <c r="C167" s="41" t="s">
        <v>39</v>
      </c>
      <c r="D167" s="41" t="s">
        <v>43</v>
      </c>
      <c r="E167" s="41" t="s">
        <v>25</v>
      </c>
      <c r="F167" s="41" t="s">
        <v>25</v>
      </c>
      <c r="G167" s="41" t="s">
        <v>25</v>
      </c>
      <c r="H167" s="41" t="s">
        <v>25</v>
      </c>
      <c r="I167" s="60">
        <v>44440</v>
      </c>
      <c r="J167" s="61">
        <f ca="1">EFEITO!$J$167*EFEITO!$Y$167</f>
        <v>4248.5005004530376</v>
      </c>
      <c r="K167" s="61">
        <f>EFEITO!$L$167*EFEITO!$Z$167</f>
        <v>0</v>
      </c>
      <c r="L167" s="61">
        <f>EFEITO!$N$167*EFEITO!$AA$167</f>
        <v>0</v>
      </c>
      <c r="M167" s="61">
        <f ca="1">$J$167-EFEITO!$K$167*EFEITO!$Y$167</f>
        <v>0</v>
      </c>
      <c r="N167" s="61">
        <f>$K$167-EFEITO!$M$167*EFEITO!$Z$167</f>
        <v>0</v>
      </c>
      <c r="O167" s="61">
        <f>$L$167-EFEITO!$O$167*EFEITO!$AA$167</f>
        <v>0</v>
      </c>
      <c r="P167" s="45"/>
      <c r="Q167" s="45"/>
      <c r="R167" s="45"/>
      <c r="S167" s="45"/>
      <c r="T167" s="45"/>
      <c r="U167" s="45"/>
      <c r="V167" s="45"/>
      <c r="W167" s="45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1.25" customHeight="1" x14ac:dyDescent="0.2">
      <c r="A168" s="41" t="s">
        <v>21</v>
      </c>
      <c r="B168" s="41" t="s">
        <v>35</v>
      </c>
      <c r="C168" s="41" t="s">
        <v>39</v>
      </c>
      <c r="D168" s="41" t="s">
        <v>43</v>
      </c>
      <c r="E168" s="41" t="s">
        <v>25</v>
      </c>
      <c r="F168" s="41" t="s">
        <v>25</v>
      </c>
      <c r="G168" s="41" t="s">
        <v>25</v>
      </c>
      <c r="H168" s="41" t="s">
        <v>25</v>
      </c>
      <c r="I168" s="60">
        <v>44470</v>
      </c>
      <c r="J168" s="61">
        <f ca="1">EFEITO!$J$168*EFEITO!$Y$168</f>
        <v>4248.5005004530376</v>
      </c>
      <c r="K168" s="61">
        <f>EFEITO!$L$168*EFEITO!$Z$168</f>
        <v>0</v>
      </c>
      <c r="L168" s="61">
        <f>EFEITO!$N$168*EFEITO!$AA$168</f>
        <v>0</v>
      </c>
      <c r="M168" s="61">
        <f ca="1">$J$168-EFEITO!$K$168*EFEITO!$Y$168</f>
        <v>0</v>
      </c>
      <c r="N168" s="61">
        <f>$K$168-EFEITO!$M$168*EFEITO!$Z$168</f>
        <v>0</v>
      </c>
      <c r="O168" s="61">
        <f>$L$168-EFEITO!$O$168*EFEITO!$AA$168</f>
        <v>0</v>
      </c>
      <c r="P168" s="45"/>
      <c r="Q168" s="45"/>
      <c r="R168" s="45"/>
      <c r="S168" s="45"/>
      <c r="T168" s="45"/>
      <c r="U168" s="45"/>
      <c r="V168" s="45"/>
      <c r="W168" s="45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1.25" customHeight="1" x14ac:dyDescent="0.2">
      <c r="A169" s="41" t="s">
        <v>21</v>
      </c>
      <c r="B169" s="41" t="s">
        <v>35</v>
      </c>
      <c r="C169" s="41" t="s">
        <v>39</v>
      </c>
      <c r="D169" s="41" t="s">
        <v>43</v>
      </c>
      <c r="E169" s="41" t="s">
        <v>25</v>
      </c>
      <c r="F169" s="41" t="s">
        <v>25</v>
      </c>
      <c r="G169" s="41" t="s">
        <v>25</v>
      </c>
      <c r="H169" s="41" t="s">
        <v>25</v>
      </c>
      <c r="I169" s="60">
        <v>44501</v>
      </c>
      <c r="J169" s="61">
        <f ca="1">EFEITO!$J$169*EFEITO!$Y$169</f>
        <v>4248.5005004530376</v>
      </c>
      <c r="K169" s="61">
        <f>EFEITO!$L$169*EFEITO!$Z$169</f>
        <v>0</v>
      </c>
      <c r="L169" s="61">
        <f>EFEITO!$N$169*EFEITO!$AA$169</f>
        <v>0</v>
      </c>
      <c r="M169" s="61">
        <f ca="1">$J$169-EFEITO!$K$169*EFEITO!$Y$169</f>
        <v>0</v>
      </c>
      <c r="N169" s="61">
        <f>$K$169-EFEITO!$M$169*EFEITO!$Z$169</f>
        <v>0</v>
      </c>
      <c r="O169" s="61">
        <f>$L$169-EFEITO!$O$169*EFEITO!$AA$169</f>
        <v>0</v>
      </c>
      <c r="P169" s="45"/>
      <c r="Q169" s="45"/>
      <c r="R169" s="45"/>
      <c r="S169" s="45"/>
      <c r="T169" s="45"/>
      <c r="U169" s="45"/>
      <c r="V169" s="45"/>
      <c r="W169" s="45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1.25" customHeight="1" x14ac:dyDescent="0.2">
      <c r="A170" s="41" t="s">
        <v>21</v>
      </c>
      <c r="B170" s="41" t="s">
        <v>35</v>
      </c>
      <c r="C170" s="41" t="s">
        <v>39</v>
      </c>
      <c r="D170" s="41" t="s">
        <v>43</v>
      </c>
      <c r="E170" s="41" t="s">
        <v>25</v>
      </c>
      <c r="F170" s="41" t="s">
        <v>25</v>
      </c>
      <c r="G170" s="41" t="s">
        <v>25</v>
      </c>
      <c r="H170" s="41" t="s">
        <v>25</v>
      </c>
      <c r="I170" s="60">
        <v>44531</v>
      </c>
      <c r="J170" s="61">
        <f ca="1">EFEITO!$J$170*EFEITO!$Y$170</f>
        <v>4248.5005004530376</v>
      </c>
      <c r="K170" s="61">
        <f>EFEITO!$L$170*EFEITO!$Z$170</f>
        <v>0</v>
      </c>
      <c r="L170" s="61">
        <f>EFEITO!$N$170*EFEITO!$AA$170</f>
        <v>0</v>
      </c>
      <c r="M170" s="61">
        <f ca="1">$J$170-EFEITO!$K$170*EFEITO!$Y$170</f>
        <v>0</v>
      </c>
      <c r="N170" s="61">
        <f>$K$170-EFEITO!$M$170*EFEITO!$Z$170</f>
        <v>0</v>
      </c>
      <c r="O170" s="61">
        <f>$L$170-EFEITO!$O$170*EFEITO!$AA$170</f>
        <v>0</v>
      </c>
      <c r="P170" s="45"/>
      <c r="Q170" s="45"/>
      <c r="R170" s="45"/>
      <c r="S170" s="45"/>
      <c r="T170" s="45"/>
      <c r="U170" s="45"/>
      <c r="V170" s="45"/>
      <c r="W170" s="45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1.25" customHeight="1" x14ac:dyDescent="0.2">
      <c r="A171" s="41" t="s">
        <v>21</v>
      </c>
      <c r="B171" s="41" t="s">
        <v>35</v>
      </c>
      <c r="C171" s="41" t="s">
        <v>39</v>
      </c>
      <c r="D171" s="41" t="s">
        <v>43</v>
      </c>
      <c r="E171" s="41" t="s">
        <v>25</v>
      </c>
      <c r="F171" s="41" t="s">
        <v>25</v>
      </c>
      <c r="G171" s="41" t="s">
        <v>25</v>
      </c>
      <c r="H171" s="41" t="s">
        <v>25</v>
      </c>
      <c r="I171" s="60">
        <v>44562</v>
      </c>
      <c r="J171" s="61">
        <f ca="1">EFEITO!$J$171*EFEITO!$Y$171</f>
        <v>5576.1569068446124</v>
      </c>
      <c r="K171" s="61">
        <f>EFEITO!$L$171*EFEITO!$Z$171</f>
        <v>0</v>
      </c>
      <c r="L171" s="61">
        <f>EFEITO!$N$171*EFEITO!$AA$171</f>
        <v>0</v>
      </c>
      <c r="M171" s="61">
        <f ca="1">$J$171-EFEITO!$K$171*EFEITO!$Y$171</f>
        <v>0</v>
      </c>
      <c r="N171" s="61">
        <f>$K$171-EFEITO!$M$171*EFEITO!$Z$171</f>
        <v>0</v>
      </c>
      <c r="O171" s="61">
        <f>$L$171-EFEITO!$O$171*EFEITO!$AA$171</f>
        <v>0</v>
      </c>
      <c r="P171" s="45"/>
      <c r="Q171" s="45"/>
      <c r="R171" s="45"/>
      <c r="S171" s="45"/>
      <c r="T171" s="45"/>
      <c r="U171" s="45"/>
      <c r="V171" s="45"/>
      <c r="W171" s="45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1.25" customHeight="1" x14ac:dyDescent="0.2">
      <c r="A172" s="41" t="s">
        <v>21</v>
      </c>
      <c r="B172" s="41" t="s">
        <v>35</v>
      </c>
      <c r="C172" s="41" t="s">
        <v>39</v>
      </c>
      <c r="D172" s="41" t="s">
        <v>43</v>
      </c>
      <c r="E172" s="41" t="s">
        <v>25</v>
      </c>
      <c r="F172" s="41" t="s">
        <v>25</v>
      </c>
      <c r="G172" s="41" t="s">
        <v>25</v>
      </c>
      <c r="H172" s="41" t="s">
        <v>25</v>
      </c>
      <c r="I172" s="60">
        <v>44593</v>
      </c>
      <c r="J172" s="61">
        <f ca="1">EFEITO!$J$172*EFEITO!$Y$172</f>
        <v>5576.1569068446124</v>
      </c>
      <c r="K172" s="61">
        <f>EFEITO!$L$172*EFEITO!$Z$172</f>
        <v>0</v>
      </c>
      <c r="L172" s="61">
        <f>EFEITO!$N$172*EFEITO!$AA$172</f>
        <v>0</v>
      </c>
      <c r="M172" s="61">
        <f ca="1">$J$172-EFEITO!$K$172*EFEITO!$Y$172</f>
        <v>0</v>
      </c>
      <c r="N172" s="61">
        <f>$K$172-EFEITO!$M$172*EFEITO!$Z$172</f>
        <v>0</v>
      </c>
      <c r="O172" s="61">
        <f>$L$172-EFEITO!$O$172*EFEITO!$AA$172</f>
        <v>0</v>
      </c>
      <c r="P172" s="45"/>
      <c r="Q172" s="45"/>
      <c r="R172" s="45"/>
      <c r="S172" s="45"/>
      <c r="T172" s="45"/>
      <c r="U172" s="45"/>
      <c r="V172" s="45"/>
      <c r="W172" s="45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1.25" customHeight="1" x14ac:dyDescent="0.2">
      <c r="A173" s="41" t="s">
        <v>21</v>
      </c>
      <c r="B173" s="41" t="s">
        <v>35</v>
      </c>
      <c r="C173" s="41" t="s">
        <v>39</v>
      </c>
      <c r="D173" s="41" t="s">
        <v>43</v>
      </c>
      <c r="E173" s="41" t="s">
        <v>25</v>
      </c>
      <c r="F173" s="41" t="s">
        <v>25</v>
      </c>
      <c r="G173" s="41" t="s">
        <v>25</v>
      </c>
      <c r="H173" s="41" t="s">
        <v>25</v>
      </c>
      <c r="I173" s="60">
        <v>44621</v>
      </c>
      <c r="J173" s="61">
        <f ca="1">EFEITO!$J$173*EFEITO!$Y$173</f>
        <v>4248.5005004530376</v>
      </c>
      <c r="K173" s="61">
        <f>EFEITO!$L$173*EFEITO!$Z$173</f>
        <v>0</v>
      </c>
      <c r="L173" s="61">
        <f>EFEITO!$N$173*EFEITO!$AA$173</f>
        <v>0</v>
      </c>
      <c r="M173" s="61">
        <f ca="1">$J$173-EFEITO!$K$173*EFEITO!$Y$173</f>
        <v>0</v>
      </c>
      <c r="N173" s="61">
        <f>$K$173-EFEITO!$M$173*EFEITO!$Z$173</f>
        <v>0</v>
      </c>
      <c r="O173" s="61">
        <f>$L$173-EFEITO!$O$173*EFEITO!$AA$173</f>
        <v>0</v>
      </c>
      <c r="P173" s="45"/>
      <c r="Q173" s="45"/>
      <c r="R173" s="45"/>
      <c r="S173" s="45"/>
      <c r="T173" s="45"/>
      <c r="U173" s="45"/>
      <c r="V173" s="45"/>
      <c r="W173" s="45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1.25" customHeight="1" x14ac:dyDescent="0.2">
      <c r="A174" s="41" t="s">
        <v>21</v>
      </c>
      <c r="B174" s="41" t="s">
        <v>35</v>
      </c>
      <c r="C174" s="41" t="s">
        <v>39</v>
      </c>
      <c r="D174" s="41" t="s">
        <v>43</v>
      </c>
      <c r="E174" s="41" t="s">
        <v>25</v>
      </c>
      <c r="F174" s="41" t="s">
        <v>25</v>
      </c>
      <c r="G174" s="41" t="s">
        <v>25</v>
      </c>
      <c r="H174" s="41" t="s">
        <v>25</v>
      </c>
      <c r="I174" s="60">
        <v>44652</v>
      </c>
      <c r="J174" s="61">
        <f ca="1">EFEITO!$J$174*EFEITO!$Y$174</f>
        <v>4248.5005004530376</v>
      </c>
      <c r="K174" s="61">
        <f>EFEITO!$L$174*EFEITO!$Z$174</f>
        <v>0</v>
      </c>
      <c r="L174" s="61">
        <f>EFEITO!$N$174*EFEITO!$AA$174</f>
        <v>0</v>
      </c>
      <c r="M174" s="61">
        <f ca="1">$J$174-EFEITO!$K$174*EFEITO!$Y$174</f>
        <v>0</v>
      </c>
      <c r="N174" s="61">
        <f>$K$174-EFEITO!$M$174*EFEITO!$Z$174</f>
        <v>0</v>
      </c>
      <c r="O174" s="61">
        <f>$L$174-EFEITO!$O$174*EFEITO!$AA$174</f>
        <v>0</v>
      </c>
      <c r="P174" s="45"/>
      <c r="Q174" s="45"/>
      <c r="R174" s="45"/>
      <c r="S174" s="45"/>
      <c r="T174" s="45"/>
      <c r="U174" s="45"/>
      <c r="V174" s="45"/>
      <c r="W174" s="45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1.25" customHeight="1" x14ac:dyDescent="0.2">
      <c r="A175" s="41" t="s">
        <v>21</v>
      </c>
      <c r="B175" s="41" t="s">
        <v>35</v>
      </c>
      <c r="C175" s="41" t="s">
        <v>39</v>
      </c>
      <c r="D175" s="41" t="s">
        <v>43</v>
      </c>
      <c r="E175" s="41" t="s">
        <v>25</v>
      </c>
      <c r="F175" s="41" t="s">
        <v>25</v>
      </c>
      <c r="G175" s="41" t="s">
        <v>25</v>
      </c>
      <c r="H175" s="41" t="s">
        <v>25</v>
      </c>
      <c r="I175" s="60">
        <v>44682</v>
      </c>
      <c r="J175" s="61">
        <f ca="1">EFEITO!$J$175*EFEITO!$Y$175</f>
        <v>4381.2661410921955</v>
      </c>
      <c r="K175" s="61">
        <f>EFEITO!$L$175*EFEITO!$Z$175</f>
        <v>0</v>
      </c>
      <c r="L175" s="61">
        <f>EFEITO!$N$175*EFEITO!$AA$175</f>
        <v>0</v>
      </c>
      <c r="M175" s="61">
        <f ca="1">$J$175-EFEITO!$K$175*EFEITO!$Y$175</f>
        <v>0</v>
      </c>
      <c r="N175" s="61">
        <f>$K$175-EFEITO!$M$175*EFEITO!$Z$175</f>
        <v>0</v>
      </c>
      <c r="O175" s="61">
        <f>$L$175-EFEITO!$O$175*EFEITO!$AA$175</f>
        <v>0</v>
      </c>
      <c r="P175" s="45"/>
      <c r="Q175" s="45"/>
      <c r="R175" s="45"/>
      <c r="S175" s="45"/>
      <c r="T175" s="45"/>
      <c r="U175" s="45"/>
      <c r="V175" s="45"/>
      <c r="W175" s="45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1.25" customHeight="1" x14ac:dyDescent="0.2">
      <c r="A176" s="41" t="s">
        <v>21</v>
      </c>
      <c r="B176" s="41" t="s">
        <v>35</v>
      </c>
      <c r="C176" s="41" t="s">
        <v>39</v>
      </c>
      <c r="D176" s="41" t="s">
        <v>43</v>
      </c>
      <c r="E176" s="41" t="s">
        <v>25</v>
      </c>
      <c r="F176" s="41" t="s">
        <v>25</v>
      </c>
      <c r="G176" s="41" t="s">
        <v>25</v>
      </c>
      <c r="H176" s="41" t="s">
        <v>25</v>
      </c>
      <c r="I176" s="60">
        <v>44713</v>
      </c>
      <c r="J176" s="61">
        <f ca="1">EFEITO!$J$176*EFEITO!$Y$176</f>
        <v>4248.5005004530376</v>
      </c>
      <c r="K176" s="61">
        <f>EFEITO!$L$176*EFEITO!$Z$176</f>
        <v>0</v>
      </c>
      <c r="L176" s="61">
        <f>EFEITO!$N$176*EFEITO!$AA$176</f>
        <v>0</v>
      </c>
      <c r="M176" s="61">
        <f ca="1">$J$176-EFEITO!$K$176*EFEITO!$Y$176</f>
        <v>0</v>
      </c>
      <c r="N176" s="61">
        <f>$K$176-EFEITO!$M$176*EFEITO!$Z$176</f>
        <v>0</v>
      </c>
      <c r="O176" s="61">
        <f>$L$176-EFEITO!$O$176*EFEITO!$AA$176</f>
        <v>0</v>
      </c>
      <c r="P176" s="45"/>
      <c r="Q176" s="45"/>
      <c r="R176" s="45"/>
      <c r="S176" s="45"/>
      <c r="T176" s="45"/>
      <c r="U176" s="45"/>
      <c r="V176" s="45"/>
      <c r="W176" s="45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1.25" customHeight="1" x14ac:dyDescent="0.2">
      <c r="A177" s="41" t="s">
        <v>21</v>
      </c>
      <c r="B177" s="41" t="s">
        <v>35</v>
      </c>
      <c r="C177" s="41" t="s">
        <v>39</v>
      </c>
      <c r="D177" s="41" t="s">
        <v>43</v>
      </c>
      <c r="E177" s="41" t="s">
        <v>25</v>
      </c>
      <c r="F177" s="41" t="s">
        <v>25</v>
      </c>
      <c r="G177" s="41" t="s">
        <v>25</v>
      </c>
      <c r="H177" s="41" t="s">
        <v>37</v>
      </c>
      <c r="I177" s="60">
        <v>44378</v>
      </c>
      <c r="J177" s="61">
        <f>EFEITO!$J$177*EFEITO!$Y$177</f>
        <v>0</v>
      </c>
      <c r="K177" s="61">
        <f ca="1">EFEITO!$L$177*EFEITO!$Z$177</f>
        <v>86.800205535588745</v>
      </c>
      <c r="L177" s="61">
        <f>EFEITO!$N$177*EFEITO!$AA$177</f>
        <v>7.4696129462619458</v>
      </c>
      <c r="M177" s="61">
        <f>$J$177-EFEITO!$K$177*EFEITO!$Y$177</f>
        <v>0</v>
      </c>
      <c r="N177" s="61">
        <f ca="1">$K$177-EFEITO!$M$177*EFEITO!$Z$177</f>
        <v>0</v>
      </c>
      <c r="O177" s="61">
        <f>$L$177-EFEITO!$O$177*EFEITO!$AA$177</f>
        <v>0</v>
      </c>
      <c r="P177" s="45"/>
      <c r="Q177" s="45"/>
      <c r="R177" s="45"/>
      <c r="S177" s="45"/>
      <c r="T177" s="45"/>
      <c r="U177" s="45"/>
      <c r="V177" s="45"/>
      <c r="W177" s="45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1.25" customHeight="1" x14ac:dyDescent="0.2">
      <c r="A178" s="41" t="s">
        <v>21</v>
      </c>
      <c r="B178" s="41" t="s">
        <v>35</v>
      </c>
      <c r="C178" s="41" t="s">
        <v>39</v>
      </c>
      <c r="D178" s="41" t="s">
        <v>43</v>
      </c>
      <c r="E178" s="41" t="s">
        <v>25</v>
      </c>
      <c r="F178" s="41" t="s">
        <v>25</v>
      </c>
      <c r="G178" s="41" t="s">
        <v>25</v>
      </c>
      <c r="H178" s="41" t="s">
        <v>37</v>
      </c>
      <c r="I178" s="60">
        <v>44409</v>
      </c>
      <c r="J178" s="61">
        <f>EFEITO!$J$178*EFEITO!$Y$178</f>
        <v>0</v>
      </c>
      <c r="K178" s="61">
        <f ca="1">EFEITO!$L$178*EFEITO!$Z$178</f>
        <v>68.526478054412166</v>
      </c>
      <c r="L178" s="61">
        <f>EFEITO!$N$178*EFEITO!$AA$178</f>
        <v>5.8970628523120627</v>
      </c>
      <c r="M178" s="61">
        <f>$J$178-EFEITO!$K$178*EFEITO!$Y$178</f>
        <v>0</v>
      </c>
      <c r="N178" s="61">
        <f ca="1">$K$178-EFEITO!$M$178*EFEITO!$Z$178</f>
        <v>0</v>
      </c>
      <c r="O178" s="61">
        <f>$L$178-EFEITO!$O$178*EFEITO!$AA$178</f>
        <v>0</v>
      </c>
      <c r="P178" s="45"/>
      <c r="Q178" s="45"/>
      <c r="R178" s="45"/>
      <c r="S178" s="45"/>
      <c r="T178" s="45"/>
      <c r="U178" s="45"/>
      <c r="V178" s="45"/>
      <c r="W178" s="45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1.25" customHeight="1" x14ac:dyDescent="0.2">
      <c r="A179" s="41" t="s">
        <v>21</v>
      </c>
      <c r="B179" s="41" t="s">
        <v>35</v>
      </c>
      <c r="C179" s="41" t="s">
        <v>39</v>
      </c>
      <c r="D179" s="41" t="s">
        <v>43</v>
      </c>
      <c r="E179" s="41" t="s">
        <v>25</v>
      </c>
      <c r="F179" s="41" t="s">
        <v>25</v>
      </c>
      <c r="G179" s="41" t="s">
        <v>25</v>
      </c>
      <c r="H179" s="41" t="s">
        <v>37</v>
      </c>
      <c r="I179" s="60">
        <v>44440</v>
      </c>
      <c r="J179" s="61">
        <f>EFEITO!$J$179*EFEITO!$Y$179</f>
        <v>0</v>
      </c>
      <c r="K179" s="61">
        <f ca="1">EFEITO!$L$179*EFEITO!$Z$179</f>
        <v>86.800205535588745</v>
      </c>
      <c r="L179" s="61">
        <f>EFEITO!$N$179*EFEITO!$AA$179</f>
        <v>7.4696129462619458</v>
      </c>
      <c r="M179" s="61">
        <f>$J$179-EFEITO!$K$179*EFEITO!$Y$179</f>
        <v>0</v>
      </c>
      <c r="N179" s="61">
        <f ca="1">$K$179-EFEITO!$M$179*EFEITO!$Z$179</f>
        <v>0</v>
      </c>
      <c r="O179" s="61">
        <f>$L$179-EFEITO!$O$179*EFEITO!$AA$179</f>
        <v>0</v>
      </c>
      <c r="P179" s="45"/>
      <c r="Q179" s="45"/>
      <c r="R179" s="45"/>
      <c r="S179" s="45"/>
      <c r="T179" s="45"/>
      <c r="U179" s="45"/>
      <c r="V179" s="45"/>
      <c r="W179" s="45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1.25" customHeight="1" x14ac:dyDescent="0.2">
      <c r="A180" s="41" t="s">
        <v>21</v>
      </c>
      <c r="B180" s="41" t="s">
        <v>35</v>
      </c>
      <c r="C180" s="41" t="s">
        <v>39</v>
      </c>
      <c r="D180" s="41" t="s">
        <v>43</v>
      </c>
      <c r="E180" s="41" t="s">
        <v>25</v>
      </c>
      <c r="F180" s="41" t="s">
        <v>25</v>
      </c>
      <c r="G180" s="41" t="s">
        <v>25</v>
      </c>
      <c r="H180" s="41" t="s">
        <v>37</v>
      </c>
      <c r="I180" s="60">
        <v>44470</v>
      </c>
      <c r="J180" s="61">
        <f>EFEITO!$J$180*EFEITO!$Y$180</f>
        <v>0</v>
      </c>
      <c r="K180" s="61">
        <f ca="1">EFEITO!$L$180*EFEITO!$Z$180</f>
        <v>61.673830248970951</v>
      </c>
      <c r="L180" s="61">
        <f>EFEITO!$N$180*EFEITO!$AA$180</f>
        <v>5.3073565670808565</v>
      </c>
      <c r="M180" s="61">
        <f>$J$180-EFEITO!$K$180*EFEITO!$Y$180</f>
        <v>0</v>
      </c>
      <c r="N180" s="61">
        <f ca="1">$K$180-EFEITO!$M$180*EFEITO!$Z$180</f>
        <v>0</v>
      </c>
      <c r="O180" s="61">
        <f>$L$180-EFEITO!$O$180*EFEITO!$AA$180</f>
        <v>0</v>
      </c>
      <c r="P180" s="45"/>
      <c r="Q180" s="45"/>
      <c r="R180" s="45"/>
      <c r="S180" s="45"/>
      <c r="T180" s="45"/>
      <c r="U180" s="45"/>
      <c r="V180" s="45"/>
      <c r="W180" s="45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1.25" customHeight="1" x14ac:dyDescent="0.2">
      <c r="A181" s="41" t="s">
        <v>21</v>
      </c>
      <c r="B181" s="41" t="s">
        <v>35</v>
      </c>
      <c r="C181" s="41" t="s">
        <v>39</v>
      </c>
      <c r="D181" s="41" t="s">
        <v>43</v>
      </c>
      <c r="E181" s="41" t="s">
        <v>25</v>
      </c>
      <c r="F181" s="41" t="s">
        <v>25</v>
      </c>
      <c r="G181" s="41" t="s">
        <v>25</v>
      </c>
      <c r="H181" s="41" t="s">
        <v>37</v>
      </c>
      <c r="I181" s="60">
        <v>44501</v>
      </c>
      <c r="J181" s="61">
        <f>EFEITO!$J$181*EFEITO!$Y$181</f>
        <v>0</v>
      </c>
      <c r="K181" s="61">
        <f ca="1">EFEITO!$L$181*EFEITO!$Z$181</f>
        <v>41.115886832647298</v>
      </c>
      <c r="L181" s="61">
        <f>EFEITO!$N$181*EFEITO!$AA$181</f>
        <v>3.5382377113872372</v>
      </c>
      <c r="M181" s="61">
        <f>$J$181-EFEITO!$K$181*EFEITO!$Y$181</f>
        <v>0</v>
      </c>
      <c r="N181" s="61">
        <f ca="1">$K$181-EFEITO!$M$181*EFEITO!$Z$181</f>
        <v>0</v>
      </c>
      <c r="O181" s="61">
        <f>$L$181-EFEITO!$O$181*EFEITO!$AA$181</f>
        <v>0</v>
      </c>
      <c r="P181" s="45"/>
      <c r="Q181" s="45"/>
      <c r="R181" s="45"/>
      <c r="S181" s="45"/>
      <c r="T181" s="45"/>
      <c r="U181" s="45"/>
      <c r="V181" s="45"/>
      <c r="W181" s="45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1.25" customHeight="1" x14ac:dyDescent="0.2">
      <c r="A182" s="41" t="s">
        <v>21</v>
      </c>
      <c r="B182" s="41" t="s">
        <v>35</v>
      </c>
      <c r="C182" s="41" t="s">
        <v>39</v>
      </c>
      <c r="D182" s="41" t="s">
        <v>43</v>
      </c>
      <c r="E182" s="41" t="s">
        <v>25</v>
      </c>
      <c r="F182" s="41" t="s">
        <v>25</v>
      </c>
      <c r="G182" s="41" t="s">
        <v>25</v>
      </c>
      <c r="H182" s="41" t="s">
        <v>37</v>
      </c>
      <c r="I182" s="60">
        <v>44531</v>
      </c>
      <c r="J182" s="61">
        <f>EFEITO!$J$182*EFEITO!$Y$182</f>
        <v>0</v>
      </c>
      <c r="K182" s="61">
        <f ca="1">EFEITO!$L$182*EFEITO!$Z$182</f>
        <v>38.831670897500231</v>
      </c>
      <c r="L182" s="61">
        <f>EFEITO!$N$182*EFEITO!$AA$182</f>
        <v>3.3416689496435024</v>
      </c>
      <c r="M182" s="61">
        <f>$J$182-EFEITO!$K$182*EFEITO!$Y$182</f>
        <v>0</v>
      </c>
      <c r="N182" s="61">
        <f ca="1">$K$182-EFEITO!$M$182*EFEITO!$Z$182</f>
        <v>0</v>
      </c>
      <c r="O182" s="61">
        <f>$L$182-EFEITO!$O$182*EFEITO!$AA$182</f>
        <v>0</v>
      </c>
      <c r="P182" s="45"/>
      <c r="Q182" s="45"/>
      <c r="R182" s="45"/>
      <c r="S182" s="45"/>
      <c r="T182" s="45"/>
      <c r="U182" s="45"/>
      <c r="V182" s="45"/>
      <c r="W182" s="45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1.25" customHeight="1" x14ac:dyDescent="0.2">
      <c r="A183" s="41" t="s">
        <v>21</v>
      </c>
      <c r="B183" s="41" t="s">
        <v>35</v>
      </c>
      <c r="C183" s="41" t="s">
        <v>39</v>
      </c>
      <c r="D183" s="41" t="s">
        <v>43</v>
      </c>
      <c r="E183" s="41" t="s">
        <v>25</v>
      </c>
      <c r="F183" s="41" t="s">
        <v>25</v>
      </c>
      <c r="G183" s="41" t="s">
        <v>25</v>
      </c>
      <c r="H183" s="41" t="s">
        <v>37</v>
      </c>
      <c r="I183" s="60">
        <v>44562</v>
      </c>
      <c r="J183" s="61">
        <f>EFEITO!$J$183*EFEITO!$Y$183</f>
        <v>0</v>
      </c>
      <c r="K183" s="61">
        <f ca="1">EFEITO!$L$183*EFEITO!$Z$183</f>
        <v>260.40061660676628</v>
      </c>
      <c r="L183" s="61">
        <f>EFEITO!$N$183*EFEITO!$AA$183</f>
        <v>22.40883883878584</v>
      </c>
      <c r="M183" s="61">
        <f>$J$183-EFEITO!$K$183*EFEITO!$Y$183</f>
        <v>0</v>
      </c>
      <c r="N183" s="61">
        <f ca="1">$K$183-EFEITO!$M$183*EFEITO!$Z$183</f>
        <v>0</v>
      </c>
      <c r="O183" s="61">
        <f>$L$183-EFEITO!$O$183*EFEITO!$AA$183</f>
        <v>0</v>
      </c>
      <c r="P183" s="45"/>
      <c r="Q183" s="45"/>
      <c r="R183" s="45"/>
      <c r="S183" s="45"/>
      <c r="T183" s="45"/>
      <c r="U183" s="45"/>
      <c r="V183" s="45"/>
      <c r="W183" s="45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1.25" customHeight="1" x14ac:dyDescent="0.2">
      <c r="A184" s="41" t="s">
        <v>21</v>
      </c>
      <c r="B184" s="41" t="s">
        <v>35</v>
      </c>
      <c r="C184" s="41" t="s">
        <v>39</v>
      </c>
      <c r="D184" s="41" t="s">
        <v>43</v>
      </c>
      <c r="E184" s="41" t="s">
        <v>25</v>
      </c>
      <c r="F184" s="41" t="s">
        <v>25</v>
      </c>
      <c r="G184" s="41" t="s">
        <v>25</v>
      </c>
      <c r="H184" s="41" t="s">
        <v>37</v>
      </c>
      <c r="I184" s="60">
        <v>44593</v>
      </c>
      <c r="J184" s="61">
        <f>EFEITO!$J$184*EFEITO!$Y$184</f>
        <v>0</v>
      </c>
      <c r="K184" s="61">
        <f ca="1">EFEITO!$L$184*EFEITO!$Z$184</f>
        <v>68.526478054412166</v>
      </c>
      <c r="L184" s="61">
        <f>EFEITO!$N$184*EFEITO!$AA$184</f>
        <v>5.8970628523120627</v>
      </c>
      <c r="M184" s="61">
        <f>$J$184-EFEITO!$K$184*EFEITO!$Y$184</f>
        <v>0</v>
      </c>
      <c r="N184" s="61">
        <f ca="1">$K$184-EFEITO!$M$184*EFEITO!$Z$184</f>
        <v>0</v>
      </c>
      <c r="O184" s="61">
        <f>$L$184-EFEITO!$O$184*EFEITO!$AA$184</f>
        <v>0</v>
      </c>
      <c r="P184" s="45"/>
      <c r="Q184" s="45"/>
      <c r="R184" s="45"/>
      <c r="S184" s="45"/>
      <c r="T184" s="45"/>
      <c r="U184" s="45"/>
      <c r="V184" s="45"/>
      <c r="W184" s="45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1.25" customHeight="1" x14ac:dyDescent="0.2">
      <c r="A185" s="41" t="s">
        <v>21</v>
      </c>
      <c r="B185" s="41" t="s">
        <v>35</v>
      </c>
      <c r="C185" s="41" t="s">
        <v>39</v>
      </c>
      <c r="D185" s="41" t="s">
        <v>43</v>
      </c>
      <c r="E185" s="41" t="s">
        <v>25</v>
      </c>
      <c r="F185" s="41" t="s">
        <v>25</v>
      </c>
      <c r="G185" s="41" t="s">
        <v>25</v>
      </c>
      <c r="H185" s="41" t="s">
        <v>37</v>
      </c>
      <c r="I185" s="60">
        <v>44621</v>
      </c>
      <c r="J185" s="61">
        <f>EFEITO!$J$185*EFEITO!$Y$185</f>
        <v>0</v>
      </c>
      <c r="K185" s="61">
        <f ca="1">EFEITO!$L$185*EFEITO!$Z$185</f>
        <v>52.536966508382662</v>
      </c>
      <c r="L185" s="61">
        <f>EFEITO!$N$185*EFEITO!$AA$185</f>
        <v>4.5210815201059145</v>
      </c>
      <c r="M185" s="61">
        <f>$J$185-EFEITO!$K$185*EFEITO!$Y$185</f>
        <v>0</v>
      </c>
      <c r="N185" s="61">
        <f ca="1">$K$185-EFEITO!$M$185*EFEITO!$Z$185</f>
        <v>0</v>
      </c>
      <c r="O185" s="61">
        <f>$L$185-EFEITO!$O$185*EFEITO!$AA$185</f>
        <v>0</v>
      </c>
      <c r="P185" s="45"/>
      <c r="Q185" s="45"/>
      <c r="R185" s="45"/>
      <c r="S185" s="45"/>
      <c r="T185" s="45"/>
      <c r="U185" s="45"/>
      <c r="V185" s="45"/>
      <c r="W185" s="45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1.25" customHeight="1" x14ac:dyDescent="0.2">
      <c r="A186" s="41" t="s">
        <v>21</v>
      </c>
      <c r="B186" s="41" t="s">
        <v>35</v>
      </c>
      <c r="C186" s="41" t="s">
        <v>39</v>
      </c>
      <c r="D186" s="41" t="s">
        <v>43</v>
      </c>
      <c r="E186" s="41" t="s">
        <v>25</v>
      </c>
      <c r="F186" s="41" t="s">
        <v>25</v>
      </c>
      <c r="G186" s="41" t="s">
        <v>25</v>
      </c>
      <c r="H186" s="41" t="s">
        <v>37</v>
      </c>
      <c r="I186" s="60">
        <v>44652</v>
      </c>
      <c r="J186" s="61">
        <f>EFEITO!$J$186*EFEITO!$Y$186</f>
        <v>0</v>
      </c>
      <c r="K186" s="61">
        <f ca="1">EFEITO!$L$186*EFEITO!$Z$186</f>
        <v>47.968534638088521</v>
      </c>
      <c r="L186" s="61">
        <f>EFEITO!$N$186*EFEITO!$AA$186</f>
        <v>4.1279439966184439</v>
      </c>
      <c r="M186" s="61">
        <f>$J$186-EFEITO!$K$186*EFEITO!$Y$186</f>
        <v>0</v>
      </c>
      <c r="N186" s="61">
        <f ca="1">$K$186-EFEITO!$M$186*EFEITO!$Z$186</f>
        <v>0</v>
      </c>
      <c r="O186" s="61">
        <f>$L$186-EFEITO!$O$186*EFEITO!$AA$186</f>
        <v>0</v>
      </c>
      <c r="P186" s="45"/>
      <c r="Q186" s="45"/>
      <c r="R186" s="45"/>
      <c r="S186" s="45"/>
      <c r="T186" s="45"/>
      <c r="U186" s="45"/>
      <c r="V186" s="45"/>
      <c r="W186" s="45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1.25" customHeight="1" x14ac:dyDescent="0.2">
      <c r="A187" s="41" t="s">
        <v>21</v>
      </c>
      <c r="B187" s="41" t="s">
        <v>35</v>
      </c>
      <c r="C187" s="41" t="s">
        <v>39</v>
      </c>
      <c r="D187" s="41" t="s">
        <v>43</v>
      </c>
      <c r="E187" s="41" t="s">
        <v>25</v>
      </c>
      <c r="F187" s="41" t="s">
        <v>25</v>
      </c>
      <c r="G187" s="41" t="s">
        <v>25</v>
      </c>
      <c r="H187" s="41" t="s">
        <v>37</v>
      </c>
      <c r="I187" s="60">
        <v>44713</v>
      </c>
      <c r="J187" s="61">
        <f>EFEITO!$J$187*EFEITO!$Y$187</f>
        <v>0</v>
      </c>
      <c r="K187" s="61">
        <f ca="1">EFEITO!$L$187*EFEITO!$Z$187</f>
        <v>63.958046184118025</v>
      </c>
      <c r="L187" s="61">
        <f>EFEITO!$N$187*EFEITO!$AA$187</f>
        <v>5.5039253288245922</v>
      </c>
      <c r="M187" s="61">
        <f>$J$187-EFEITO!$K$187*EFEITO!$Y$187</f>
        <v>0</v>
      </c>
      <c r="N187" s="61">
        <f ca="1">$K$187-EFEITO!$M$187*EFEITO!$Z$187</f>
        <v>0</v>
      </c>
      <c r="O187" s="61">
        <f>$L$187-EFEITO!$O$187*EFEITO!$AA$187</f>
        <v>0</v>
      </c>
      <c r="P187" s="45"/>
      <c r="Q187" s="45"/>
      <c r="R187" s="45"/>
      <c r="S187" s="45"/>
      <c r="T187" s="45"/>
      <c r="U187" s="45"/>
      <c r="V187" s="45"/>
      <c r="W187" s="45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1.25" customHeight="1" x14ac:dyDescent="0.2">
      <c r="A188" s="41" t="s">
        <v>21</v>
      </c>
      <c r="B188" s="41" t="s">
        <v>35</v>
      </c>
      <c r="C188" s="41" t="s">
        <v>39</v>
      </c>
      <c r="D188" s="41" t="s">
        <v>42</v>
      </c>
      <c r="E188" s="41" t="s">
        <v>49</v>
      </c>
      <c r="F188" s="41" t="s">
        <v>51</v>
      </c>
      <c r="G188" s="41" t="s">
        <v>25</v>
      </c>
      <c r="H188" s="41" t="s">
        <v>38</v>
      </c>
      <c r="I188" s="60">
        <v>44378</v>
      </c>
      <c r="J188" s="61">
        <f>EFEITO!$J$188*EFEITO!$Y$164</f>
        <v>0</v>
      </c>
      <c r="K188" s="61">
        <f ca="1">EFEITO!$L$188*EFEITO!$Z$164</f>
        <v>660.32115838425034</v>
      </c>
      <c r="L188" s="61">
        <f>EFEITO!$N$188*EFEITO!$AA$164</f>
        <v>1342.3680739479692</v>
      </c>
      <c r="M188" s="61">
        <f>$J$188-EFEITO!$K$188*EFEITO!$Y$188</f>
        <v>0</v>
      </c>
      <c r="N188" s="61">
        <f ca="1">$K$188-EFEITO!$M$188*EFEITO!$Z$188</f>
        <v>462.22481086897517</v>
      </c>
      <c r="O188" s="61">
        <f>$L$188-EFEITO!$O$188*EFEITO!$AA$188</f>
        <v>939.65765176357831</v>
      </c>
      <c r="P188" s="45"/>
      <c r="Q188" s="45"/>
      <c r="R188" s="45"/>
      <c r="S188" s="45"/>
      <c r="T188" s="45"/>
      <c r="U188" s="45"/>
      <c r="V188" s="45"/>
      <c r="W188" s="45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1.25" customHeight="1" x14ac:dyDescent="0.2">
      <c r="A189" s="41" t="s">
        <v>21</v>
      </c>
      <c r="B189" s="41" t="s">
        <v>35</v>
      </c>
      <c r="C189" s="41" t="s">
        <v>39</v>
      </c>
      <c r="D189" s="41" t="s">
        <v>42</v>
      </c>
      <c r="E189" s="41" t="s">
        <v>49</v>
      </c>
      <c r="F189" s="41" t="s">
        <v>51</v>
      </c>
      <c r="G189" s="41" t="s">
        <v>25</v>
      </c>
      <c r="H189" s="41" t="s">
        <v>38</v>
      </c>
      <c r="I189" s="60">
        <v>44409</v>
      </c>
      <c r="J189" s="61">
        <f>EFEITO!$J$189*EFEITO!$Y$164</f>
        <v>0</v>
      </c>
      <c r="K189" s="61">
        <f ca="1">EFEITO!$L$189*EFEITO!$Z$164</f>
        <v>979.31361723761722</v>
      </c>
      <c r="L189" s="61">
        <f>EFEITO!$N$189*EFEITO!$AA$164</f>
        <v>1990.8484189405524</v>
      </c>
      <c r="M189" s="61">
        <f>$J$189-EFEITO!$K$189*EFEITO!$Y$189</f>
        <v>0</v>
      </c>
      <c r="N189" s="61">
        <f ca="1">$K$189-EFEITO!$M$189*EFEITO!$Z$189</f>
        <v>685.51953206633198</v>
      </c>
      <c r="O189" s="61">
        <f>$L$189-EFEITO!$O$189*EFEITO!$AA$189</f>
        <v>1393.5938932583867</v>
      </c>
      <c r="P189" s="45"/>
      <c r="Q189" s="45"/>
      <c r="R189" s="45"/>
      <c r="S189" s="45"/>
      <c r="T189" s="45"/>
      <c r="U189" s="45"/>
      <c r="V189" s="45"/>
      <c r="W189" s="45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1.25" customHeight="1" x14ac:dyDescent="0.2">
      <c r="A190" s="41" t="s">
        <v>21</v>
      </c>
      <c r="B190" s="41" t="s">
        <v>35</v>
      </c>
      <c r="C190" s="41" t="s">
        <v>39</v>
      </c>
      <c r="D190" s="41" t="s">
        <v>42</v>
      </c>
      <c r="E190" s="41" t="s">
        <v>49</v>
      </c>
      <c r="F190" s="41" t="s">
        <v>51</v>
      </c>
      <c r="G190" s="41" t="s">
        <v>25</v>
      </c>
      <c r="H190" s="41" t="s">
        <v>38</v>
      </c>
      <c r="I190" s="60">
        <v>44440</v>
      </c>
      <c r="J190" s="61">
        <f>EFEITO!$J$190*EFEITO!$Y$164</f>
        <v>0</v>
      </c>
      <c r="K190" s="61">
        <f ca="1">EFEITO!$L$190*EFEITO!$Z$164</f>
        <v>1427.1020612964053</v>
      </c>
      <c r="L190" s="61">
        <f>EFEITO!$N$190*EFEITO!$AA$164</f>
        <v>2901.1583545757912</v>
      </c>
      <c r="M190" s="61">
        <f>$J$190-EFEITO!$K$190*EFEITO!$Y$190</f>
        <v>0</v>
      </c>
      <c r="N190" s="61">
        <f ca="1">$K$190-EFEITO!$M$190*EFEITO!$Z$190</f>
        <v>998.97144290748372</v>
      </c>
      <c r="O190" s="61">
        <f>$L$190-EFEITO!$O$190*EFEITO!$AA$190</f>
        <v>2030.8108482030539</v>
      </c>
      <c r="P190" s="45"/>
      <c r="Q190" s="45"/>
      <c r="R190" s="45"/>
      <c r="S190" s="45"/>
      <c r="T190" s="45"/>
      <c r="U190" s="45"/>
      <c r="V190" s="45"/>
      <c r="W190" s="45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1.25" customHeight="1" x14ac:dyDescent="0.2">
      <c r="A191" s="41" t="s">
        <v>21</v>
      </c>
      <c r="B191" s="41" t="s">
        <v>35</v>
      </c>
      <c r="C191" s="41" t="s">
        <v>39</v>
      </c>
      <c r="D191" s="41" t="s">
        <v>42</v>
      </c>
      <c r="E191" s="41" t="s">
        <v>49</v>
      </c>
      <c r="F191" s="41" t="s">
        <v>51</v>
      </c>
      <c r="G191" s="41" t="s">
        <v>25</v>
      </c>
      <c r="H191" s="41" t="s">
        <v>38</v>
      </c>
      <c r="I191" s="60">
        <v>44470</v>
      </c>
      <c r="J191" s="61">
        <f>EFEITO!$J$191*EFEITO!$Y$164</f>
        <v>0</v>
      </c>
      <c r="K191" s="61">
        <f ca="1">EFEITO!$L$191*EFEITO!$Z$164</f>
        <v>2871.6089854584079</v>
      </c>
      <c r="L191" s="61">
        <f>EFEITO!$N$191*EFEITO!$AA$164</f>
        <v>5837.6990862654548</v>
      </c>
      <c r="M191" s="61">
        <f>$J$191-EFEITO!$K$191*EFEITO!$Y$191</f>
        <v>0</v>
      </c>
      <c r="N191" s="61">
        <f ca="1">$K$191-EFEITO!$M$191*EFEITO!$Z$191</f>
        <v>2010.1262898208856</v>
      </c>
      <c r="O191" s="61">
        <f>$L$191-EFEITO!$O$191*EFEITO!$AA$191</f>
        <v>4086.3893603858187</v>
      </c>
      <c r="P191" s="45"/>
      <c r="Q191" s="45"/>
      <c r="R191" s="45"/>
      <c r="S191" s="45"/>
      <c r="T191" s="45"/>
      <c r="U191" s="45"/>
      <c r="V191" s="45"/>
      <c r="W191" s="45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1.25" customHeight="1" x14ac:dyDescent="0.2">
      <c r="A192" s="41" t="s">
        <v>21</v>
      </c>
      <c r="B192" s="41" t="s">
        <v>35</v>
      </c>
      <c r="C192" s="41" t="s">
        <v>39</v>
      </c>
      <c r="D192" s="41" t="s">
        <v>42</v>
      </c>
      <c r="E192" s="41" t="s">
        <v>49</v>
      </c>
      <c r="F192" s="41" t="s">
        <v>51</v>
      </c>
      <c r="G192" s="41" t="s">
        <v>25</v>
      </c>
      <c r="H192" s="41" t="s">
        <v>38</v>
      </c>
      <c r="I192" s="60">
        <v>44501</v>
      </c>
      <c r="J192" s="61">
        <f>EFEITO!$J$192*EFEITO!$Y$164</f>
        <v>0</v>
      </c>
      <c r="K192" s="61">
        <f ca="1">EFEITO!$L$192*EFEITO!$Z$164</f>
        <v>11504.614354159923</v>
      </c>
      <c r="L192" s="61">
        <f>EFEITO!$N$192*EFEITO!$AA$164</f>
        <v>23387.751272269641</v>
      </c>
      <c r="M192" s="61">
        <f>$J$192-EFEITO!$K$192*EFEITO!$Y$192</f>
        <v>0</v>
      </c>
      <c r="N192" s="61">
        <f ca="1">$K$192-EFEITO!$M$192*EFEITO!$Z$192</f>
        <v>8053.2300479119458</v>
      </c>
      <c r="O192" s="61">
        <f>$L$192-EFEITO!$O$192*EFEITO!$AA$192</f>
        <v>16371.425890588747</v>
      </c>
      <c r="P192" s="45"/>
      <c r="Q192" s="45"/>
      <c r="R192" s="45"/>
      <c r="S192" s="45"/>
      <c r="T192" s="45"/>
      <c r="U192" s="45"/>
      <c r="V192" s="45"/>
      <c r="W192" s="45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1.25" customHeight="1" x14ac:dyDescent="0.2">
      <c r="A193" s="41" t="s">
        <v>21</v>
      </c>
      <c r="B193" s="41" t="s">
        <v>35</v>
      </c>
      <c r="C193" s="41" t="s">
        <v>39</v>
      </c>
      <c r="D193" s="41" t="s">
        <v>42</v>
      </c>
      <c r="E193" s="41" t="s">
        <v>49</v>
      </c>
      <c r="F193" s="41" t="s">
        <v>51</v>
      </c>
      <c r="G193" s="41" t="s">
        <v>25</v>
      </c>
      <c r="H193" s="41" t="s">
        <v>38</v>
      </c>
      <c r="I193" s="60">
        <v>44531</v>
      </c>
      <c r="J193" s="61">
        <f>EFEITO!$J$193*EFEITO!$Y$164</f>
        <v>0</v>
      </c>
      <c r="K193" s="61">
        <f ca="1">EFEITO!$L$193*EFEITO!$Z$164</f>
        <v>12825.933526706531</v>
      </c>
      <c r="L193" s="61">
        <f>EFEITO!$N$193*EFEITO!$AA$164</f>
        <v>26073.863401497787</v>
      </c>
      <c r="M193" s="61">
        <f>$J$193-EFEITO!$K$193*EFEITO!$Y$193</f>
        <v>0</v>
      </c>
      <c r="N193" s="61">
        <f ca="1">$K$193-EFEITO!$M$193*EFEITO!$Z$193</f>
        <v>8978.1534686945706</v>
      </c>
      <c r="O193" s="61">
        <f>$L$193-EFEITO!$O$193*EFEITO!$AA$193</f>
        <v>18251.70438104845</v>
      </c>
      <c r="P193" s="45"/>
      <c r="Q193" s="45"/>
      <c r="R193" s="45"/>
      <c r="S193" s="45"/>
      <c r="T193" s="45"/>
      <c r="U193" s="45"/>
      <c r="V193" s="45"/>
      <c r="W193" s="45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1.25" customHeight="1" x14ac:dyDescent="0.2">
      <c r="A194" s="41" t="s">
        <v>21</v>
      </c>
      <c r="B194" s="41" t="s">
        <v>35</v>
      </c>
      <c r="C194" s="41" t="s">
        <v>39</v>
      </c>
      <c r="D194" s="41" t="s">
        <v>42</v>
      </c>
      <c r="E194" s="41" t="s">
        <v>49</v>
      </c>
      <c r="F194" s="41" t="s">
        <v>51</v>
      </c>
      <c r="G194" s="41" t="s">
        <v>25</v>
      </c>
      <c r="H194" s="41" t="s">
        <v>38</v>
      </c>
      <c r="I194" s="60">
        <v>44562</v>
      </c>
      <c r="J194" s="61">
        <f>EFEITO!$J$194*EFEITO!$Y$164</f>
        <v>0</v>
      </c>
      <c r="K194" s="61">
        <f ca="1">EFEITO!$L$194*EFEITO!$Z$164</f>
        <v>3850.0523595527457</v>
      </c>
      <c r="L194" s="61">
        <f>EFEITO!$N$194*EFEITO!$AA$164</f>
        <v>7826.7783863503137</v>
      </c>
      <c r="M194" s="61">
        <f>$J$194-EFEITO!$K$194*EFEITO!$Y$194</f>
        <v>0</v>
      </c>
      <c r="N194" s="61">
        <f ca="1">$K$194-EFEITO!$M$194*EFEITO!$Z$194</f>
        <v>2695.0366516869217</v>
      </c>
      <c r="O194" s="61">
        <f>$L$194-EFEITO!$O$194*EFEITO!$AA$194</f>
        <v>5478.7448704452199</v>
      </c>
      <c r="P194" s="45"/>
      <c r="Q194" s="45"/>
      <c r="R194" s="45"/>
      <c r="S194" s="45"/>
      <c r="T194" s="45"/>
      <c r="U194" s="45"/>
      <c r="V194" s="45"/>
      <c r="W194" s="45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1.25" customHeight="1" x14ac:dyDescent="0.2">
      <c r="A195" s="41" t="s">
        <v>21</v>
      </c>
      <c r="B195" s="41" t="s">
        <v>35</v>
      </c>
      <c r="C195" s="41" t="s">
        <v>39</v>
      </c>
      <c r="D195" s="41" t="s">
        <v>42</v>
      </c>
      <c r="E195" s="41" t="s">
        <v>49</v>
      </c>
      <c r="F195" s="41" t="s">
        <v>51</v>
      </c>
      <c r="G195" s="41" t="s">
        <v>25</v>
      </c>
      <c r="H195" s="41" t="s">
        <v>38</v>
      </c>
      <c r="I195" s="60">
        <v>44593</v>
      </c>
      <c r="J195" s="61">
        <f>EFEITO!$J$195*EFEITO!$Y$164</f>
        <v>0</v>
      </c>
      <c r="K195" s="61">
        <f ca="1">EFEITO!$L$195*EFEITO!$Z$164</f>
        <v>5478.8574427249077</v>
      </c>
      <c r="L195" s="61">
        <f>EFEITO!$N$195*EFEITO!$AA$164</f>
        <v>11137.979177923537</v>
      </c>
      <c r="M195" s="61">
        <f>$J$195-EFEITO!$K$195*EFEITO!$Y$195</f>
        <v>0</v>
      </c>
      <c r="N195" s="61">
        <f ca="1">$K$195-EFEITO!$M$195*EFEITO!$Z$195</f>
        <v>3835.2002099074352</v>
      </c>
      <c r="O195" s="61">
        <f>$L$195-EFEITO!$O$195*EFEITO!$AA$195</f>
        <v>7796.5854245464761</v>
      </c>
      <c r="P195" s="45"/>
      <c r="Q195" s="45"/>
      <c r="R195" s="45"/>
      <c r="S195" s="45"/>
      <c r="T195" s="45"/>
      <c r="U195" s="45"/>
      <c r="V195" s="45"/>
      <c r="W195" s="45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1.25" customHeight="1" x14ac:dyDescent="0.2">
      <c r="A196" s="41" t="s">
        <v>21</v>
      </c>
      <c r="B196" s="41" t="s">
        <v>35</v>
      </c>
      <c r="C196" s="41" t="s">
        <v>39</v>
      </c>
      <c r="D196" s="41" t="s">
        <v>42</v>
      </c>
      <c r="E196" s="41" t="s">
        <v>49</v>
      </c>
      <c r="F196" s="41" t="s">
        <v>51</v>
      </c>
      <c r="G196" s="41" t="s">
        <v>25</v>
      </c>
      <c r="H196" s="41" t="s">
        <v>38</v>
      </c>
      <c r="I196" s="60">
        <v>44621</v>
      </c>
      <c r="J196" s="61">
        <f>EFEITO!$J$196*EFEITO!$Y$164</f>
        <v>0</v>
      </c>
      <c r="K196" s="61">
        <f ca="1">EFEITO!$L$196*EFEITO!$Z$164</f>
        <v>2826.9365041033748</v>
      </c>
      <c r="L196" s="61">
        <f>EFEITO!$N$196*EFEITO!$AA$164</f>
        <v>5746.8843183398485</v>
      </c>
      <c r="M196" s="61">
        <f>$J$196-EFEITO!$K$196*EFEITO!$Y$196</f>
        <v>0</v>
      </c>
      <c r="N196" s="61">
        <f ca="1">$K$196-EFEITO!$M$196*EFEITO!$Z$196</f>
        <v>1978.8555528723623</v>
      </c>
      <c r="O196" s="61">
        <f>$L$196-EFEITO!$O$196*EFEITO!$AA$196</f>
        <v>4022.819022837894</v>
      </c>
      <c r="P196" s="45"/>
      <c r="Q196" s="45"/>
      <c r="R196" s="45"/>
      <c r="S196" s="45"/>
      <c r="T196" s="45"/>
      <c r="U196" s="45"/>
      <c r="V196" s="45"/>
      <c r="W196" s="45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1.25" customHeight="1" x14ac:dyDescent="0.2">
      <c r="A197" s="41" t="s">
        <v>21</v>
      </c>
      <c r="B197" s="41" t="s">
        <v>35</v>
      </c>
      <c r="C197" s="41" t="s">
        <v>39</v>
      </c>
      <c r="D197" s="41" t="s">
        <v>42</v>
      </c>
      <c r="E197" s="41" t="s">
        <v>49</v>
      </c>
      <c r="F197" s="41" t="s">
        <v>51</v>
      </c>
      <c r="G197" s="41" t="s">
        <v>25</v>
      </c>
      <c r="H197" s="41" t="s">
        <v>38</v>
      </c>
      <c r="I197" s="60">
        <v>44652</v>
      </c>
      <c r="J197" s="61">
        <f>EFEITO!$J$197*EFEITO!$Y$164</f>
        <v>0</v>
      </c>
      <c r="K197" s="61">
        <f ca="1">EFEITO!$L$197*EFEITO!$Z$164</f>
        <v>1650.947936484506</v>
      </c>
      <c r="L197" s="61">
        <f>EFEITO!$N$197*EFEITO!$AA$164</f>
        <v>3356.215038012539</v>
      </c>
      <c r="M197" s="61">
        <f>$J$197-EFEITO!$K$197*EFEITO!$Y$197</f>
        <v>0</v>
      </c>
      <c r="N197" s="61">
        <f ca="1">$K$197-EFEITO!$M$197*EFEITO!$Z$197</f>
        <v>1155.6635555391542</v>
      </c>
      <c r="O197" s="61">
        <f>$L$197-EFEITO!$O$197*EFEITO!$AA$197</f>
        <v>2349.3505266087773</v>
      </c>
      <c r="P197" s="45"/>
      <c r="Q197" s="45"/>
      <c r="R197" s="45"/>
      <c r="S197" s="45"/>
      <c r="T197" s="45"/>
      <c r="U197" s="45"/>
      <c r="V197" s="45"/>
      <c r="W197" s="45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1.25" customHeight="1" x14ac:dyDescent="0.2">
      <c r="A198" s="41" t="s">
        <v>21</v>
      </c>
      <c r="B198" s="41" t="s">
        <v>35</v>
      </c>
      <c r="C198" s="41" t="s">
        <v>39</v>
      </c>
      <c r="D198" s="41" t="s">
        <v>42</v>
      </c>
      <c r="E198" s="41" t="s">
        <v>49</v>
      </c>
      <c r="F198" s="41" t="s">
        <v>51</v>
      </c>
      <c r="G198" s="41" t="s">
        <v>25</v>
      </c>
      <c r="H198" s="41" t="s">
        <v>38</v>
      </c>
      <c r="I198" s="60">
        <v>44682</v>
      </c>
      <c r="J198" s="61">
        <f>EFEITO!$J$198*EFEITO!$Y$164</f>
        <v>0</v>
      </c>
      <c r="K198" s="61">
        <f ca="1">EFEITO!$L$198*EFEITO!$Z$164</f>
        <v>128.69929152283456</v>
      </c>
      <c r="L198" s="61">
        <f>EFEITO!$N$198*EFEITO!$AA$164</f>
        <v>261.63302188091183</v>
      </c>
      <c r="M198" s="61">
        <f>$J$198-EFEITO!$K$198*EFEITO!$Y$198</f>
        <v>0</v>
      </c>
      <c r="N198" s="61">
        <f ca="1">$K$198-EFEITO!$M$198*EFEITO!$Z$198</f>
        <v>90.089504065984187</v>
      </c>
      <c r="O198" s="61">
        <f>$L$198-EFEITO!$O$198*EFEITO!$AA$198</f>
        <v>183.14311531663827</v>
      </c>
      <c r="P198" s="45"/>
      <c r="Q198" s="45"/>
      <c r="R198" s="45"/>
      <c r="S198" s="45"/>
      <c r="T198" s="45"/>
      <c r="U198" s="45"/>
      <c r="V198" s="45"/>
      <c r="W198" s="45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1.25" customHeight="1" x14ac:dyDescent="0.2">
      <c r="A199" s="41" t="s">
        <v>21</v>
      </c>
      <c r="B199" s="41" t="s">
        <v>35</v>
      </c>
      <c r="C199" s="41" t="s">
        <v>39</v>
      </c>
      <c r="D199" s="41" t="s">
        <v>42</v>
      </c>
      <c r="E199" s="41" t="s">
        <v>49</v>
      </c>
      <c r="F199" s="41" t="s">
        <v>51</v>
      </c>
      <c r="G199" s="41" t="s">
        <v>25</v>
      </c>
      <c r="H199" s="41" t="s">
        <v>38</v>
      </c>
      <c r="I199" s="60">
        <v>44713</v>
      </c>
      <c r="J199" s="61">
        <f>EFEITO!$J$199*EFEITO!$Y$164</f>
        <v>0</v>
      </c>
      <c r="K199" s="61">
        <f ca="1">EFEITO!$L$199*EFEITO!$Z$164</f>
        <v>174.82217811666786</v>
      </c>
      <c r="L199" s="61">
        <f>EFEITO!$N$199*EFEITO!$AA$164</f>
        <v>355.39632123267364</v>
      </c>
      <c r="M199" s="61">
        <f>$J$199-EFEITO!$K$199*EFEITO!$Y$199</f>
        <v>0</v>
      </c>
      <c r="N199" s="61">
        <f ca="1">$K$199-EFEITO!$M$199*EFEITO!$Z$199</f>
        <v>122.3755246816675</v>
      </c>
      <c r="O199" s="61">
        <f>$L$199-EFEITO!$O$199*EFEITO!$AA$199</f>
        <v>248.77742486287156</v>
      </c>
      <c r="P199" s="45"/>
      <c r="Q199" s="45"/>
      <c r="R199" s="45"/>
      <c r="S199" s="45"/>
      <c r="T199" s="45"/>
      <c r="U199" s="45"/>
      <c r="V199" s="45"/>
      <c r="W199" s="45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1.25" customHeight="1" x14ac:dyDescent="0.2">
      <c r="A200" s="41" t="s">
        <v>21</v>
      </c>
      <c r="B200" s="41" t="s">
        <v>35</v>
      </c>
      <c r="C200" s="41" t="s">
        <v>39</v>
      </c>
      <c r="D200" s="41" t="s">
        <v>42</v>
      </c>
      <c r="E200" s="41" t="s">
        <v>49</v>
      </c>
      <c r="F200" s="41" t="s">
        <v>25</v>
      </c>
      <c r="G200" s="41" t="s">
        <v>25</v>
      </c>
      <c r="H200" s="41" t="s">
        <v>38</v>
      </c>
      <c r="I200" s="60">
        <v>44378</v>
      </c>
      <c r="J200" s="61">
        <f>EFEITO!$J$200*EFEITO!$Y$164</f>
        <v>0</v>
      </c>
      <c r="K200" s="61">
        <f ca="1">EFEITO!$L$200*EFEITO!$Z$164</f>
        <v>79.772288133988368</v>
      </c>
      <c r="L200" s="61">
        <f>EFEITO!$N$200*EFEITO!$AA$164</f>
        <v>162.16922843858171</v>
      </c>
      <c r="M200" s="61">
        <f>$J$200-EFEITO!$K$200*EFEITO!$Y$200</f>
        <v>0</v>
      </c>
      <c r="N200" s="61">
        <f ca="1">$K$200-EFEITO!$M$200*EFEITO!$Z$200</f>
        <v>1.5954457626797733</v>
      </c>
      <c r="O200" s="61">
        <f>$L$200-EFEITO!$O$200*EFEITO!$AA$200</f>
        <v>3.2433845687716314</v>
      </c>
      <c r="P200" s="45"/>
      <c r="Q200" s="45"/>
      <c r="R200" s="45"/>
      <c r="S200" s="45"/>
      <c r="T200" s="45"/>
      <c r="U200" s="45"/>
      <c r="V200" s="45"/>
      <c r="W200" s="45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1.25" customHeight="1" x14ac:dyDescent="0.2">
      <c r="A201" s="41" t="s">
        <v>21</v>
      </c>
      <c r="B201" s="41" t="s">
        <v>35</v>
      </c>
      <c r="C201" s="41" t="s">
        <v>39</v>
      </c>
      <c r="D201" s="41" t="s">
        <v>42</v>
      </c>
      <c r="E201" s="41" t="s">
        <v>49</v>
      </c>
      <c r="F201" s="41" t="s">
        <v>25</v>
      </c>
      <c r="G201" s="41" t="s">
        <v>25</v>
      </c>
      <c r="H201" s="41" t="s">
        <v>38</v>
      </c>
      <c r="I201" s="60">
        <v>44409</v>
      </c>
      <c r="J201" s="61">
        <f>EFEITO!$J$201*EFEITO!$Y$164</f>
        <v>0</v>
      </c>
      <c r="K201" s="61">
        <f ca="1">EFEITO!$L$201*EFEITO!$Z$164</f>
        <v>171.43789922613499</v>
      </c>
      <c r="L201" s="61">
        <f>EFEITO!$N$201*EFEITO!$AA$164</f>
        <v>348.51641457164288</v>
      </c>
      <c r="M201" s="61">
        <f>$J$201-EFEITO!$K$201*EFEITO!$Y$201</f>
        <v>0</v>
      </c>
      <c r="N201" s="61">
        <f ca="1">$K$201-EFEITO!$M$201*EFEITO!$Z$201</f>
        <v>3.4287579845226901</v>
      </c>
      <c r="O201" s="61">
        <f>$L$201-EFEITO!$O$201*EFEITO!$AA$201</f>
        <v>6.9703282914328497</v>
      </c>
      <c r="P201" s="45"/>
      <c r="Q201" s="45"/>
      <c r="R201" s="45"/>
      <c r="S201" s="45"/>
      <c r="T201" s="45"/>
      <c r="U201" s="45"/>
      <c r="V201" s="45"/>
      <c r="W201" s="45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1.25" customHeight="1" x14ac:dyDescent="0.2">
      <c r="A202" s="41" t="s">
        <v>21</v>
      </c>
      <c r="B202" s="41" t="s">
        <v>35</v>
      </c>
      <c r="C202" s="41" t="s">
        <v>39</v>
      </c>
      <c r="D202" s="41" t="s">
        <v>42</v>
      </c>
      <c r="E202" s="41" t="s">
        <v>49</v>
      </c>
      <c r="F202" s="41" t="s">
        <v>25</v>
      </c>
      <c r="G202" s="41" t="s">
        <v>25</v>
      </c>
      <c r="H202" s="41" t="s">
        <v>38</v>
      </c>
      <c r="I202" s="60">
        <v>44440</v>
      </c>
      <c r="J202" s="61">
        <f>EFEITO!$J$202*EFEITO!$Y$164</f>
        <v>0</v>
      </c>
      <c r="K202" s="61">
        <f ca="1">EFEITO!$L$202*EFEITO!$Z$164</f>
        <v>138.56204714667314</v>
      </c>
      <c r="L202" s="61">
        <f>EFEITO!$N$202*EFEITO!$AA$164</f>
        <v>281.68303557877289</v>
      </c>
      <c r="M202" s="61">
        <f>$J$202-EFEITO!$K$202*EFEITO!$Y$202</f>
        <v>0</v>
      </c>
      <c r="N202" s="61">
        <f ca="1">$K$202-EFEITO!$M$202*EFEITO!$Z$202</f>
        <v>2.7712409429334741</v>
      </c>
      <c r="O202" s="61">
        <f>$L$202-EFEITO!$O$202*EFEITO!$AA$202</f>
        <v>5.6336607115754873</v>
      </c>
      <c r="P202" s="45"/>
      <c r="Q202" s="45"/>
      <c r="R202" s="45"/>
      <c r="S202" s="45"/>
      <c r="T202" s="45"/>
      <c r="U202" s="45"/>
      <c r="V202" s="45"/>
      <c r="W202" s="45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1.25" customHeight="1" x14ac:dyDescent="0.2">
      <c r="A203" s="41" t="s">
        <v>21</v>
      </c>
      <c r="B203" s="41" t="s">
        <v>35</v>
      </c>
      <c r="C203" s="41" t="s">
        <v>39</v>
      </c>
      <c r="D203" s="41" t="s">
        <v>42</v>
      </c>
      <c r="E203" s="41" t="s">
        <v>49</v>
      </c>
      <c r="F203" s="41" t="s">
        <v>25</v>
      </c>
      <c r="G203" s="41" t="s">
        <v>25</v>
      </c>
      <c r="H203" s="41" t="s">
        <v>38</v>
      </c>
      <c r="I203" s="60">
        <v>44470</v>
      </c>
      <c r="J203" s="61">
        <f>EFEITO!$J$203*EFEITO!$Y$164</f>
        <v>0</v>
      </c>
      <c r="K203" s="61">
        <f ca="1">EFEITO!$L$203*EFEITO!$Z$164</f>
        <v>426.0323654767912</v>
      </c>
      <c r="L203" s="61">
        <f>EFEITO!$N$203*EFEITO!$AA$164</f>
        <v>866.08196424289815</v>
      </c>
      <c r="M203" s="61">
        <f>$J$203-EFEITO!$K$203*EFEITO!$Y$203</f>
        <v>0</v>
      </c>
      <c r="N203" s="61">
        <f ca="1">$K$203-EFEITO!$M$203*EFEITO!$Z$203</f>
        <v>8.5206473095358319</v>
      </c>
      <c r="O203" s="61">
        <f>$L$203-EFEITO!$O$203*EFEITO!$AA$203</f>
        <v>17.321639284857952</v>
      </c>
      <c r="P203" s="45"/>
      <c r="Q203" s="45"/>
      <c r="R203" s="45"/>
      <c r="S203" s="45"/>
      <c r="T203" s="45"/>
      <c r="U203" s="45"/>
      <c r="V203" s="45"/>
      <c r="W203" s="45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1.25" customHeight="1" x14ac:dyDescent="0.2">
      <c r="A204" s="41" t="s">
        <v>21</v>
      </c>
      <c r="B204" s="41" t="s">
        <v>35</v>
      </c>
      <c r="C204" s="41" t="s">
        <v>39</v>
      </c>
      <c r="D204" s="41" t="s">
        <v>42</v>
      </c>
      <c r="E204" s="41" t="s">
        <v>49</v>
      </c>
      <c r="F204" s="41" t="s">
        <v>25</v>
      </c>
      <c r="G204" s="41" t="s">
        <v>25</v>
      </c>
      <c r="H204" s="41" t="s">
        <v>38</v>
      </c>
      <c r="I204" s="60">
        <v>44501</v>
      </c>
      <c r="J204" s="61">
        <f>EFEITO!$J$204*EFEITO!$Y$164</f>
        <v>0</v>
      </c>
      <c r="K204" s="61">
        <f ca="1">EFEITO!$L$204*EFEITO!$Z$164</f>
        <v>11825.05721825209</v>
      </c>
      <c r="L204" s="61">
        <f>EFEITO!$N$204*EFEITO!$AA$164</f>
        <v>24039.180148688378</v>
      </c>
      <c r="M204" s="61">
        <f>$J$204-EFEITO!$K$204*EFEITO!$Y$204</f>
        <v>0</v>
      </c>
      <c r="N204" s="61">
        <f ca="1">$K$204-EFEITO!$M$204*EFEITO!$Z$204</f>
        <v>236.50114436504191</v>
      </c>
      <c r="O204" s="61">
        <f>$L$204-EFEITO!$O$204*EFEITO!$AA$204</f>
        <v>480.78360297376639</v>
      </c>
      <c r="P204" s="45"/>
      <c r="Q204" s="45"/>
      <c r="R204" s="45"/>
      <c r="S204" s="45"/>
      <c r="T204" s="45"/>
      <c r="U204" s="45"/>
      <c r="V204" s="45"/>
      <c r="W204" s="45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1.25" customHeight="1" x14ac:dyDescent="0.2">
      <c r="A205" s="41" t="s">
        <v>21</v>
      </c>
      <c r="B205" s="41" t="s">
        <v>35</v>
      </c>
      <c r="C205" s="41" t="s">
        <v>39</v>
      </c>
      <c r="D205" s="41" t="s">
        <v>42</v>
      </c>
      <c r="E205" s="41" t="s">
        <v>49</v>
      </c>
      <c r="F205" s="41" t="s">
        <v>25</v>
      </c>
      <c r="G205" s="41" t="s">
        <v>25</v>
      </c>
      <c r="H205" s="41" t="s">
        <v>38</v>
      </c>
      <c r="I205" s="60">
        <v>44531</v>
      </c>
      <c r="J205" s="61">
        <f>EFEITO!$J$205*EFEITO!$Y$164</f>
        <v>0</v>
      </c>
      <c r="K205" s="61">
        <f ca="1">EFEITO!$L$205*EFEITO!$Z$164</f>
        <v>12117.168833346366</v>
      </c>
      <c r="L205" s="61">
        <f>EFEITO!$N$205*EFEITO!$AA$164</f>
        <v>24633.014377916203</v>
      </c>
      <c r="M205" s="61">
        <f>$J$205-EFEITO!$K$205*EFEITO!$Y$205</f>
        <v>0</v>
      </c>
      <c r="N205" s="61">
        <f ca="1">$K$205-EFEITO!$M$205*EFEITO!$Z$205</f>
        <v>242.34337666692772</v>
      </c>
      <c r="O205" s="61">
        <f>$L$205-EFEITO!$O$205*EFEITO!$AA$205</f>
        <v>492.66028755832303</v>
      </c>
      <c r="P205" s="45"/>
      <c r="Q205" s="45"/>
      <c r="R205" s="45"/>
      <c r="S205" s="45"/>
      <c r="T205" s="45"/>
      <c r="U205" s="45"/>
      <c r="V205" s="45"/>
      <c r="W205" s="45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1.25" customHeight="1" x14ac:dyDescent="0.2">
      <c r="A206" s="41" t="s">
        <v>21</v>
      </c>
      <c r="B206" s="41" t="s">
        <v>35</v>
      </c>
      <c r="C206" s="41" t="s">
        <v>39</v>
      </c>
      <c r="D206" s="41" t="s">
        <v>42</v>
      </c>
      <c r="E206" s="41" t="s">
        <v>49</v>
      </c>
      <c r="F206" s="41" t="s">
        <v>25</v>
      </c>
      <c r="G206" s="41" t="s">
        <v>25</v>
      </c>
      <c r="H206" s="41" t="s">
        <v>38</v>
      </c>
      <c r="I206" s="60">
        <v>44562</v>
      </c>
      <c r="J206" s="61">
        <f>EFEITO!$J$206*EFEITO!$Y$164</f>
        <v>0</v>
      </c>
      <c r="K206" s="61">
        <f ca="1">EFEITO!$L$206*EFEITO!$Z$164</f>
        <v>2356.8118193670698</v>
      </c>
      <c r="L206" s="61">
        <f>EFEITO!$N$206*EFEITO!$AA$164</f>
        <v>4791.1669987418072</v>
      </c>
      <c r="M206" s="61">
        <f>$J$206-EFEITO!$K$206*EFEITO!$Y$206</f>
        <v>0</v>
      </c>
      <c r="N206" s="61">
        <f ca="1">$K$206-EFEITO!$M$206*EFEITO!$Z$206</f>
        <v>47.136236387341341</v>
      </c>
      <c r="O206" s="61">
        <f>$L$206-EFEITO!$O$206*EFEITO!$AA$206</f>
        <v>95.823339974836017</v>
      </c>
      <c r="P206" s="45"/>
      <c r="Q206" s="45"/>
      <c r="R206" s="45"/>
      <c r="S206" s="45"/>
      <c r="T206" s="45"/>
      <c r="U206" s="45"/>
      <c r="V206" s="45"/>
      <c r="W206" s="45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1.25" customHeight="1" x14ac:dyDescent="0.2">
      <c r="A207" s="41" t="s">
        <v>21</v>
      </c>
      <c r="B207" s="41" t="s">
        <v>35</v>
      </c>
      <c r="C207" s="41" t="s">
        <v>39</v>
      </c>
      <c r="D207" s="41" t="s">
        <v>42</v>
      </c>
      <c r="E207" s="41" t="s">
        <v>49</v>
      </c>
      <c r="F207" s="41" t="s">
        <v>25</v>
      </c>
      <c r="G207" s="41" t="s">
        <v>25</v>
      </c>
      <c r="H207" s="41" t="s">
        <v>38</v>
      </c>
      <c r="I207" s="60">
        <v>44593</v>
      </c>
      <c r="J207" s="61">
        <f>EFEITO!$J$207*EFEITO!$Y$164</f>
        <v>0</v>
      </c>
      <c r="K207" s="61">
        <f ca="1">EFEITO!$L$207*EFEITO!$Z$164</f>
        <v>2374.8935380107737</v>
      </c>
      <c r="L207" s="61">
        <f>EFEITO!$N$207*EFEITO!$AA$164</f>
        <v>4827.9253571878853</v>
      </c>
      <c r="M207" s="61">
        <f>$J$207-EFEITO!$K$207*EFEITO!$Y$207</f>
        <v>0</v>
      </c>
      <c r="N207" s="61">
        <f ca="1">$K$207-EFEITO!$M$207*EFEITO!$Z$207</f>
        <v>47.497870760215392</v>
      </c>
      <c r="O207" s="61">
        <f>$L$207-EFEITO!$O$207*EFEITO!$AA$207</f>
        <v>96.558507143757197</v>
      </c>
      <c r="P207" s="45"/>
      <c r="Q207" s="45"/>
      <c r="R207" s="45"/>
      <c r="S207" s="45"/>
      <c r="T207" s="45"/>
      <c r="U207" s="45"/>
      <c r="V207" s="45"/>
      <c r="W207" s="45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1.25" customHeight="1" x14ac:dyDescent="0.2">
      <c r="A208" s="41" t="s">
        <v>21</v>
      </c>
      <c r="B208" s="41" t="s">
        <v>35</v>
      </c>
      <c r="C208" s="41" t="s">
        <v>39</v>
      </c>
      <c r="D208" s="41" t="s">
        <v>42</v>
      </c>
      <c r="E208" s="41" t="s">
        <v>49</v>
      </c>
      <c r="F208" s="41" t="s">
        <v>25</v>
      </c>
      <c r="G208" s="41" t="s">
        <v>25</v>
      </c>
      <c r="H208" s="41" t="s">
        <v>38</v>
      </c>
      <c r="I208" s="60">
        <v>44621</v>
      </c>
      <c r="J208" s="61">
        <f>EFEITO!$J$208*EFEITO!$Y$164</f>
        <v>0</v>
      </c>
      <c r="K208" s="61">
        <f ca="1">EFEITO!$L$208*EFEITO!$Z$164</f>
        <v>1047.4826634612073</v>
      </c>
      <c r="L208" s="61">
        <f>EFEITO!$N$208*EFEITO!$AA$164</f>
        <v>2129.4293959698857</v>
      </c>
      <c r="M208" s="61">
        <f>$J$208-EFEITO!$K$208*EFEITO!$Y$208</f>
        <v>0</v>
      </c>
      <c r="N208" s="61">
        <f ca="1">$K$208-EFEITO!$M$208*EFEITO!$Z$208</f>
        <v>20.9496532692242</v>
      </c>
      <c r="O208" s="61">
        <f>$L$208-EFEITO!$O$208*EFEITO!$AA$208</f>
        <v>42.588587919397469</v>
      </c>
      <c r="P208" s="45"/>
      <c r="Q208" s="45"/>
      <c r="R208" s="45"/>
      <c r="S208" s="45"/>
      <c r="T208" s="45"/>
      <c r="U208" s="45"/>
      <c r="V208" s="45"/>
      <c r="W208" s="45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1.25" customHeight="1" x14ac:dyDescent="0.2">
      <c r="A209" s="41" t="s">
        <v>21</v>
      </c>
      <c r="B209" s="41" t="s">
        <v>35</v>
      </c>
      <c r="C209" s="41" t="s">
        <v>39</v>
      </c>
      <c r="D209" s="41" t="s">
        <v>42</v>
      </c>
      <c r="E209" s="41" t="s">
        <v>49</v>
      </c>
      <c r="F209" s="41" t="s">
        <v>25</v>
      </c>
      <c r="G209" s="41" t="s">
        <v>25</v>
      </c>
      <c r="H209" s="41" t="s">
        <v>38</v>
      </c>
      <c r="I209" s="60">
        <v>44652</v>
      </c>
      <c r="J209" s="61">
        <f>EFEITO!$J$209*EFEITO!$Y$164</f>
        <v>0</v>
      </c>
      <c r="K209" s="61">
        <f ca="1">EFEITO!$L$209*EFEITO!$Z$164</f>
        <v>910.08094050557406</v>
      </c>
      <c r="L209" s="61">
        <f>EFEITO!$N$209*EFEITO!$AA$164</f>
        <v>1850.1051855320379</v>
      </c>
      <c r="M209" s="61">
        <f>$J$209-EFEITO!$K$209*EFEITO!$Y$209</f>
        <v>0</v>
      </c>
      <c r="N209" s="61">
        <f ca="1">$K$209-EFEITO!$M$209*EFEITO!$Z$209</f>
        <v>18.201618810111427</v>
      </c>
      <c r="O209" s="61">
        <f>$L$209-EFEITO!$O$209*EFEITO!$AA$209</f>
        <v>37.002103710640768</v>
      </c>
      <c r="P209" s="45"/>
      <c r="Q209" s="45"/>
      <c r="R209" s="45"/>
      <c r="S209" s="45"/>
      <c r="T209" s="45"/>
      <c r="U209" s="45"/>
      <c r="V209" s="45"/>
      <c r="W209" s="45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1.25" customHeight="1" x14ac:dyDescent="0.2">
      <c r="A210" s="41" t="s">
        <v>21</v>
      </c>
      <c r="B210" s="41" t="s">
        <v>35</v>
      </c>
      <c r="C210" s="41" t="s">
        <v>39</v>
      </c>
      <c r="D210" s="41" t="s">
        <v>42</v>
      </c>
      <c r="E210" s="41" t="s">
        <v>49</v>
      </c>
      <c r="F210" s="41" t="s">
        <v>25</v>
      </c>
      <c r="G210" s="41" t="s">
        <v>25</v>
      </c>
      <c r="H210" s="41" t="s">
        <v>38</v>
      </c>
      <c r="I210" s="60">
        <v>44682</v>
      </c>
      <c r="J210" s="61">
        <f>EFEITO!$J$210*EFEITO!$Y$164</f>
        <v>0</v>
      </c>
      <c r="K210" s="61">
        <f ca="1">EFEITO!$L$210*EFEITO!$Z$164</f>
        <v>318.0255220275003</v>
      </c>
      <c r="L210" s="61">
        <f>EFEITO!$N$210*EFEITO!$AA$164</f>
        <v>646.51465737514582</v>
      </c>
      <c r="M210" s="61">
        <f>$J$210-EFEITO!$K$210*EFEITO!$Y$210</f>
        <v>0</v>
      </c>
      <c r="N210" s="61">
        <f ca="1">$K$210-EFEITO!$M$210*EFEITO!$Z$210</f>
        <v>6.3605104405500015</v>
      </c>
      <c r="O210" s="61">
        <f>$L$210-EFEITO!$O$210*EFEITO!$AA$210</f>
        <v>12.93029314750288</v>
      </c>
      <c r="P210" s="45"/>
      <c r="Q210" s="45"/>
      <c r="R210" s="45"/>
      <c r="S210" s="45"/>
      <c r="T210" s="45"/>
      <c r="U210" s="45"/>
      <c r="V210" s="45"/>
      <c r="W210" s="45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1.25" customHeight="1" x14ac:dyDescent="0.2">
      <c r="A211" s="41" t="s">
        <v>21</v>
      </c>
      <c r="B211" s="41" t="s">
        <v>35</v>
      </c>
      <c r="C211" s="41" t="s">
        <v>39</v>
      </c>
      <c r="D211" s="41" t="s">
        <v>42</v>
      </c>
      <c r="E211" s="41" t="s">
        <v>49</v>
      </c>
      <c r="F211" s="41" t="s">
        <v>25</v>
      </c>
      <c r="G211" s="41" t="s">
        <v>25</v>
      </c>
      <c r="H211" s="41" t="s">
        <v>38</v>
      </c>
      <c r="I211" s="60">
        <v>44713</v>
      </c>
      <c r="J211" s="61">
        <f>EFEITO!$J$211*EFEITO!$Y$164</f>
        <v>0</v>
      </c>
      <c r="K211" s="61">
        <f ca="1">EFEITO!$L$211*EFEITO!$Z$164</f>
        <v>420.52082556935204</v>
      </c>
      <c r="L211" s="61">
        <f>EFEITO!$N$211*EFEITO!$AA$164</f>
        <v>854.87754482350545</v>
      </c>
      <c r="M211" s="61">
        <f>$J$211-EFEITO!$K$211*EFEITO!$Y$211</f>
        <v>0</v>
      </c>
      <c r="N211" s="61">
        <f ca="1">$K$211-EFEITO!$M$211*EFEITO!$Z$211</f>
        <v>8.4104165113870408</v>
      </c>
      <c r="O211" s="61">
        <f>$L$211-EFEITO!$O$211*EFEITO!$AA$211</f>
        <v>17.097550896470125</v>
      </c>
      <c r="P211" s="45"/>
      <c r="Q211" s="45"/>
      <c r="R211" s="45"/>
      <c r="S211" s="45"/>
      <c r="T211" s="45"/>
      <c r="U211" s="45"/>
      <c r="V211" s="45"/>
      <c r="W211" s="45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1.25" customHeight="1" x14ac:dyDescent="0.2">
      <c r="A212" s="41" t="s">
        <v>21</v>
      </c>
      <c r="B212" s="41" t="s">
        <v>35</v>
      </c>
      <c r="C212" s="41" t="s">
        <v>39</v>
      </c>
      <c r="D212" s="41" t="s">
        <v>42</v>
      </c>
      <c r="E212" s="41" t="s">
        <v>49</v>
      </c>
      <c r="F212" s="41" t="s">
        <v>25</v>
      </c>
      <c r="G212" s="41" t="s">
        <v>25</v>
      </c>
      <c r="H212" s="41" t="s">
        <v>25</v>
      </c>
      <c r="I212" s="60">
        <v>44378</v>
      </c>
      <c r="J212" s="61">
        <f ca="1">EFEITO!$J$212*EFEITO!$Y$176</f>
        <v>10355.719969854279</v>
      </c>
      <c r="K212" s="61">
        <f>EFEITO!$L$212*EFEITO!$Z$176</f>
        <v>0</v>
      </c>
      <c r="L212" s="61">
        <f>EFEITO!$N$212*EFEITO!$AA$176</f>
        <v>0</v>
      </c>
      <c r="M212" s="61">
        <f ca="1">$J$212-EFEITO!$K$212*EFEITO!$Y$212</f>
        <v>207.11439939708544</v>
      </c>
      <c r="N212" s="61">
        <f>$K$212-EFEITO!$M$212*EFEITO!$Z$212</f>
        <v>0</v>
      </c>
      <c r="O212" s="61">
        <f>$L$212-EFEITO!$O$212*EFEITO!$AA$212</f>
        <v>0</v>
      </c>
      <c r="P212" s="45"/>
      <c r="Q212" s="45"/>
      <c r="R212" s="45"/>
      <c r="S212" s="45"/>
      <c r="T212" s="45"/>
      <c r="U212" s="45"/>
      <c r="V212" s="45"/>
      <c r="W212" s="45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1.25" customHeight="1" x14ac:dyDescent="0.2">
      <c r="A213" s="41" t="s">
        <v>21</v>
      </c>
      <c r="B213" s="41" t="s">
        <v>35</v>
      </c>
      <c r="C213" s="41" t="s">
        <v>39</v>
      </c>
      <c r="D213" s="41" t="s">
        <v>42</v>
      </c>
      <c r="E213" s="41" t="s">
        <v>49</v>
      </c>
      <c r="F213" s="41" t="s">
        <v>25</v>
      </c>
      <c r="G213" s="41" t="s">
        <v>25</v>
      </c>
      <c r="H213" s="41" t="s">
        <v>25</v>
      </c>
      <c r="I213" s="60">
        <v>44409</v>
      </c>
      <c r="J213" s="61">
        <f ca="1">EFEITO!$J$213*EFEITO!$Y$176</f>
        <v>16064.642517338048</v>
      </c>
      <c r="K213" s="61">
        <f>EFEITO!$L$213*EFEITO!$Z$176</f>
        <v>0</v>
      </c>
      <c r="L213" s="61">
        <f>EFEITO!$N$213*EFEITO!$AA$176</f>
        <v>0</v>
      </c>
      <c r="M213" s="61">
        <f ca="1">$J$213-EFEITO!$K$213*EFEITO!$Y$213</f>
        <v>321.29285034676104</v>
      </c>
      <c r="N213" s="61">
        <f>$K$213-EFEITO!$M$213*EFEITO!$Z$213</f>
        <v>0</v>
      </c>
      <c r="O213" s="61">
        <f>$L$213-EFEITO!$O$213*EFEITO!$AA$213</f>
        <v>0</v>
      </c>
      <c r="P213" s="45"/>
      <c r="Q213" s="45"/>
      <c r="R213" s="45"/>
      <c r="S213" s="45"/>
      <c r="T213" s="45"/>
      <c r="U213" s="45"/>
      <c r="V213" s="45"/>
      <c r="W213" s="45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1.25" customHeight="1" x14ac:dyDescent="0.2">
      <c r="A214" s="41" t="s">
        <v>21</v>
      </c>
      <c r="B214" s="41" t="s">
        <v>35</v>
      </c>
      <c r="C214" s="41" t="s">
        <v>39</v>
      </c>
      <c r="D214" s="41" t="s">
        <v>42</v>
      </c>
      <c r="E214" s="41" t="s">
        <v>49</v>
      </c>
      <c r="F214" s="41" t="s">
        <v>25</v>
      </c>
      <c r="G214" s="41" t="s">
        <v>25</v>
      </c>
      <c r="H214" s="41" t="s">
        <v>25</v>
      </c>
      <c r="I214" s="60">
        <v>44440</v>
      </c>
      <c r="J214" s="61">
        <f ca="1">EFEITO!$J$214*EFEITO!$Y$176</f>
        <v>31199.925550201995</v>
      </c>
      <c r="K214" s="61">
        <f>EFEITO!$L$214*EFEITO!$Z$176</f>
        <v>0</v>
      </c>
      <c r="L214" s="61">
        <f>EFEITO!$N$214*EFEITO!$AA$176</f>
        <v>0</v>
      </c>
      <c r="M214" s="61">
        <f ca="1">$J$214-EFEITO!$K$214*EFEITO!$Y$214</f>
        <v>623.99851100403976</v>
      </c>
      <c r="N214" s="61">
        <f>$K$214-EFEITO!$M$214*EFEITO!$Z$214</f>
        <v>0</v>
      </c>
      <c r="O214" s="61">
        <f>$L$214-EFEITO!$O$214*EFEITO!$AA$214</f>
        <v>0</v>
      </c>
      <c r="P214" s="45"/>
      <c r="Q214" s="45"/>
      <c r="R214" s="45"/>
      <c r="S214" s="45"/>
      <c r="T214" s="45"/>
      <c r="U214" s="45"/>
      <c r="V214" s="45"/>
      <c r="W214" s="45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1.25" customHeight="1" x14ac:dyDescent="0.2">
      <c r="A215" s="41" t="s">
        <v>21</v>
      </c>
      <c r="B215" s="41" t="s">
        <v>35</v>
      </c>
      <c r="C215" s="41" t="s">
        <v>39</v>
      </c>
      <c r="D215" s="41" t="s">
        <v>42</v>
      </c>
      <c r="E215" s="41" t="s">
        <v>49</v>
      </c>
      <c r="F215" s="41" t="s">
        <v>25</v>
      </c>
      <c r="G215" s="41" t="s">
        <v>25</v>
      </c>
      <c r="H215" s="41" t="s">
        <v>25</v>
      </c>
      <c r="I215" s="60">
        <v>44470</v>
      </c>
      <c r="J215" s="61">
        <f ca="1">EFEITO!$J$215*EFEITO!$Y$176</f>
        <v>28190.571029047762</v>
      </c>
      <c r="K215" s="61">
        <f>EFEITO!$L$215*EFEITO!$Z$176</f>
        <v>0</v>
      </c>
      <c r="L215" s="61">
        <f>EFEITO!$N$215*EFEITO!$AA$176</f>
        <v>0</v>
      </c>
      <c r="M215" s="61">
        <f ca="1">$J$215-EFEITO!$K$215*EFEITO!$Y$215</f>
        <v>563.81142058095793</v>
      </c>
      <c r="N215" s="61">
        <f>$K$215-EFEITO!$M$215*EFEITO!$Z$215</f>
        <v>0</v>
      </c>
      <c r="O215" s="61">
        <f>$L$215-EFEITO!$O$215*EFEITO!$AA$215</f>
        <v>0</v>
      </c>
      <c r="P215" s="45"/>
      <c r="Q215" s="45"/>
      <c r="R215" s="45"/>
      <c r="S215" s="45"/>
      <c r="T215" s="45"/>
      <c r="U215" s="45"/>
      <c r="V215" s="45"/>
      <c r="W215" s="45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1.25" customHeight="1" x14ac:dyDescent="0.2">
      <c r="A216" s="41" t="s">
        <v>21</v>
      </c>
      <c r="B216" s="41" t="s">
        <v>35</v>
      </c>
      <c r="C216" s="41" t="s">
        <v>39</v>
      </c>
      <c r="D216" s="41" t="s">
        <v>42</v>
      </c>
      <c r="E216" s="41" t="s">
        <v>49</v>
      </c>
      <c r="F216" s="41" t="s">
        <v>25</v>
      </c>
      <c r="G216" s="41" t="s">
        <v>25</v>
      </c>
      <c r="H216" s="41" t="s">
        <v>25</v>
      </c>
      <c r="I216" s="60">
        <v>44501</v>
      </c>
      <c r="J216" s="61">
        <f ca="1">EFEITO!$J$216*EFEITO!$Y$176</f>
        <v>36200.76468094359</v>
      </c>
      <c r="K216" s="61">
        <f>EFEITO!$L$216*EFEITO!$Z$176</f>
        <v>0</v>
      </c>
      <c r="L216" s="61">
        <f>EFEITO!$N$216*EFEITO!$AA$176</f>
        <v>0</v>
      </c>
      <c r="M216" s="61">
        <f ca="1">$J$216-EFEITO!$K$216*EFEITO!$Y$216</f>
        <v>724.01529361886787</v>
      </c>
      <c r="N216" s="61">
        <f>$K$216-EFEITO!$M$216*EFEITO!$Z$216</f>
        <v>0</v>
      </c>
      <c r="O216" s="61">
        <f>$L$216-EFEITO!$O$216*EFEITO!$AA$216</f>
        <v>0</v>
      </c>
      <c r="P216" s="45"/>
      <c r="Q216" s="45"/>
      <c r="R216" s="45"/>
      <c r="S216" s="45"/>
      <c r="T216" s="45"/>
      <c r="U216" s="45"/>
      <c r="V216" s="45"/>
      <c r="W216" s="45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1.25" customHeight="1" x14ac:dyDescent="0.2">
      <c r="A217" s="41" t="s">
        <v>21</v>
      </c>
      <c r="B217" s="41" t="s">
        <v>35</v>
      </c>
      <c r="C217" s="41" t="s">
        <v>39</v>
      </c>
      <c r="D217" s="41" t="s">
        <v>42</v>
      </c>
      <c r="E217" s="41" t="s">
        <v>49</v>
      </c>
      <c r="F217" s="41" t="s">
        <v>25</v>
      </c>
      <c r="G217" s="41" t="s">
        <v>25</v>
      </c>
      <c r="H217" s="41" t="s">
        <v>25</v>
      </c>
      <c r="I217" s="60">
        <v>44531</v>
      </c>
      <c r="J217" s="61">
        <f ca="1">EFEITO!$J$217*EFEITO!$Y$176</f>
        <v>35492.681264201419</v>
      </c>
      <c r="K217" s="61">
        <f>EFEITO!$L$217*EFEITO!$Z$176</f>
        <v>0</v>
      </c>
      <c r="L217" s="61">
        <f>EFEITO!$N$217*EFEITO!$AA$176</f>
        <v>0</v>
      </c>
      <c r="M217" s="61">
        <f ca="1">$J$217-EFEITO!$K$217*EFEITO!$Y$217</f>
        <v>709.85362528402766</v>
      </c>
      <c r="N217" s="61">
        <f>$K$217-EFEITO!$M$217*EFEITO!$Z$217</f>
        <v>0</v>
      </c>
      <c r="O217" s="61">
        <f>$L$217-EFEITO!$O$217*EFEITO!$AA$217</f>
        <v>0</v>
      </c>
      <c r="P217" s="45"/>
      <c r="Q217" s="45"/>
      <c r="R217" s="45"/>
      <c r="S217" s="45"/>
      <c r="T217" s="45"/>
      <c r="U217" s="45"/>
      <c r="V217" s="45"/>
      <c r="W217" s="45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1.25" customHeight="1" x14ac:dyDescent="0.2">
      <c r="A218" s="41" t="s">
        <v>21</v>
      </c>
      <c r="B218" s="41" t="s">
        <v>35</v>
      </c>
      <c r="C218" s="41" t="s">
        <v>39</v>
      </c>
      <c r="D218" s="41" t="s">
        <v>42</v>
      </c>
      <c r="E218" s="41" t="s">
        <v>49</v>
      </c>
      <c r="F218" s="41" t="s">
        <v>25</v>
      </c>
      <c r="G218" s="41" t="s">
        <v>25</v>
      </c>
      <c r="H218" s="41" t="s">
        <v>25</v>
      </c>
      <c r="I218" s="60">
        <v>44562</v>
      </c>
      <c r="J218" s="61">
        <f ca="1">EFEITO!$J$218*EFEITO!$Y$176</f>
        <v>29828.013930264038</v>
      </c>
      <c r="K218" s="61">
        <f>EFEITO!$L$218*EFEITO!$Z$176</f>
        <v>0</v>
      </c>
      <c r="L218" s="61">
        <f>EFEITO!$N$218*EFEITO!$AA$176</f>
        <v>0</v>
      </c>
      <c r="M218" s="61">
        <f ca="1">$J$218-EFEITO!$K$218*EFEITO!$Y$218</f>
        <v>596.56027860528411</v>
      </c>
      <c r="N218" s="61">
        <f>$K$218-EFEITO!$M$218*EFEITO!$Z$218</f>
        <v>0</v>
      </c>
      <c r="O218" s="61">
        <f>$L$218-EFEITO!$O$218*EFEITO!$AA$218</f>
        <v>0</v>
      </c>
      <c r="P218" s="45"/>
      <c r="Q218" s="45"/>
      <c r="R218" s="45"/>
      <c r="S218" s="45"/>
      <c r="T218" s="45"/>
      <c r="U218" s="45"/>
      <c r="V218" s="45"/>
      <c r="W218" s="45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1.25" customHeight="1" x14ac:dyDescent="0.2">
      <c r="A219" s="41" t="s">
        <v>21</v>
      </c>
      <c r="B219" s="41" t="s">
        <v>35</v>
      </c>
      <c r="C219" s="41" t="s">
        <v>39</v>
      </c>
      <c r="D219" s="41" t="s">
        <v>42</v>
      </c>
      <c r="E219" s="41" t="s">
        <v>49</v>
      </c>
      <c r="F219" s="41" t="s">
        <v>25</v>
      </c>
      <c r="G219" s="41" t="s">
        <v>25</v>
      </c>
      <c r="H219" s="41" t="s">
        <v>25</v>
      </c>
      <c r="I219" s="60">
        <v>44593</v>
      </c>
      <c r="J219" s="61">
        <f ca="1">EFEITO!$J$219*EFEITO!$Y$176</f>
        <v>30845.88384183091</v>
      </c>
      <c r="K219" s="61">
        <f>EFEITO!$L$219*EFEITO!$Z$176</f>
        <v>0</v>
      </c>
      <c r="L219" s="61">
        <f>EFEITO!$N$219*EFEITO!$AA$176</f>
        <v>0</v>
      </c>
      <c r="M219" s="61">
        <f ca="1">$J$219-EFEITO!$K$219*EFEITO!$Y$219</f>
        <v>616.91767683661965</v>
      </c>
      <c r="N219" s="61">
        <f>$K$219-EFEITO!$M$219*EFEITO!$Z$219</f>
        <v>0</v>
      </c>
      <c r="O219" s="61">
        <f>$L$219-EFEITO!$O$219*EFEITO!$AA$219</f>
        <v>0</v>
      </c>
      <c r="P219" s="45"/>
      <c r="Q219" s="45"/>
      <c r="R219" s="45"/>
      <c r="S219" s="45"/>
      <c r="T219" s="45"/>
      <c r="U219" s="45"/>
      <c r="V219" s="45"/>
      <c r="W219" s="45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1.25" customHeight="1" x14ac:dyDescent="0.2">
      <c r="A220" s="41" t="s">
        <v>21</v>
      </c>
      <c r="B220" s="41" t="s">
        <v>35</v>
      </c>
      <c r="C220" s="41" t="s">
        <v>39</v>
      </c>
      <c r="D220" s="41" t="s">
        <v>42</v>
      </c>
      <c r="E220" s="41" t="s">
        <v>49</v>
      </c>
      <c r="F220" s="41" t="s">
        <v>25</v>
      </c>
      <c r="G220" s="41" t="s">
        <v>25</v>
      </c>
      <c r="H220" s="41" t="s">
        <v>25</v>
      </c>
      <c r="I220" s="60">
        <v>44621</v>
      </c>
      <c r="J220" s="61">
        <f ca="1">EFEITO!$J$220*EFEITO!$Y$176</f>
        <v>30757.37341473814</v>
      </c>
      <c r="K220" s="61">
        <f>EFEITO!$L$220*EFEITO!$Z$176</f>
        <v>0</v>
      </c>
      <c r="L220" s="61">
        <f>EFEITO!$N$220*EFEITO!$AA$176</f>
        <v>0</v>
      </c>
      <c r="M220" s="61">
        <f ca="1">$J$220-EFEITO!$K$220*EFEITO!$Y$220</f>
        <v>615.14746829476644</v>
      </c>
      <c r="N220" s="61">
        <f>$K$220-EFEITO!$M$220*EFEITO!$Z$220</f>
        <v>0</v>
      </c>
      <c r="O220" s="61">
        <f>$L$220-EFEITO!$O$220*EFEITO!$AA$220</f>
        <v>0</v>
      </c>
      <c r="P220" s="45"/>
      <c r="Q220" s="45"/>
      <c r="R220" s="45"/>
      <c r="S220" s="45"/>
      <c r="T220" s="45"/>
      <c r="U220" s="45"/>
      <c r="V220" s="45"/>
      <c r="W220" s="45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1.25" customHeight="1" x14ac:dyDescent="0.2">
      <c r="A221" s="41" t="s">
        <v>21</v>
      </c>
      <c r="B221" s="41" t="s">
        <v>35</v>
      </c>
      <c r="C221" s="41" t="s">
        <v>39</v>
      </c>
      <c r="D221" s="41" t="s">
        <v>42</v>
      </c>
      <c r="E221" s="41" t="s">
        <v>49</v>
      </c>
      <c r="F221" s="41" t="s">
        <v>25</v>
      </c>
      <c r="G221" s="41" t="s">
        <v>25</v>
      </c>
      <c r="H221" s="41" t="s">
        <v>25</v>
      </c>
      <c r="I221" s="60">
        <v>44652</v>
      </c>
      <c r="J221" s="61">
        <f ca="1">EFEITO!$J$221*EFEITO!$Y$176</f>
        <v>30624.607774098982</v>
      </c>
      <c r="K221" s="61">
        <f>EFEITO!$L$221*EFEITO!$Z$176</f>
        <v>0</v>
      </c>
      <c r="L221" s="61">
        <f>EFEITO!$N$221*EFEITO!$AA$176</f>
        <v>0</v>
      </c>
      <c r="M221" s="61">
        <f ca="1">$J$221-EFEITO!$K$221*EFEITO!$Y$221</f>
        <v>612.49215548198481</v>
      </c>
      <c r="N221" s="61">
        <f>$K$221-EFEITO!$M$221*EFEITO!$Z$221</f>
        <v>0</v>
      </c>
      <c r="O221" s="61">
        <f>$L$221-EFEITO!$O$221*EFEITO!$AA$221</f>
        <v>0</v>
      </c>
      <c r="P221" s="45"/>
      <c r="Q221" s="45"/>
      <c r="R221" s="45"/>
      <c r="S221" s="45"/>
      <c r="T221" s="45"/>
      <c r="U221" s="45"/>
      <c r="V221" s="45"/>
      <c r="W221" s="45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1.25" customHeight="1" x14ac:dyDescent="0.2">
      <c r="A222" s="41" t="s">
        <v>21</v>
      </c>
      <c r="B222" s="41" t="s">
        <v>35</v>
      </c>
      <c r="C222" s="41" t="s">
        <v>39</v>
      </c>
      <c r="D222" s="41" t="s">
        <v>42</v>
      </c>
      <c r="E222" s="41" t="s">
        <v>49</v>
      </c>
      <c r="F222" s="41" t="s">
        <v>25</v>
      </c>
      <c r="G222" s="41" t="s">
        <v>25</v>
      </c>
      <c r="H222" s="41" t="s">
        <v>25</v>
      </c>
      <c r="I222" s="60">
        <v>44682</v>
      </c>
      <c r="J222" s="61">
        <f ca="1">EFEITO!$J$222*EFEITO!$Y$176</f>
        <v>9205.0844176482478</v>
      </c>
      <c r="K222" s="61">
        <f>EFEITO!$L$222*EFEITO!$Z$176</f>
        <v>0</v>
      </c>
      <c r="L222" s="61">
        <f>EFEITO!$N$222*EFEITO!$AA$176</f>
        <v>0</v>
      </c>
      <c r="M222" s="61">
        <f ca="1">$J$222-EFEITO!$K$222*EFEITO!$Y$222</f>
        <v>184.10168835296463</v>
      </c>
      <c r="N222" s="61">
        <f>$K$222-EFEITO!$M$222*EFEITO!$Z$222</f>
        <v>0</v>
      </c>
      <c r="O222" s="61">
        <f>$L$222-EFEITO!$O$222*EFEITO!$AA$222</f>
        <v>0</v>
      </c>
      <c r="P222" s="45"/>
      <c r="Q222" s="45"/>
      <c r="R222" s="45"/>
      <c r="S222" s="45"/>
      <c r="T222" s="45"/>
      <c r="U222" s="45"/>
      <c r="V222" s="45"/>
      <c r="W222" s="45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1.25" customHeight="1" x14ac:dyDescent="0.2">
      <c r="A223" s="41" t="s">
        <v>21</v>
      </c>
      <c r="B223" s="41" t="s">
        <v>35</v>
      </c>
      <c r="C223" s="41" t="s">
        <v>39</v>
      </c>
      <c r="D223" s="41" t="s">
        <v>42</v>
      </c>
      <c r="E223" s="41" t="s">
        <v>49</v>
      </c>
      <c r="F223" s="41" t="s">
        <v>25</v>
      </c>
      <c r="G223" s="41" t="s">
        <v>25</v>
      </c>
      <c r="H223" s="41" t="s">
        <v>25</v>
      </c>
      <c r="I223" s="60">
        <v>44713</v>
      </c>
      <c r="J223" s="61">
        <f ca="1">EFEITO!$J$223*EFEITO!$Y$176</f>
        <v>41953.942441973748</v>
      </c>
      <c r="K223" s="61">
        <f>EFEITO!$L$223*EFEITO!$Z$176</f>
        <v>0</v>
      </c>
      <c r="L223" s="61">
        <f>EFEITO!$N$223*EFEITO!$AA$176</f>
        <v>0</v>
      </c>
      <c r="M223" s="61">
        <f ca="1">$J$223-EFEITO!$K$223*EFEITO!$Y$223</f>
        <v>839.07884883947554</v>
      </c>
      <c r="N223" s="61">
        <f>$K$223-EFEITO!$M$223*EFEITO!$Z$223</f>
        <v>0</v>
      </c>
      <c r="O223" s="61">
        <f>$L$223-EFEITO!$O$223*EFEITO!$AA$223</f>
        <v>0</v>
      </c>
      <c r="P223" s="45"/>
      <c r="Q223" s="45"/>
      <c r="R223" s="45"/>
      <c r="S223" s="45"/>
      <c r="T223" s="45"/>
      <c r="U223" s="45"/>
      <c r="V223" s="45"/>
      <c r="W223" s="45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1.25" customHeight="1" x14ac:dyDescent="0.2">
      <c r="A224" s="41" t="s">
        <v>21</v>
      </c>
      <c r="B224" s="41" t="s">
        <v>35</v>
      </c>
      <c r="C224" s="41" t="s">
        <v>39</v>
      </c>
      <c r="D224" s="41" t="s">
        <v>42</v>
      </c>
      <c r="E224" s="41" t="s">
        <v>49</v>
      </c>
      <c r="F224" s="41" t="s">
        <v>25</v>
      </c>
      <c r="G224" s="41" t="s">
        <v>25</v>
      </c>
      <c r="H224" s="41" t="s">
        <v>37</v>
      </c>
      <c r="I224" s="60">
        <v>44378</v>
      </c>
      <c r="J224" s="61">
        <f>EFEITO!$J$224*EFEITO!$Y$187</f>
        <v>0</v>
      </c>
      <c r="K224" s="61">
        <f ca="1">EFEITO!$L$224*EFEITO!$Z$187</f>
        <v>283.24277595823696</v>
      </c>
      <c r="L224" s="61">
        <f>EFEITO!$N$224*EFEITO!$AA$187</f>
        <v>24.374526456223194</v>
      </c>
      <c r="M224" s="61">
        <f>$J$224-EFEITO!$K$224*EFEITO!$Y$224</f>
        <v>0</v>
      </c>
      <c r="N224" s="61">
        <f ca="1">$K$224-EFEITO!$M$224*EFEITO!$Z$224</f>
        <v>5.6648555191647461</v>
      </c>
      <c r="O224" s="61">
        <f>$L$224-EFEITO!$O$224*EFEITO!$AA$224</f>
        <v>0.48749052912446444</v>
      </c>
      <c r="P224" s="45"/>
      <c r="Q224" s="45"/>
      <c r="R224" s="45"/>
      <c r="S224" s="45"/>
      <c r="T224" s="45"/>
      <c r="U224" s="45"/>
      <c r="V224" s="45"/>
      <c r="W224" s="45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1.25" customHeight="1" x14ac:dyDescent="0.2">
      <c r="A225" s="41" t="s">
        <v>21</v>
      </c>
      <c r="B225" s="41" t="s">
        <v>35</v>
      </c>
      <c r="C225" s="41" t="s">
        <v>39</v>
      </c>
      <c r="D225" s="41" t="s">
        <v>42</v>
      </c>
      <c r="E225" s="41" t="s">
        <v>49</v>
      </c>
      <c r="F225" s="41" t="s">
        <v>25</v>
      </c>
      <c r="G225" s="41" t="s">
        <v>25</v>
      </c>
      <c r="H225" s="41" t="s">
        <v>37</v>
      </c>
      <c r="I225" s="60">
        <v>44409</v>
      </c>
      <c r="J225" s="61">
        <f>EFEITO!$J$225*EFEITO!$Y$187</f>
        <v>0</v>
      </c>
      <c r="K225" s="61">
        <f ca="1">EFEITO!$L$225*EFEITO!$Z$187</f>
        <v>61.673830248970951</v>
      </c>
      <c r="L225" s="61">
        <f>EFEITO!$N$225*EFEITO!$AA$187</f>
        <v>5.3073565670808565</v>
      </c>
      <c r="M225" s="61">
        <f>$J$225-EFEITO!$K$225*EFEITO!$Y$225</f>
        <v>0</v>
      </c>
      <c r="N225" s="61">
        <f ca="1">$K$225-EFEITO!$M$225*EFEITO!$Z$225</f>
        <v>1.2334766049794297</v>
      </c>
      <c r="O225" s="61">
        <f>$L$225-EFEITO!$O$225*EFEITO!$AA$225</f>
        <v>0.10614713134161757</v>
      </c>
      <c r="P225" s="45"/>
      <c r="Q225" s="45"/>
      <c r="R225" s="45"/>
      <c r="S225" s="45"/>
      <c r="T225" s="45"/>
      <c r="U225" s="45"/>
      <c r="V225" s="45"/>
      <c r="W225" s="45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1.25" customHeight="1" x14ac:dyDescent="0.2">
      <c r="A226" s="41" t="s">
        <v>21</v>
      </c>
      <c r="B226" s="41" t="s">
        <v>35</v>
      </c>
      <c r="C226" s="41" t="s">
        <v>39</v>
      </c>
      <c r="D226" s="41" t="s">
        <v>42</v>
      </c>
      <c r="E226" s="41" t="s">
        <v>49</v>
      </c>
      <c r="F226" s="41" t="s">
        <v>25</v>
      </c>
      <c r="G226" s="41" t="s">
        <v>25</v>
      </c>
      <c r="H226" s="41" t="s">
        <v>37</v>
      </c>
      <c r="I226" s="60">
        <v>44440</v>
      </c>
      <c r="J226" s="61">
        <f>EFEITO!$J$226*EFEITO!$Y$187</f>
        <v>0</v>
      </c>
      <c r="K226" s="61">
        <f ca="1">EFEITO!$L$226*EFEITO!$Z$187</f>
        <v>333.49552653147254</v>
      </c>
      <c r="L226" s="61">
        <f>EFEITO!$N$226*EFEITO!$AA$187</f>
        <v>28.699039214585369</v>
      </c>
      <c r="M226" s="61">
        <f>$J$226-EFEITO!$K$226*EFEITO!$Y$226</f>
        <v>0</v>
      </c>
      <c r="N226" s="61">
        <f ca="1">$K$226-EFEITO!$M$226*EFEITO!$Z$226</f>
        <v>6.6699105306294655</v>
      </c>
      <c r="O226" s="61">
        <f>$L$226-EFEITO!$O$226*EFEITO!$AA$226</f>
        <v>0.57398078429170596</v>
      </c>
      <c r="P226" s="45"/>
      <c r="Q226" s="45"/>
      <c r="R226" s="45"/>
      <c r="S226" s="45"/>
      <c r="T226" s="45"/>
      <c r="U226" s="45"/>
      <c r="V226" s="45"/>
      <c r="W226" s="45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1.25" customHeight="1" x14ac:dyDescent="0.2">
      <c r="A227" s="41" t="s">
        <v>21</v>
      </c>
      <c r="B227" s="41" t="s">
        <v>35</v>
      </c>
      <c r="C227" s="41" t="s">
        <v>39</v>
      </c>
      <c r="D227" s="41" t="s">
        <v>42</v>
      </c>
      <c r="E227" s="41" t="s">
        <v>49</v>
      </c>
      <c r="F227" s="41" t="s">
        <v>25</v>
      </c>
      <c r="G227" s="41" t="s">
        <v>25</v>
      </c>
      <c r="H227" s="41" t="s">
        <v>37</v>
      </c>
      <c r="I227" s="60">
        <v>44470</v>
      </c>
      <c r="J227" s="61">
        <f>EFEITO!$J$227*EFEITO!$Y$187</f>
        <v>0</v>
      </c>
      <c r="K227" s="61">
        <f ca="1">EFEITO!$L$227*EFEITO!$Z$187</f>
        <v>360.90611775323742</v>
      </c>
      <c r="L227" s="61">
        <f>EFEITO!$N$227*EFEITO!$AA$187</f>
        <v>31.057864355510198</v>
      </c>
      <c r="M227" s="61">
        <f>$J$227-EFEITO!$K$227*EFEITO!$Y$227</f>
        <v>0</v>
      </c>
      <c r="N227" s="61">
        <f ca="1">$K$227-EFEITO!$M$227*EFEITO!$Z$227</f>
        <v>7.2181223550647928</v>
      </c>
      <c r="O227" s="61">
        <f>$L$227-EFEITO!$O$227*EFEITO!$AA$227</f>
        <v>0.62115728711020424</v>
      </c>
      <c r="P227" s="45"/>
      <c r="Q227" s="45"/>
      <c r="R227" s="45"/>
      <c r="S227" s="45"/>
      <c r="T227" s="45"/>
      <c r="U227" s="45"/>
      <c r="V227" s="45"/>
      <c r="W227" s="45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1.25" customHeight="1" x14ac:dyDescent="0.2">
      <c r="A228" s="41" t="s">
        <v>21</v>
      </c>
      <c r="B228" s="41" t="s">
        <v>35</v>
      </c>
      <c r="C228" s="41" t="s">
        <v>39</v>
      </c>
      <c r="D228" s="41" t="s">
        <v>42</v>
      </c>
      <c r="E228" s="41" t="s">
        <v>49</v>
      </c>
      <c r="F228" s="41" t="s">
        <v>25</v>
      </c>
      <c r="G228" s="41" t="s">
        <v>25</v>
      </c>
      <c r="H228" s="41" t="s">
        <v>37</v>
      </c>
      <c r="I228" s="60">
        <v>44501</v>
      </c>
      <c r="J228" s="61">
        <f>EFEITO!$J$228*EFEITO!$Y$187</f>
        <v>0</v>
      </c>
      <c r="K228" s="61">
        <f ca="1">EFEITO!$L$228*EFEITO!$Z$187</f>
        <v>945.66539715088788</v>
      </c>
      <c r="L228" s="61">
        <f>EFEITO!$N$228*EFEITO!$AA$187</f>
        <v>81.379467361906464</v>
      </c>
      <c r="M228" s="61">
        <f>$J$228-EFEITO!$K$228*EFEITO!$Y$228</f>
        <v>0</v>
      </c>
      <c r="N228" s="61">
        <f ca="1">$K$228-EFEITO!$M$228*EFEITO!$Z$228</f>
        <v>18.913307943017912</v>
      </c>
      <c r="O228" s="61">
        <f>$L$228-EFEITO!$O$228*EFEITO!$AA$228</f>
        <v>1.6275893472381284</v>
      </c>
      <c r="P228" s="45"/>
      <c r="Q228" s="45"/>
      <c r="R228" s="45"/>
      <c r="S228" s="45"/>
      <c r="T228" s="45"/>
      <c r="U228" s="45"/>
      <c r="V228" s="45"/>
      <c r="W228" s="45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1.25" customHeight="1" x14ac:dyDescent="0.2">
      <c r="A229" s="41" t="s">
        <v>21</v>
      </c>
      <c r="B229" s="41" t="s">
        <v>35</v>
      </c>
      <c r="C229" s="41" t="s">
        <v>39</v>
      </c>
      <c r="D229" s="41" t="s">
        <v>42</v>
      </c>
      <c r="E229" s="41" t="s">
        <v>49</v>
      </c>
      <c r="F229" s="41" t="s">
        <v>25</v>
      </c>
      <c r="G229" s="41" t="s">
        <v>25</v>
      </c>
      <c r="H229" s="41" t="s">
        <v>37</v>
      </c>
      <c r="I229" s="60">
        <v>44531</v>
      </c>
      <c r="J229" s="61">
        <f>EFEITO!$J$229*EFEITO!$Y$187</f>
        <v>0</v>
      </c>
      <c r="K229" s="61">
        <f ca="1">EFEITO!$L$229*EFEITO!$Z$187</f>
        <v>1774.8357816092753</v>
      </c>
      <c r="L229" s="61">
        <f>EFEITO!$N$229*EFEITO!$AA$187</f>
        <v>152.73392787488243</v>
      </c>
      <c r="M229" s="61">
        <f>$J$229-EFEITO!$K$229*EFEITO!$Y$229</f>
        <v>0</v>
      </c>
      <c r="N229" s="61">
        <f ca="1">$K$229-EFEITO!$M$229*EFEITO!$Z$229</f>
        <v>35.496715632185669</v>
      </c>
      <c r="O229" s="61">
        <f>$L$229-EFEITO!$O$229*EFEITO!$AA$229</f>
        <v>3.0546785574976525</v>
      </c>
      <c r="P229" s="45"/>
      <c r="Q229" s="45"/>
      <c r="R229" s="45"/>
      <c r="S229" s="45"/>
      <c r="T229" s="45"/>
      <c r="U229" s="45"/>
      <c r="V229" s="45"/>
      <c r="W229" s="45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1.25" customHeight="1" x14ac:dyDescent="0.2">
      <c r="A230" s="41" t="s">
        <v>21</v>
      </c>
      <c r="B230" s="41" t="s">
        <v>35</v>
      </c>
      <c r="C230" s="41" t="s">
        <v>39</v>
      </c>
      <c r="D230" s="41" t="s">
        <v>42</v>
      </c>
      <c r="E230" s="41" t="s">
        <v>49</v>
      </c>
      <c r="F230" s="41" t="s">
        <v>25</v>
      </c>
      <c r="G230" s="41" t="s">
        <v>25</v>
      </c>
      <c r="H230" s="41" t="s">
        <v>37</v>
      </c>
      <c r="I230" s="60">
        <v>44562</v>
      </c>
      <c r="J230" s="61">
        <f>EFEITO!$J$230*EFEITO!$Y$187</f>
        <v>0</v>
      </c>
      <c r="K230" s="61">
        <f ca="1">EFEITO!$L$230*EFEITO!$Z$187</f>
        <v>564.20133598132679</v>
      </c>
      <c r="L230" s="61">
        <f>EFEITO!$N$230*EFEITO!$AA$187</f>
        <v>48.552484150702647</v>
      </c>
      <c r="M230" s="61">
        <f>$J$230-EFEITO!$K$230*EFEITO!$Y$230</f>
        <v>0</v>
      </c>
      <c r="N230" s="61">
        <f ca="1">$K$230-EFEITO!$M$230*EFEITO!$Z$230</f>
        <v>11.284026719626581</v>
      </c>
      <c r="O230" s="61">
        <f>$L$230-EFEITO!$O$230*EFEITO!$AA$230</f>
        <v>0.97104968301405137</v>
      </c>
      <c r="P230" s="45"/>
      <c r="Q230" s="45"/>
      <c r="R230" s="45"/>
      <c r="S230" s="45"/>
      <c r="T230" s="45"/>
      <c r="U230" s="45"/>
      <c r="V230" s="45"/>
      <c r="W230" s="45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1.25" customHeight="1" x14ac:dyDescent="0.2">
      <c r="A231" s="41" t="s">
        <v>21</v>
      </c>
      <c r="B231" s="41" t="s">
        <v>35</v>
      </c>
      <c r="C231" s="41" t="s">
        <v>39</v>
      </c>
      <c r="D231" s="41" t="s">
        <v>42</v>
      </c>
      <c r="E231" s="41" t="s">
        <v>49</v>
      </c>
      <c r="F231" s="41" t="s">
        <v>25</v>
      </c>
      <c r="G231" s="41" t="s">
        <v>25</v>
      </c>
      <c r="H231" s="41" t="s">
        <v>37</v>
      </c>
      <c r="I231" s="60">
        <v>44593</v>
      </c>
      <c r="J231" s="61">
        <f>EFEITO!$J$231*EFEITO!$Y$187</f>
        <v>0</v>
      </c>
      <c r="K231" s="61">
        <f ca="1">EFEITO!$L$231*EFEITO!$Z$187</f>
        <v>2327.6160379148664</v>
      </c>
      <c r="L231" s="61">
        <f>EFEITO!$N$231*EFEITO!$AA$187</f>
        <v>200.30356821686638</v>
      </c>
      <c r="M231" s="61">
        <f>$J$231-EFEITO!$K$231*EFEITO!$Y$231</f>
        <v>0</v>
      </c>
      <c r="N231" s="61">
        <f ca="1">$K$231-EFEITO!$M$231*EFEITO!$Z$231</f>
        <v>46.552320758297355</v>
      </c>
      <c r="O231" s="61">
        <f>$L$231-EFEITO!$O$231*EFEITO!$AA$231</f>
        <v>4.0060713643373447</v>
      </c>
      <c r="P231" s="45"/>
      <c r="Q231" s="45"/>
      <c r="R231" s="45"/>
      <c r="S231" s="45"/>
      <c r="T231" s="45"/>
      <c r="U231" s="45"/>
      <c r="V231" s="45"/>
      <c r="W231" s="45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1.25" customHeight="1" x14ac:dyDescent="0.2">
      <c r="A232" s="41" t="s">
        <v>21</v>
      </c>
      <c r="B232" s="41" t="s">
        <v>35</v>
      </c>
      <c r="C232" s="41" t="s">
        <v>39</v>
      </c>
      <c r="D232" s="41" t="s">
        <v>42</v>
      </c>
      <c r="E232" s="41" t="s">
        <v>49</v>
      </c>
      <c r="F232" s="41" t="s">
        <v>25</v>
      </c>
      <c r="G232" s="41" t="s">
        <v>25</v>
      </c>
      <c r="H232" s="41" t="s">
        <v>37</v>
      </c>
      <c r="I232" s="60">
        <v>44621</v>
      </c>
      <c r="J232" s="61">
        <f>EFEITO!$J$232*EFEITO!$Y$187</f>
        <v>0</v>
      </c>
      <c r="K232" s="61">
        <f ca="1">EFEITO!$L$232*EFEITO!$Z$187</f>
        <v>2617.7114616785448</v>
      </c>
      <c r="L232" s="61">
        <f>EFEITO!$N$232*EFEITO!$AA$187</f>
        <v>225.26780095832078</v>
      </c>
      <c r="M232" s="61">
        <f>$J$232-EFEITO!$K$232*EFEITO!$Y$232</f>
        <v>0</v>
      </c>
      <c r="N232" s="61">
        <f ca="1">$K$232-EFEITO!$M$232*EFEITO!$Z$232</f>
        <v>52.354229233571459</v>
      </c>
      <c r="O232" s="61">
        <f>$L$232-EFEITO!$O$232*EFEITO!$AA$232</f>
        <v>4.5053560191664133</v>
      </c>
      <c r="P232" s="45"/>
      <c r="Q232" s="45"/>
      <c r="R232" s="45"/>
      <c r="S232" s="45"/>
      <c r="T232" s="45"/>
      <c r="U232" s="45"/>
      <c r="V232" s="45"/>
      <c r="W232" s="45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1.25" customHeight="1" x14ac:dyDescent="0.2">
      <c r="A233" s="41" t="s">
        <v>21</v>
      </c>
      <c r="B233" s="41" t="s">
        <v>35</v>
      </c>
      <c r="C233" s="41" t="s">
        <v>39</v>
      </c>
      <c r="D233" s="41" t="s">
        <v>42</v>
      </c>
      <c r="E233" s="41" t="s">
        <v>49</v>
      </c>
      <c r="F233" s="41" t="s">
        <v>25</v>
      </c>
      <c r="G233" s="41" t="s">
        <v>25</v>
      </c>
      <c r="H233" s="41" t="s">
        <v>37</v>
      </c>
      <c r="I233" s="60">
        <v>44652</v>
      </c>
      <c r="J233" s="61">
        <f>EFEITO!$J$233*EFEITO!$Y$187</f>
        <v>0</v>
      </c>
      <c r="K233" s="61">
        <f ca="1">EFEITO!$L$233*EFEITO!$Z$187</f>
        <v>1062.1604098433886</v>
      </c>
      <c r="L233" s="61">
        <f>EFEITO!$N$233*EFEITO!$AA$187</f>
        <v>91.40447421083698</v>
      </c>
      <c r="M233" s="61">
        <f>$J$233-EFEITO!$K$233*EFEITO!$Y$233</f>
        <v>0</v>
      </c>
      <c r="N233" s="61">
        <f ca="1">$K$233-EFEITO!$M$233*EFEITO!$Z$233</f>
        <v>21.243208196867727</v>
      </c>
      <c r="O233" s="61">
        <f>$L$233-EFEITO!$O$233*EFEITO!$AA$233</f>
        <v>1.828089484216747</v>
      </c>
      <c r="P233" s="45"/>
      <c r="Q233" s="45"/>
      <c r="R233" s="45"/>
      <c r="S233" s="45"/>
      <c r="T233" s="45"/>
      <c r="U233" s="45"/>
      <c r="V233" s="45"/>
      <c r="W233" s="45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1.25" customHeight="1" x14ac:dyDescent="0.2">
      <c r="A234" s="41" t="s">
        <v>21</v>
      </c>
      <c r="B234" s="41" t="s">
        <v>35</v>
      </c>
      <c r="C234" s="41" t="s">
        <v>39</v>
      </c>
      <c r="D234" s="41" t="s">
        <v>42</v>
      </c>
      <c r="E234" s="41" t="s">
        <v>49</v>
      </c>
      <c r="F234" s="41" t="s">
        <v>25</v>
      </c>
      <c r="G234" s="41" t="s">
        <v>25</v>
      </c>
      <c r="H234" s="41" t="s">
        <v>37</v>
      </c>
      <c r="I234" s="60">
        <v>44682</v>
      </c>
      <c r="J234" s="61">
        <f>EFEITO!$J$234*EFEITO!$Y$187</f>
        <v>0</v>
      </c>
      <c r="K234" s="61">
        <f ca="1">EFEITO!$L$234*EFEITO!$Z$187</f>
        <v>141.62138797911848</v>
      </c>
      <c r="L234" s="61">
        <f>EFEITO!$N$234*EFEITO!$AA$187</f>
        <v>12.187263228111597</v>
      </c>
      <c r="M234" s="61">
        <f>$J$234-EFEITO!$K$234*EFEITO!$Y$234</f>
        <v>0</v>
      </c>
      <c r="N234" s="61">
        <f ca="1">$K$234-EFEITO!$M$234*EFEITO!$Z$234</f>
        <v>2.832427759582373</v>
      </c>
      <c r="O234" s="61">
        <f>$L$234-EFEITO!$O$234*EFEITO!$AA$234</f>
        <v>0.24374526456223222</v>
      </c>
      <c r="P234" s="45"/>
      <c r="Q234" s="45"/>
      <c r="R234" s="45"/>
      <c r="S234" s="45"/>
      <c r="T234" s="45"/>
      <c r="U234" s="45"/>
      <c r="V234" s="45"/>
      <c r="W234" s="45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1.25" customHeight="1" x14ac:dyDescent="0.2">
      <c r="A235" s="41" t="s">
        <v>21</v>
      </c>
      <c r="B235" s="41" t="s">
        <v>35</v>
      </c>
      <c r="C235" s="41" t="s">
        <v>39</v>
      </c>
      <c r="D235" s="41" t="s">
        <v>42</v>
      </c>
      <c r="E235" s="41" t="s">
        <v>49</v>
      </c>
      <c r="F235" s="41" t="s">
        <v>25</v>
      </c>
      <c r="G235" s="41" t="s">
        <v>25</v>
      </c>
      <c r="H235" s="41" t="s">
        <v>37</v>
      </c>
      <c r="I235" s="60">
        <v>44713</v>
      </c>
      <c r="J235" s="61">
        <f>EFEITO!$J$235*EFEITO!$Y$187</f>
        <v>0</v>
      </c>
      <c r="K235" s="61">
        <f ca="1">EFEITO!$L$235*EFEITO!$Z$187</f>
        <v>219.28472977411894</v>
      </c>
      <c r="L235" s="61">
        <f>EFEITO!$N$235*EFEITO!$AA$187</f>
        <v>18.870601127398601</v>
      </c>
      <c r="M235" s="61">
        <f>$J$235-EFEITO!$K$235*EFEITO!$Y$235</f>
        <v>0</v>
      </c>
      <c r="N235" s="61">
        <f ca="1">$K$235-EFEITO!$M$235*EFEITO!$Z$235</f>
        <v>4.3856945954823914</v>
      </c>
      <c r="O235" s="61">
        <f>$L$235-EFEITO!$O$235*EFEITO!$AA$235</f>
        <v>0.37741202254797201</v>
      </c>
      <c r="P235" s="45"/>
      <c r="Q235" s="45"/>
      <c r="R235" s="45"/>
      <c r="S235" s="45"/>
      <c r="T235" s="45"/>
      <c r="U235" s="45"/>
      <c r="V235" s="45"/>
      <c r="W235" s="45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1.25" customHeight="1" x14ac:dyDescent="0.2">
      <c r="A236" s="41" t="s">
        <v>21</v>
      </c>
      <c r="B236" s="41" t="s">
        <v>35</v>
      </c>
      <c r="C236" s="41" t="s">
        <v>39</v>
      </c>
      <c r="D236" s="41" t="s">
        <v>42</v>
      </c>
      <c r="E236" s="41" t="s">
        <v>25</v>
      </c>
      <c r="F236" s="41" t="s">
        <v>25</v>
      </c>
      <c r="G236" s="41" t="s">
        <v>25</v>
      </c>
      <c r="H236" s="41" t="s">
        <v>38</v>
      </c>
      <c r="I236" s="60">
        <v>44378</v>
      </c>
      <c r="J236" s="61">
        <f>EFEITO!$J$236*EFEITO!$Y$164</f>
        <v>0</v>
      </c>
      <c r="K236" s="61">
        <f ca="1">EFEITO!$L$236*EFEITO!$Z$164</f>
        <v>804.58813280353604</v>
      </c>
      <c r="L236" s="61">
        <f>EFEITO!$N$236*EFEITO!$AA$164</f>
        <v>1635.6486664696224</v>
      </c>
      <c r="M236" s="61">
        <f>$J$236-EFEITO!$K$236*EFEITO!$Y$236</f>
        <v>0</v>
      </c>
      <c r="N236" s="61">
        <f ca="1">$K$236-EFEITO!$M$236*EFEITO!$Z$236</f>
        <v>16.091762656070728</v>
      </c>
      <c r="O236" s="61">
        <f>$L$236-EFEITO!$O$236*EFEITO!$AA$236</f>
        <v>32.712973329392526</v>
      </c>
      <c r="P236" s="45"/>
      <c r="Q236" s="45"/>
      <c r="R236" s="45"/>
      <c r="S236" s="45"/>
      <c r="T236" s="45"/>
      <c r="U236" s="45"/>
      <c r="V236" s="45"/>
      <c r="W236" s="45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1.25" customHeight="1" x14ac:dyDescent="0.2">
      <c r="A237" s="41" t="s">
        <v>21</v>
      </c>
      <c r="B237" s="41" t="s">
        <v>35</v>
      </c>
      <c r="C237" s="41" t="s">
        <v>39</v>
      </c>
      <c r="D237" s="41" t="s">
        <v>42</v>
      </c>
      <c r="E237" s="41" t="s">
        <v>25</v>
      </c>
      <c r="F237" s="41" t="s">
        <v>25</v>
      </c>
      <c r="G237" s="41" t="s">
        <v>25</v>
      </c>
      <c r="H237" s="41" t="s">
        <v>38</v>
      </c>
      <c r="I237" s="60">
        <v>44409</v>
      </c>
      <c r="J237" s="61">
        <f>EFEITO!$J$237*EFEITO!$Y$164</f>
        <v>0</v>
      </c>
      <c r="K237" s="61">
        <f ca="1">EFEITO!$L$237*EFEITO!$Z$164</f>
        <v>139.43229028995302</v>
      </c>
      <c r="L237" s="61">
        <f>EFEITO!$N$237*EFEITO!$AA$164</f>
        <v>283.45215443446648</v>
      </c>
      <c r="M237" s="61">
        <f>$J$237-EFEITO!$K$237*EFEITO!$Y$237</f>
        <v>0</v>
      </c>
      <c r="N237" s="61">
        <f ca="1">$K$237-EFEITO!$M$237*EFEITO!$Z$237</f>
        <v>2.7886458057990637</v>
      </c>
      <c r="O237" s="61">
        <f>$L$237-EFEITO!$O$237*EFEITO!$AA$237</f>
        <v>5.6690430886893637</v>
      </c>
      <c r="P237" s="45"/>
      <c r="Q237" s="45"/>
      <c r="R237" s="45"/>
      <c r="S237" s="45"/>
      <c r="T237" s="45"/>
      <c r="U237" s="45"/>
      <c r="V237" s="45"/>
      <c r="W237" s="45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1.25" customHeight="1" x14ac:dyDescent="0.2">
      <c r="A238" s="41" t="s">
        <v>21</v>
      </c>
      <c r="B238" s="41" t="s">
        <v>35</v>
      </c>
      <c r="C238" s="41" t="s">
        <v>39</v>
      </c>
      <c r="D238" s="41" t="s">
        <v>42</v>
      </c>
      <c r="E238" s="41" t="s">
        <v>25</v>
      </c>
      <c r="F238" s="41" t="s">
        <v>25</v>
      </c>
      <c r="G238" s="41" t="s">
        <v>25</v>
      </c>
      <c r="H238" s="41" t="s">
        <v>38</v>
      </c>
      <c r="I238" s="60">
        <v>44440</v>
      </c>
      <c r="J238" s="61">
        <f>EFEITO!$J$238*EFEITO!$Y$164</f>
        <v>0</v>
      </c>
      <c r="K238" s="61">
        <f ca="1">EFEITO!$L$238*EFEITO!$Z$164</f>
        <v>289.79096671219776</v>
      </c>
      <c r="L238" s="61">
        <f>EFEITO!$N$238*EFEITO!$AA$164</f>
        <v>589.11657894597499</v>
      </c>
      <c r="M238" s="61">
        <f>$J$238-EFEITO!$K$238*EFEITO!$Y$238</f>
        <v>0</v>
      </c>
      <c r="N238" s="61">
        <f ca="1">$K$238-EFEITO!$M$238*EFEITO!$Z$238</f>
        <v>5.7958193342439586</v>
      </c>
      <c r="O238" s="61">
        <f>$L$238-EFEITO!$O$238*EFEITO!$AA$238</f>
        <v>11.782331578919411</v>
      </c>
      <c r="P238" s="45"/>
      <c r="Q238" s="45"/>
      <c r="R238" s="45"/>
      <c r="S238" s="45"/>
      <c r="T238" s="45"/>
      <c r="U238" s="45"/>
      <c r="V238" s="45"/>
      <c r="W238" s="45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1.25" customHeight="1" x14ac:dyDescent="0.2">
      <c r="A239" s="41" t="s">
        <v>21</v>
      </c>
      <c r="B239" s="41" t="s">
        <v>35</v>
      </c>
      <c r="C239" s="41" t="s">
        <v>39</v>
      </c>
      <c r="D239" s="41" t="s">
        <v>42</v>
      </c>
      <c r="E239" s="41" t="s">
        <v>25</v>
      </c>
      <c r="F239" s="41" t="s">
        <v>25</v>
      </c>
      <c r="G239" s="41" t="s">
        <v>25</v>
      </c>
      <c r="H239" s="41" t="s">
        <v>38</v>
      </c>
      <c r="I239" s="60">
        <v>44470</v>
      </c>
      <c r="J239" s="61">
        <f>EFEITO!$J$239*EFEITO!$Y$164</f>
        <v>0</v>
      </c>
      <c r="K239" s="61">
        <f ca="1">EFEITO!$L$239*EFEITO!$Z$164</f>
        <v>1729.0764320145215</v>
      </c>
      <c r="L239" s="61">
        <f>EFEITO!$N$239*EFEITO!$AA$164</f>
        <v>3515.0425975014773</v>
      </c>
      <c r="M239" s="61">
        <f>$J$239-EFEITO!$K$239*EFEITO!$Y$239</f>
        <v>0</v>
      </c>
      <c r="N239" s="61">
        <f ca="1">$K$239-EFEITO!$M$239*EFEITO!$Z$239</f>
        <v>34.581528640290571</v>
      </c>
      <c r="O239" s="61">
        <f>$L$239-EFEITO!$O$239*EFEITO!$AA$239</f>
        <v>70.300851950029937</v>
      </c>
      <c r="P239" s="45"/>
      <c r="Q239" s="45"/>
      <c r="R239" s="45"/>
      <c r="S239" s="45"/>
      <c r="T239" s="45"/>
      <c r="U239" s="45"/>
      <c r="V239" s="45"/>
      <c r="W239" s="45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1.25" customHeight="1" x14ac:dyDescent="0.2">
      <c r="A240" s="41" t="s">
        <v>21</v>
      </c>
      <c r="B240" s="41" t="s">
        <v>35</v>
      </c>
      <c r="C240" s="41" t="s">
        <v>39</v>
      </c>
      <c r="D240" s="41" t="s">
        <v>42</v>
      </c>
      <c r="E240" s="41" t="s">
        <v>25</v>
      </c>
      <c r="F240" s="41" t="s">
        <v>25</v>
      </c>
      <c r="G240" s="41" t="s">
        <v>25</v>
      </c>
      <c r="H240" s="41" t="s">
        <v>38</v>
      </c>
      <c r="I240" s="60">
        <v>44501</v>
      </c>
      <c r="J240" s="61">
        <f>EFEITO!$J$240*EFEITO!$Y$164</f>
        <v>0</v>
      </c>
      <c r="K240" s="61">
        <f ca="1">EFEITO!$L$240*EFEITO!$Z$164</f>
        <v>2892.494820897125</v>
      </c>
      <c r="L240" s="61">
        <f>EFEITO!$N$240*EFEITO!$AA$164</f>
        <v>5880.1579388021019</v>
      </c>
      <c r="M240" s="61">
        <f>$J$240-EFEITO!$K$240*EFEITO!$Y$240</f>
        <v>0</v>
      </c>
      <c r="N240" s="61">
        <f ca="1">$K$240-EFEITO!$M$240*EFEITO!$Z$240</f>
        <v>57.849896417942546</v>
      </c>
      <c r="O240" s="61">
        <f>$L$240-EFEITO!$O$240*EFEITO!$AA$240</f>
        <v>117.60315877604171</v>
      </c>
      <c r="P240" s="45"/>
      <c r="Q240" s="45"/>
      <c r="R240" s="45"/>
      <c r="S240" s="45"/>
      <c r="T240" s="45"/>
      <c r="U240" s="45"/>
      <c r="V240" s="45"/>
      <c r="W240" s="45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1.25" customHeight="1" x14ac:dyDescent="0.2">
      <c r="A241" s="41" t="s">
        <v>21</v>
      </c>
      <c r="B241" s="41" t="s">
        <v>35</v>
      </c>
      <c r="C241" s="41" t="s">
        <v>39</v>
      </c>
      <c r="D241" s="41" t="s">
        <v>42</v>
      </c>
      <c r="E241" s="41" t="s">
        <v>25</v>
      </c>
      <c r="F241" s="41" t="s">
        <v>25</v>
      </c>
      <c r="G241" s="41" t="s">
        <v>25</v>
      </c>
      <c r="H241" s="41" t="s">
        <v>38</v>
      </c>
      <c r="I241" s="60">
        <v>44531</v>
      </c>
      <c r="J241" s="61">
        <f>EFEITO!$J$241*EFEITO!$Y$164</f>
        <v>0</v>
      </c>
      <c r="K241" s="61">
        <f ca="1">EFEITO!$L$241*EFEITO!$Z$164</f>
        <v>3426.6307235057939</v>
      </c>
      <c r="L241" s="61">
        <f>EFEITO!$N$241*EFEITO!$AA$164</f>
        <v>6966.0037786744961</v>
      </c>
      <c r="M241" s="61">
        <f>$J$241-EFEITO!$K$241*EFEITO!$Y$241</f>
        <v>0</v>
      </c>
      <c r="N241" s="61">
        <f ca="1">$K$241-EFEITO!$M$241*EFEITO!$Z$241</f>
        <v>68.532614470115732</v>
      </c>
      <c r="O241" s="61">
        <f>$L$241-EFEITO!$O$241*EFEITO!$AA$241</f>
        <v>139.3200755734897</v>
      </c>
      <c r="P241" s="45"/>
      <c r="Q241" s="45"/>
      <c r="R241" s="45"/>
      <c r="S241" s="45"/>
      <c r="T241" s="45"/>
      <c r="U241" s="45"/>
      <c r="V241" s="45"/>
      <c r="W241" s="45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1.25" customHeight="1" x14ac:dyDescent="0.2">
      <c r="A242" s="41" t="s">
        <v>21</v>
      </c>
      <c r="B242" s="41" t="s">
        <v>35</v>
      </c>
      <c r="C242" s="41" t="s">
        <v>39</v>
      </c>
      <c r="D242" s="41" t="s">
        <v>42</v>
      </c>
      <c r="E242" s="41" t="s">
        <v>25</v>
      </c>
      <c r="F242" s="41" t="s">
        <v>25</v>
      </c>
      <c r="G242" s="41" t="s">
        <v>25</v>
      </c>
      <c r="H242" s="41" t="s">
        <v>38</v>
      </c>
      <c r="I242" s="60">
        <v>44562</v>
      </c>
      <c r="J242" s="61">
        <f>EFEITO!$J$242*EFEITO!$Y$164</f>
        <v>0</v>
      </c>
      <c r="K242" s="61">
        <f ca="1">EFEITO!$L$242*EFEITO!$Z$164</f>
        <v>6498.0088571882261</v>
      </c>
      <c r="L242" s="61">
        <f>EFEITO!$N$242*EFEITO!$AA$164</f>
        <v>13209.813926702507</v>
      </c>
      <c r="M242" s="61">
        <f>$J$242-EFEITO!$K$242*EFEITO!$Y$242</f>
        <v>0</v>
      </c>
      <c r="N242" s="61">
        <f ca="1">$K$242-EFEITO!$M$242*EFEITO!$Z$242</f>
        <v>129.96017714376467</v>
      </c>
      <c r="O242" s="61">
        <f>$L$242-EFEITO!$O$242*EFEITO!$AA$242</f>
        <v>264.19627853404927</v>
      </c>
      <c r="P242" s="45"/>
      <c r="Q242" s="45"/>
      <c r="R242" s="45"/>
      <c r="S242" s="45"/>
      <c r="T242" s="45"/>
      <c r="U242" s="45"/>
      <c r="V242" s="45"/>
      <c r="W242" s="45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1.25" customHeight="1" x14ac:dyDescent="0.2">
      <c r="A243" s="41" t="s">
        <v>21</v>
      </c>
      <c r="B243" s="41" t="s">
        <v>35</v>
      </c>
      <c r="C243" s="41" t="s">
        <v>39</v>
      </c>
      <c r="D243" s="41" t="s">
        <v>42</v>
      </c>
      <c r="E243" s="41" t="s">
        <v>25</v>
      </c>
      <c r="F243" s="41" t="s">
        <v>25</v>
      </c>
      <c r="G243" s="41" t="s">
        <v>25</v>
      </c>
      <c r="H243" s="41" t="s">
        <v>38</v>
      </c>
      <c r="I243" s="60">
        <v>44593</v>
      </c>
      <c r="J243" s="61">
        <f>EFEITO!$J$243*EFEITO!$Y$164</f>
        <v>0</v>
      </c>
      <c r="K243" s="61">
        <f ca="1">EFEITO!$L$243*EFEITO!$Z$164</f>
        <v>3225.507863725556</v>
      </c>
      <c r="L243" s="61">
        <f>EFEITO!$N$243*EFEITO!$AA$164</f>
        <v>6557.1407542475254</v>
      </c>
      <c r="M243" s="61">
        <f>$J$243-EFEITO!$K$243*EFEITO!$Y$243</f>
        <v>0</v>
      </c>
      <c r="N243" s="61">
        <f ca="1">$K$243-EFEITO!$M$243*EFEITO!$Z$243</f>
        <v>64.51015727451113</v>
      </c>
      <c r="O243" s="61">
        <f>$L$243-EFEITO!$O$243*EFEITO!$AA$243</f>
        <v>131.1428150849506</v>
      </c>
      <c r="P243" s="45"/>
      <c r="Q243" s="45"/>
      <c r="R243" s="45"/>
      <c r="S243" s="45"/>
      <c r="T243" s="45"/>
      <c r="U243" s="45"/>
      <c r="V243" s="45"/>
      <c r="W243" s="45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1.25" customHeight="1" x14ac:dyDescent="0.2">
      <c r="A244" s="41" t="s">
        <v>21</v>
      </c>
      <c r="B244" s="41" t="s">
        <v>35</v>
      </c>
      <c r="C244" s="41" t="s">
        <v>39</v>
      </c>
      <c r="D244" s="41" t="s">
        <v>42</v>
      </c>
      <c r="E244" s="41" t="s">
        <v>25</v>
      </c>
      <c r="F244" s="41" t="s">
        <v>25</v>
      </c>
      <c r="G244" s="41" t="s">
        <v>25</v>
      </c>
      <c r="H244" s="41" t="s">
        <v>38</v>
      </c>
      <c r="I244" s="60">
        <v>44621</v>
      </c>
      <c r="J244" s="61">
        <f>EFEITO!$J$244*EFEITO!$Y$164</f>
        <v>0</v>
      </c>
      <c r="K244" s="61">
        <f ca="1">EFEITO!$L$244*EFEITO!$Z$164</f>
        <v>3007.7536905404149</v>
      </c>
      <c r="L244" s="61">
        <f>EFEITO!$N$244*EFEITO!$AA$164</f>
        <v>6114.467902800634</v>
      </c>
      <c r="M244" s="61">
        <f>$J$244-EFEITO!$K$244*EFEITO!$Y$244</f>
        <v>0</v>
      </c>
      <c r="N244" s="61">
        <f ca="1">$K$244-EFEITO!$M$244*EFEITO!$Z$244</f>
        <v>60.155073810808062</v>
      </c>
      <c r="O244" s="61">
        <f>$L$244-EFEITO!$O$244*EFEITO!$AA$244</f>
        <v>122.28935805601213</v>
      </c>
      <c r="P244" s="45"/>
      <c r="Q244" s="45"/>
      <c r="R244" s="45"/>
      <c r="S244" s="45"/>
      <c r="T244" s="45"/>
      <c r="U244" s="45"/>
      <c r="V244" s="45"/>
      <c r="W244" s="45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1.25" customHeight="1" x14ac:dyDescent="0.2">
      <c r="A245" s="41" t="s">
        <v>21</v>
      </c>
      <c r="B245" s="41" t="s">
        <v>35</v>
      </c>
      <c r="C245" s="41" t="s">
        <v>39</v>
      </c>
      <c r="D245" s="41" t="s">
        <v>42</v>
      </c>
      <c r="E245" s="41" t="s">
        <v>25</v>
      </c>
      <c r="F245" s="41" t="s">
        <v>25</v>
      </c>
      <c r="G245" s="41" t="s">
        <v>25</v>
      </c>
      <c r="H245" s="41" t="s">
        <v>38</v>
      </c>
      <c r="I245" s="60">
        <v>44652</v>
      </c>
      <c r="J245" s="61">
        <f>EFEITO!$J$245*EFEITO!$Y$164</f>
        <v>0</v>
      </c>
      <c r="K245" s="61">
        <f ca="1">EFEITO!$L$245*EFEITO!$Z$164</f>
        <v>2281.7775216798273</v>
      </c>
      <c r="L245" s="61">
        <f>EFEITO!$N$245*EFEITO!$AA$164</f>
        <v>4638.629639628668</v>
      </c>
      <c r="M245" s="61">
        <f>$J$245-EFEITO!$K$245*EFEITO!$Y$245</f>
        <v>0</v>
      </c>
      <c r="N245" s="61">
        <f ca="1">$K$245-EFEITO!$M$245*EFEITO!$Z$245</f>
        <v>45.635550433596563</v>
      </c>
      <c r="O245" s="61">
        <f>$L$245-EFEITO!$O$245*EFEITO!$AA$245</f>
        <v>92.77259279257305</v>
      </c>
      <c r="P245" s="45"/>
      <c r="Q245" s="45"/>
      <c r="R245" s="45"/>
      <c r="S245" s="45"/>
      <c r="T245" s="45"/>
      <c r="U245" s="45"/>
      <c r="V245" s="45"/>
      <c r="W245" s="45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1.25" customHeight="1" x14ac:dyDescent="0.2">
      <c r="A246" s="41" t="s">
        <v>21</v>
      </c>
      <c r="B246" s="41" t="s">
        <v>35</v>
      </c>
      <c r="C246" s="41" t="s">
        <v>39</v>
      </c>
      <c r="D246" s="41" t="s">
        <v>42</v>
      </c>
      <c r="E246" s="41" t="s">
        <v>25</v>
      </c>
      <c r="F246" s="41" t="s">
        <v>25</v>
      </c>
      <c r="G246" s="41" t="s">
        <v>25</v>
      </c>
      <c r="H246" s="41" t="s">
        <v>38</v>
      </c>
      <c r="I246" s="60">
        <v>44682</v>
      </c>
      <c r="J246" s="61">
        <f>EFEITO!$J$246*EFEITO!$Y$164</f>
        <v>0</v>
      </c>
      <c r="K246" s="61">
        <f ca="1">EFEITO!$L$246*EFEITO!$Z$164</f>
        <v>1881.4656757710857</v>
      </c>
      <c r="L246" s="61">
        <f>EFEITO!$N$246*EFEITO!$AA$164</f>
        <v>3824.8349660096037</v>
      </c>
      <c r="M246" s="61">
        <f>$J$246-EFEITO!$K$246*EFEITO!$Y$246</f>
        <v>0</v>
      </c>
      <c r="N246" s="61">
        <f ca="1">$K$246-EFEITO!$M$246*EFEITO!$Z$246</f>
        <v>37.629313515421927</v>
      </c>
      <c r="O246" s="61">
        <f>$L$246-EFEITO!$O$246*EFEITO!$AA$246</f>
        <v>76.49669932019242</v>
      </c>
      <c r="P246" s="45"/>
      <c r="Q246" s="45"/>
      <c r="R246" s="45"/>
      <c r="S246" s="45"/>
      <c r="T246" s="45"/>
      <c r="U246" s="45"/>
      <c r="V246" s="45"/>
      <c r="W246" s="45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1.25" customHeight="1" x14ac:dyDescent="0.2">
      <c r="A247" s="41" t="s">
        <v>21</v>
      </c>
      <c r="B247" s="41" t="s">
        <v>35</v>
      </c>
      <c r="C247" s="41" t="s">
        <v>39</v>
      </c>
      <c r="D247" s="41" t="s">
        <v>42</v>
      </c>
      <c r="E247" s="41" t="s">
        <v>25</v>
      </c>
      <c r="F247" s="41" t="s">
        <v>25</v>
      </c>
      <c r="G247" s="41" t="s">
        <v>25</v>
      </c>
      <c r="H247" s="41" t="s">
        <v>38</v>
      </c>
      <c r="I247" s="60">
        <v>44713</v>
      </c>
      <c r="J247" s="61">
        <f>EFEITO!$J$247*EFEITO!$Y$164</f>
        <v>0</v>
      </c>
      <c r="K247" s="61">
        <f ca="1">EFEITO!$L$247*EFEITO!$Z$164</f>
        <v>1748.1250874840919</v>
      </c>
      <c r="L247" s="61">
        <f>EFEITO!$N$247*EFEITO!$AA$164</f>
        <v>3553.7666435649926</v>
      </c>
      <c r="M247" s="61">
        <f>$J$247-EFEITO!$K$247*EFEITO!$Y$247</f>
        <v>0</v>
      </c>
      <c r="N247" s="61">
        <f ca="1">$K$247-EFEITO!$M$247*EFEITO!$Z$247</f>
        <v>34.962501749681905</v>
      </c>
      <c r="O247" s="61">
        <f>$L$247-EFEITO!$O$247*EFEITO!$AA$247</f>
        <v>71.075332871299452</v>
      </c>
      <c r="P247" s="45"/>
      <c r="Q247" s="45"/>
      <c r="R247" s="45"/>
      <c r="S247" s="45"/>
      <c r="T247" s="45"/>
      <c r="U247" s="45"/>
      <c r="V247" s="45"/>
      <c r="W247" s="45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1.25" customHeight="1" x14ac:dyDescent="0.2">
      <c r="A248" s="41" t="s">
        <v>21</v>
      </c>
      <c r="B248" s="41" t="s">
        <v>35</v>
      </c>
      <c r="C248" s="41" t="s">
        <v>39</v>
      </c>
      <c r="D248" s="41" t="s">
        <v>42</v>
      </c>
      <c r="E248" s="41" t="s">
        <v>25</v>
      </c>
      <c r="F248" s="41" t="s">
        <v>25</v>
      </c>
      <c r="G248" s="41" t="s">
        <v>25</v>
      </c>
      <c r="H248" s="41" t="s">
        <v>25</v>
      </c>
      <c r="I248" s="60">
        <v>44378</v>
      </c>
      <c r="J248" s="61">
        <f ca="1">EFEITO!$J$248*EFEITO!$Y$176</f>
        <v>4868.0734901024389</v>
      </c>
      <c r="K248" s="61">
        <f>EFEITO!$L$248*EFEITO!$Z$176</f>
        <v>0</v>
      </c>
      <c r="L248" s="61">
        <f>EFEITO!$N$248*EFEITO!$AA$176</f>
        <v>0</v>
      </c>
      <c r="M248" s="61">
        <f ca="1">$J$248-EFEITO!$K$248*EFEITO!$Y$248</f>
        <v>97.361469802049214</v>
      </c>
      <c r="N248" s="61">
        <f>$K$248-EFEITO!$M$248*EFEITO!$Z$248</f>
        <v>0</v>
      </c>
      <c r="O248" s="61">
        <f>$L$248-EFEITO!$O$248*EFEITO!$AA$248</f>
        <v>0</v>
      </c>
      <c r="P248" s="45"/>
      <c r="Q248" s="45"/>
      <c r="R248" s="45"/>
      <c r="S248" s="45"/>
      <c r="T248" s="45"/>
      <c r="U248" s="45"/>
      <c r="V248" s="45"/>
      <c r="W248" s="45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1.25" customHeight="1" x14ac:dyDescent="0.2">
      <c r="A249" s="41" t="s">
        <v>21</v>
      </c>
      <c r="B249" s="41" t="s">
        <v>35</v>
      </c>
      <c r="C249" s="41" t="s">
        <v>39</v>
      </c>
      <c r="D249" s="41" t="s">
        <v>42</v>
      </c>
      <c r="E249" s="41" t="s">
        <v>25</v>
      </c>
      <c r="F249" s="41" t="s">
        <v>25</v>
      </c>
      <c r="G249" s="41" t="s">
        <v>25</v>
      </c>
      <c r="H249" s="41" t="s">
        <v>25</v>
      </c>
      <c r="I249" s="60">
        <v>44409</v>
      </c>
      <c r="J249" s="61">
        <f ca="1">EFEITO!$J$249*EFEITO!$Y$176</f>
        <v>4868.0734901024389</v>
      </c>
      <c r="K249" s="61">
        <f>EFEITO!$L$249*EFEITO!$Z$176</f>
        <v>0</v>
      </c>
      <c r="L249" s="61">
        <f>EFEITO!$N$249*EFEITO!$AA$176</f>
        <v>0</v>
      </c>
      <c r="M249" s="61">
        <f ca="1">$J$249-EFEITO!$K$249*EFEITO!$Y$249</f>
        <v>97.361469802049214</v>
      </c>
      <c r="N249" s="61">
        <f>$K$249-EFEITO!$M$249*EFEITO!$Z$249</f>
        <v>0</v>
      </c>
      <c r="O249" s="61">
        <f>$L$249-EFEITO!$O$249*EFEITO!$AA$249</f>
        <v>0</v>
      </c>
      <c r="P249" s="45"/>
      <c r="Q249" s="45"/>
      <c r="R249" s="45"/>
      <c r="S249" s="45"/>
      <c r="T249" s="45"/>
      <c r="U249" s="45"/>
      <c r="V249" s="45"/>
      <c r="W249" s="45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1.25" customHeight="1" x14ac:dyDescent="0.2">
      <c r="A250" s="41" t="s">
        <v>21</v>
      </c>
      <c r="B250" s="41" t="s">
        <v>35</v>
      </c>
      <c r="C250" s="41" t="s">
        <v>39</v>
      </c>
      <c r="D250" s="41" t="s">
        <v>42</v>
      </c>
      <c r="E250" s="41" t="s">
        <v>25</v>
      </c>
      <c r="F250" s="41" t="s">
        <v>25</v>
      </c>
      <c r="G250" s="41" t="s">
        <v>25</v>
      </c>
      <c r="H250" s="41" t="s">
        <v>25</v>
      </c>
      <c r="I250" s="60">
        <v>44440</v>
      </c>
      <c r="J250" s="61">
        <f ca="1">EFEITO!$J$250*EFEITO!$Y$176</f>
        <v>4868.0734901024389</v>
      </c>
      <c r="K250" s="61">
        <f>EFEITO!$L$250*EFEITO!$Z$176</f>
        <v>0</v>
      </c>
      <c r="L250" s="61">
        <f>EFEITO!$N$250*EFEITO!$AA$176</f>
        <v>0</v>
      </c>
      <c r="M250" s="61">
        <f ca="1">$J$250-EFEITO!$K$250*EFEITO!$Y$250</f>
        <v>97.361469802049214</v>
      </c>
      <c r="N250" s="61">
        <f>$K$250-EFEITO!$M$250*EFEITO!$Z$250</f>
        <v>0</v>
      </c>
      <c r="O250" s="61">
        <f>$L$250-EFEITO!$O$250*EFEITO!$AA$250</f>
        <v>0</v>
      </c>
      <c r="P250" s="45"/>
      <c r="Q250" s="45"/>
      <c r="R250" s="45"/>
      <c r="S250" s="45"/>
      <c r="T250" s="45"/>
      <c r="U250" s="45"/>
      <c r="V250" s="45"/>
      <c r="W250" s="45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1.25" customHeight="1" x14ac:dyDescent="0.2">
      <c r="A251" s="41" t="s">
        <v>21</v>
      </c>
      <c r="B251" s="41" t="s">
        <v>35</v>
      </c>
      <c r="C251" s="41" t="s">
        <v>39</v>
      </c>
      <c r="D251" s="41" t="s">
        <v>42</v>
      </c>
      <c r="E251" s="41" t="s">
        <v>25</v>
      </c>
      <c r="F251" s="41" t="s">
        <v>25</v>
      </c>
      <c r="G251" s="41" t="s">
        <v>25</v>
      </c>
      <c r="H251" s="41" t="s">
        <v>25</v>
      </c>
      <c r="I251" s="60">
        <v>44470</v>
      </c>
      <c r="J251" s="61">
        <f ca="1">EFEITO!$J$251*EFEITO!$Y$176</f>
        <v>4868.0734901024389</v>
      </c>
      <c r="K251" s="61">
        <f>EFEITO!$L$251*EFEITO!$Z$176</f>
        <v>0</v>
      </c>
      <c r="L251" s="61">
        <f>EFEITO!$N$251*EFEITO!$AA$176</f>
        <v>0</v>
      </c>
      <c r="M251" s="61">
        <f ca="1">$J$251-EFEITO!$K$251*EFEITO!$Y$251</f>
        <v>97.361469802049214</v>
      </c>
      <c r="N251" s="61">
        <f>$K$251-EFEITO!$M$251*EFEITO!$Z$251</f>
        <v>0</v>
      </c>
      <c r="O251" s="61">
        <f>$L$251-EFEITO!$O$251*EFEITO!$AA$251</f>
        <v>0</v>
      </c>
      <c r="P251" s="45"/>
      <c r="Q251" s="45"/>
      <c r="R251" s="45"/>
      <c r="S251" s="45"/>
      <c r="T251" s="45"/>
      <c r="U251" s="45"/>
      <c r="V251" s="45"/>
      <c r="W251" s="45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1.25" customHeight="1" x14ac:dyDescent="0.2">
      <c r="A252" s="41" t="s">
        <v>21</v>
      </c>
      <c r="B252" s="41" t="s">
        <v>35</v>
      </c>
      <c r="C252" s="41" t="s">
        <v>39</v>
      </c>
      <c r="D252" s="41" t="s">
        <v>42</v>
      </c>
      <c r="E252" s="41" t="s">
        <v>25</v>
      </c>
      <c r="F252" s="41" t="s">
        <v>25</v>
      </c>
      <c r="G252" s="41" t="s">
        <v>25</v>
      </c>
      <c r="H252" s="41" t="s">
        <v>25</v>
      </c>
      <c r="I252" s="60">
        <v>44501</v>
      </c>
      <c r="J252" s="61">
        <f ca="1">EFEITO!$J$252*EFEITO!$Y$176</f>
        <v>5266.3704120199118</v>
      </c>
      <c r="K252" s="61">
        <f>EFEITO!$L$252*EFEITO!$Z$176</f>
        <v>0</v>
      </c>
      <c r="L252" s="61">
        <f>EFEITO!$N$252*EFEITO!$AA$176</f>
        <v>0</v>
      </c>
      <c r="M252" s="61">
        <f ca="1">$J$252-EFEITO!$K$252*EFEITO!$Y$252</f>
        <v>105.32740824039865</v>
      </c>
      <c r="N252" s="61">
        <f>$K$252-EFEITO!$M$252*EFEITO!$Z$252</f>
        <v>0</v>
      </c>
      <c r="O252" s="61">
        <f>$L$252-EFEITO!$O$252*EFEITO!$AA$252</f>
        <v>0</v>
      </c>
      <c r="P252" s="45"/>
      <c r="Q252" s="45"/>
      <c r="R252" s="45"/>
      <c r="S252" s="45"/>
      <c r="T252" s="45"/>
      <c r="U252" s="45"/>
      <c r="V252" s="45"/>
      <c r="W252" s="45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1.25" customHeight="1" x14ac:dyDescent="0.2">
      <c r="A253" s="41" t="s">
        <v>21</v>
      </c>
      <c r="B253" s="41" t="s">
        <v>35</v>
      </c>
      <c r="C253" s="41" t="s">
        <v>39</v>
      </c>
      <c r="D253" s="41" t="s">
        <v>42</v>
      </c>
      <c r="E253" s="41" t="s">
        <v>25</v>
      </c>
      <c r="F253" s="41" t="s">
        <v>25</v>
      </c>
      <c r="G253" s="41" t="s">
        <v>25</v>
      </c>
      <c r="H253" s="41" t="s">
        <v>25</v>
      </c>
      <c r="I253" s="60">
        <v>44531</v>
      </c>
      <c r="J253" s="61">
        <f ca="1">EFEITO!$J$253*EFEITO!$Y$176</f>
        <v>5133.6047713807538</v>
      </c>
      <c r="K253" s="61">
        <f>EFEITO!$L$253*EFEITO!$Z$176</f>
        <v>0</v>
      </c>
      <c r="L253" s="61">
        <f>EFEITO!$N$253*EFEITO!$AA$176</f>
        <v>0</v>
      </c>
      <c r="M253" s="61">
        <f ca="1">$J$253-EFEITO!$K$253*EFEITO!$Y$253</f>
        <v>102.6720954276152</v>
      </c>
      <c r="N253" s="61">
        <f>$K$253-EFEITO!$M$253*EFEITO!$Z$253</f>
        <v>0</v>
      </c>
      <c r="O253" s="61">
        <f>$L$253-EFEITO!$O$253*EFEITO!$AA$253</f>
        <v>0</v>
      </c>
      <c r="P253" s="45"/>
      <c r="Q253" s="45"/>
      <c r="R253" s="45"/>
      <c r="S253" s="45"/>
      <c r="T253" s="45"/>
      <c r="U253" s="45"/>
      <c r="V253" s="45"/>
      <c r="W253" s="45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1.25" customHeight="1" x14ac:dyDescent="0.2">
      <c r="A254" s="41" t="s">
        <v>21</v>
      </c>
      <c r="B254" s="41" t="s">
        <v>35</v>
      </c>
      <c r="C254" s="41" t="s">
        <v>39</v>
      </c>
      <c r="D254" s="41" t="s">
        <v>42</v>
      </c>
      <c r="E254" s="41" t="s">
        <v>25</v>
      </c>
      <c r="F254" s="41" t="s">
        <v>25</v>
      </c>
      <c r="G254" s="41" t="s">
        <v>25</v>
      </c>
      <c r="H254" s="41" t="s">
        <v>25</v>
      </c>
      <c r="I254" s="60">
        <v>44562</v>
      </c>
      <c r="J254" s="61">
        <f ca="1">EFEITO!$J$254*EFEITO!$Y$176</f>
        <v>5266.3704120199118</v>
      </c>
      <c r="K254" s="61">
        <f>EFEITO!$L$254*EFEITO!$Z$176</f>
        <v>0</v>
      </c>
      <c r="L254" s="61">
        <f>EFEITO!$N$254*EFEITO!$AA$176</f>
        <v>0</v>
      </c>
      <c r="M254" s="61">
        <f ca="1">$J$254-EFEITO!$K$254*EFEITO!$Y$254</f>
        <v>105.32740824039865</v>
      </c>
      <c r="N254" s="61">
        <f>$K$254-EFEITO!$M$254*EFEITO!$Z$254</f>
        <v>0</v>
      </c>
      <c r="O254" s="61">
        <f>$L$254-EFEITO!$O$254*EFEITO!$AA$254</f>
        <v>0</v>
      </c>
      <c r="P254" s="45"/>
      <c r="Q254" s="45"/>
      <c r="R254" s="45"/>
      <c r="S254" s="45"/>
      <c r="T254" s="45"/>
      <c r="U254" s="45"/>
      <c r="V254" s="45"/>
      <c r="W254" s="45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1.25" customHeight="1" x14ac:dyDescent="0.2">
      <c r="A255" s="41" t="s">
        <v>21</v>
      </c>
      <c r="B255" s="41" t="s">
        <v>35</v>
      </c>
      <c r="C255" s="41" t="s">
        <v>39</v>
      </c>
      <c r="D255" s="41" t="s">
        <v>42</v>
      </c>
      <c r="E255" s="41" t="s">
        <v>25</v>
      </c>
      <c r="F255" s="41" t="s">
        <v>25</v>
      </c>
      <c r="G255" s="41" t="s">
        <v>25</v>
      </c>
      <c r="H255" s="41" t="s">
        <v>25</v>
      </c>
      <c r="I255" s="60">
        <v>44593</v>
      </c>
      <c r="J255" s="61">
        <f ca="1">EFEITO!$J$255*EFEITO!$Y$176</f>
        <v>5177.8599849271395</v>
      </c>
      <c r="K255" s="61">
        <f>EFEITO!$L$255*EFEITO!$Z$176</f>
        <v>0</v>
      </c>
      <c r="L255" s="61">
        <f>EFEITO!$N$255*EFEITO!$AA$176</f>
        <v>0</v>
      </c>
      <c r="M255" s="61">
        <f ca="1">$J$255-EFEITO!$K$255*EFEITO!$Y$255</f>
        <v>103.55719969854272</v>
      </c>
      <c r="N255" s="61">
        <f>$K$255-EFEITO!$M$255*EFEITO!$Z$255</f>
        <v>0</v>
      </c>
      <c r="O255" s="61">
        <f>$L$255-EFEITO!$O$255*EFEITO!$AA$255</f>
        <v>0</v>
      </c>
      <c r="P255" s="45"/>
      <c r="Q255" s="45"/>
      <c r="R255" s="45"/>
      <c r="S255" s="45"/>
      <c r="T255" s="45"/>
      <c r="U255" s="45"/>
      <c r="V255" s="45"/>
      <c r="W255" s="45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1.25" customHeight="1" x14ac:dyDescent="0.2">
      <c r="A256" s="41" t="s">
        <v>21</v>
      </c>
      <c r="B256" s="41" t="s">
        <v>35</v>
      </c>
      <c r="C256" s="41" t="s">
        <v>39</v>
      </c>
      <c r="D256" s="41" t="s">
        <v>42</v>
      </c>
      <c r="E256" s="41" t="s">
        <v>25</v>
      </c>
      <c r="F256" s="41" t="s">
        <v>25</v>
      </c>
      <c r="G256" s="41" t="s">
        <v>25</v>
      </c>
      <c r="H256" s="41" t="s">
        <v>25</v>
      </c>
      <c r="I256" s="60">
        <v>44621</v>
      </c>
      <c r="J256" s="61">
        <f ca="1">EFEITO!$J$256*EFEITO!$Y$176</f>
        <v>5222.1151984735261</v>
      </c>
      <c r="K256" s="61">
        <f>EFEITO!$L$256*EFEITO!$Z$176</f>
        <v>0</v>
      </c>
      <c r="L256" s="61">
        <f>EFEITO!$N$256*EFEITO!$AA$176</f>
        <v>0</v>
      </c>
      <c r="M256" s="61">
        <f ca="1">$J$256-EFEITO!$K$256*EFEITO!$Y$256</f>
        <v>104.44230396947114</v>
      </c>
      <c r="N256" s="61">
        <f>$K$256-EFEITO!$M$256*EFEITO!$Z$256</f>
        <v>0</v>
      </c>
      <c r="O256" s="61">
        <f>$L$256-EFEITO!$O$256*EFEITO!$AA$256</f>
        <v>0</v>
      </c>
      <c r="P256" s="45"/>
      <c r="Q256" s="45"/>
      <c r="R256" s="45"/>
      <c r="S256" s="45"/>
      <c r="T256" s="45"/>
      <c r="U256" s="45"/>
      <c r="V256" s="45"/>
      <c r="W256" s="45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1.25" customHeight="1" x14ac:dyDescent="0.2">
      <c r="A257" s="41" t="s">
        <v>21</v>
      </c>
      <c r="B257" s="41" t="s">
        <v>35</v>
      </c>
      <c r="C257" s="41" t="s">
        <v>39</v>
      </c>
      <c r="D257" s="41" t="s">
        <v>42</v>
      </c>
      <c r="E257" s="41" t="s">
        <v>25</v>
      </c>
      <c r="F257" s="41" t="s">
        <v>25</v>
      </c>
      <c r="G257" s="41" t="s">
        <v>25</v>
      </c>
      <c r="H257" s="41" t="s">
        <v>25</v>
      </c>
      <c r="I257" s="60">
        <v>44652</v>
      </c>
      <c r="J257" s="61">
        <f ca="1">EFEITO!$J$257*EFEITO!$Y$176</f>
        <v>4912.3287036488246</v>
      </c>
      <c r="K257" s="61">
        <f>EFEITO!$L$257*EFEITO!$Z$176</f>
        <v>0</v>
      </c>
      <c r="L257" s="61">
        <f>EFEITO!$N$257*EFEITO!$AA$176</f>
        <v>0</v>
      </c>
      <c r="M257" s="61">
        <f ca="1">$J$257-EFEITO!$K$257*EFEITO!$Y$257</f>
        <v>98.246574072976728</v>
      </c>
      <c r="N257" s="61">
        <f>$K$257-EFEITO!$M$257*EFEITO!$Z$257</f>
        <v>0</v>
      </c>
      <c r="O257" s="61">
        <f>$L$257-EFEITO!$O$257*EFEITO!$AA$257</f>
        <v>0</v>
      </c>
      <c r="P257" s="45"/>
      <c r="Q257" s="45"/>
      <c r="R257" s="45"/>
      <c r="S257" s="45"/>
      <c r="T257" s="45"/>
      <c r="U257" s="45"/>
      <c r="V257" s="45"/>
      <c r="W257" s="45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1.25" customHeight="1" x14ac:dyDescent="0.2">
      <c r="A258" s="41" t="s">
        <v>21</v>
      </c>
      <c r="B258" s="41" t="s">
        <v>35</v>
      </c>
      <c r="C258" s="41" t="s">
        <v>39</v>
      </c>
      <c r="D258" s="41" t="s">
        <v>42</v>
      </c>
      <c r="E258" s="41" t="s">
        <v>25</v>
      </c>
      <c r="F258" s="41" t="s">
        <v>25</v>
      </c>
      <c r="G258" s="41" t="s">
        <v>25</v>
      </c>
      <c r="H258" s="41" t="s">
        <v>25</v>
      </c>
      <c r="I258" s="60">
        <v>44682</v>
      </c>
      <c r="J258" s="61">
        <f ca="1">EFEITO!$J$258*EFEITO!$Y$176</f>
        <v>4868.0734901024389</v>
      </c>
      <c r="K258" s="61">
        <f>EFEITO!$L$258*EFEITO!$Z$176</f>
        <v>0</v>
      </c>
      <c r="L258" s="61">
        <f>EFEITO!$N$258*EFEITO!$AA$176</f>
        <v>0</v>
      </c>
      <c r="M258" s="61">
        <f ca="1">$J$258-EFEITO!$K$258*EFEITO!$Y$258</f>
        <v>97.361469802049214</v>
      </c>
      <c r="N258" s="61">
        <f>$K$258-EFEITO!$M$258*EFEITO!$Z$258</f>
        <v>0</v>
      </c>
      <c r="O258" s="61">
        <f>$L$258-EFEITO!$O$258*EFEITO!$AA$258</f>
        <v>0</v>
      </c>
      <c r="P258" s="45"/>
      <c r="Q258" s="45"/>
      <c r="R258" s="45"/>
      <c r="S258" s="45"/>
      <c r="T258" s="45"/>
      <c r="U258" s="45"/>
      <c r="V258" s="45"/>
      <c r="W258" s="45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1.25" customHeight="1" x14ac:dyDescent="0.2">
      <c r="A259" s="41" t="s">
        <v>21</v>
      </c>
      <c r="B259" s="41" t="s">
        <v>35</v>
      </c>
      <c r="C259" s="41" t="s">
        <v>39</v>
      </c>
      <c r="D259" s="41" t="s">
        <v>42</v>
      </c>
      <c r="E259" s="41" t="s">
        <v>25</v>
      </c>
      <c r="F259" s="41" t="s">
        <v>25</v>
      </c>
      <c r="G259" s="41" t="s">
        <v>25</v>
      </c>
      <c r="H259" s="41" t="s">
        <v>25</v>
      </c>
      <c r="I259" s="60">
        <v>44713</v>
      </c>
      <c r="J259" s="61">
        <f ca="1">EFEITO!$J$259*EFEITO!$Y$176</f>
        <v>4868.0734901024389</v>
      </c>
      <c r="K259" s="61">
        <f>EFEITO!$L$259*EFEITO!$Z$176</f>
        <v>0</v>
      </c>
      <c r="L259" s="61">
        <f>EFEITO!$N$259*EFEITO!$AA$176</f>
        <v>0</v>
      </c>
      <c r="M259" s="61">
        <f ca="1">$J$259-EFEITO!$K$259*EFEITO!$Y$259</f>
        <v>97.361469802049214</v>
      </c>
      <c r="N259" s="61">
        <f>$K$259-EFEITO!$M$259*EFEITO!$Z$259</f>
        <v>0</v>
      </c>
      <c r="O259" s="61">
        <f>$L$259-EFEITO!$O$259*EFEITO!$AA$259</f>
        <v>0</v>
      </c>
      <c r="P259" s="45"/>
      <c r="Q259" s="45"/>
      <c r="R259" s="45"/>
      <c r="S259" s="45"/>
      <c r="T259" s="45"/>
      <c r="U259" s="45"/>
      <c r="V259" s="45"/>
      <c r="W259" s="45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1.25" customHeight="1" x14ac:dyDescent="0.2">
      <c r="A260" s="41" t="s">
        <v>21</v>
      </c>
      <c r="B260" s="41" t="s">
        <v>35</v>
      </c>
      <c r="C260" s="41" t="s">
        <v>39</v>
      </c>
      <c r="D260" s="41" t="s">
        <v>42</v>
      </c>
      <c r="E260" s="41" t="s">
        <v>25</v>
      </c>
      <c r="F260" s="41" t="s">
        <v>25</v>
      </c>
      <c r="G260" s="41" t="s">
        <v>25</v>
      </c>
      <c r="H260" s="41" t="s">
        <v>37</v>
      </c>
      <c r="I260" s="60">
        <v>44378</v>
      </c>
      <c r="J260" s="61">
        <f>EFEITO!$J$260*EFEITO!$Y$187</f>
        <v>0</v>
      </c>
      <c r="K260" s="61">
        <f ca="1">EFEITO!$L$260*EFEITO!$Z$187</f>
        <v>1386.5190726342728</v>
      </c>
      <c r="L260" s="61">
        <f>EFEITO!$N$260*EFEITO!$AA$187</f>
        <v>119.3172383784474</v>
      </c>
      <c r="M260" s="61">
        <f>$J$260-EFEITO!$K$260*EFEITO!$Y$260</f>
        <v>0</v>
      </c>
      <c r="N260" s="61">
        <f ca="1">$K$260-EFEITO!$M$260*EFEITO!$Z$260</f>
        <v>27.730381452685606</v>
      </c>
      <c r="O260" s="61">
        <f>$L$260-EFEITO!$O$260*EFEITO!$AA$260</f>
        <v>2.3863447675689429</v>
      </c>
      <c r="P260" s="45"/>
      <c r="Q260" s="45"/>
      <c r="R260" s="45"/>
      <c r="S260" s="45"/>
      <c r="T260" s="45"/>
      <c r="U260" s="45"/>
      <c r="V260" s="45"/>
      <c r="W260" s="45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1.25" customHeight="1" x14ac:dyDescent="0.2">
      <c r="A261" s="41" t="s">
        <v>21</v>
      </c>
      <c r="B261" s="41" t="s">
        <v>35</v>
      </c>
      <c r="C261" s="41" t="s">
        <v>39</v>
      </c>
      <c r="D261" s="41" t="s">
        <v>42</v>
      </c>
      <c r="E261" s="41" t="s">
        <v>25</v>
      </c>
      <c r="F261" s="41" t="s">
        <v>25</v>
      </c>
      <c r="G261" s="41" t="s">
        <v>25</v>
      </c>
      <c r="H261" s="41" t="s">
        <v>37</v>
      </c>
      <c r="I261" s="60">
        <v>44409</v>
      </c>
      <c r="J261" s="61">
        <f>EFEITO!$J$261*EFEITO!$Y$187</f>
        <v>0</v>
      </c>
      <c r="K261" s="61">
        <f ca="1">EFEITO!$L$261*EFEITO!$Z$187</f>
        <v>440.85367548338496</v>
      </c>
      <c r="L261" s="61">
        <f>EFEITO!$N$261*EFEITO!$AA$187</f>
        <v>37.937771016540935</v>
      </c>
      <c r="M261" s="61">
        <f>$J$261-EFEITO!$K$261*EFEITO!$Y$261</f>
        <v>0</v>
      </c>
      <c r="N261" s="61">
        <f ca="1">$K$261-EFEITO!$M$261*EFEITO!$Z$261</f>
        <v>8.8170735096677504</v>
      </c>
      <c r="O261" s="61">
        <f>$L$261-EFEITO!$O$261*EFEITO!$AA$261</f>
        <v>0.75875542033081445</v>
      </c>
      <c r="P261" s="45"/>
      <c r="Q261" s="45"/>
      <c r="R261" s="45"/>
      <c r="S261" s="45"/>
      <c r="T261" s="45"/>
      <c r="U261" s="45"/>
      <c r="V261" s="45"/>
      <c r="W261" s="45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1.25" customHeight="1" x14ac:dyDescent="0.2">
      <c r="A262" s="41" t="s">
        <v>21</v>
      </c>
      <c r="B262" s="41" t="s">
        <v>35</v>
      </c>
      <c r="C262" s="41" t="s">
        <v>39</v>
      </c>
      <c r="D262" s="41" t="s">
        <v>42</v>
      </c>
      <c r="E262" s="41" t="s">
        <v>25</v>
      </c>
      <c r="F262" s="41" t="s">
        <v>25</v>
      </c>
      <c r="G262" s="41" t="s">
        <v>25</v>
      </c>
      <c r="H262" s="41" t="s">
        <v>37</v>
      </c>
      <c r="I262" s="60">
        <v>44440</v>
      </c>
      <c r="J262" s="61">
        <f>EFEITO!$J$262*EFEITO!$Y$187</f>
        <v>0</v>
      </c>
      <c r="K262" s="61">
        <f ca="1">EFEITO!$L$262*EFEITO!$Z$187</f>
        <v>717.2438036361807</v>
      </c>
      <c r="L262" s="61">
        <f>EFEITO!$N$262*EFEITO!$AA$187</f>
        <v>61.72259118753292</v>
      </c>
      <c r="M262" s="61">
        <f>$J$262-EFEITO!$K$262*EFEITO!$Y$262</f>
        <v>0</v>
      </c>
      <c r="N262" s="61">
        <f ca="1">$K$262-EFEITO!$M$262*EFEITO!$Z$262</f>
        <v>14.34487607272365</v>
      </c>
      <c r="O262" s="61">
        <f>$L$262-EFEITO!$O$262*EFEITO!$AA$262</f>
        <v>1.2344518237506534</v>
      </c>
      <c r="P262" s="45"/>
      <c r="Q262" s="45"/>
      <c r="R262" s="45"/>
      <c r="S262" s="45"/>
      <c r="T262" s="45"/>
      <c r="U262" s="45"/>
      <c r="V262" s="45"/>
      <c r="W262" s="45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1.25" customHeight="1" x14ac:dyDescent="0.2">
      <c r="A263" s="41" t="s">
        <v>21</v>
      </c>
      <c r="B263" s="41" t="s">
        <v>35</v>
      </c>
      <c r="C263" s="41" t="s">
        <v>39</v>
      </c>
      <c r="D263" s="41" t="s">
        <v>42</v>
      </c>
      <c r="E263" s="41" t="s">
        <v>25</v>
      </c>
      <c r="F263" s="41" t="s">
        <v>25</v>
      </c>
      <c r="G263" s="41" t="s">
        <v>25</v>
      </c>
      <c r="H263" s="41" t="s">
        <v>37</v>
      </c>
      <c r="I263" s="60">
        <v>44470</v>
      </c>
      <c r="J263" s="61">
        <f>EFEITO!$J$263*EFEITO!$Y$187</f>
        <v>0</v>
      </c>
      <c r="K263" s="61">
        <f ca="1">EFEITO!$L$263*EFEITO!$Z$187</f>
        <v>2846.1330551932519</v>
      </c>
      <c r="L263" s="61">
        <f>EFEITO!$N$263*EFEITO!$AA$187</f>
        <v>244.92467713269434</v>
      </c>
      <c r="M263" s="61">
        <f>$J$263-EFEITO!$K$263*EFEITO!$Y$263</f>
        <v>0</v>
      </c>
      <c r="N263" s="61">
        <f ca="1">$K$263-EFEITO!$M$263*EFEITO!$Z$263</f>
        <v>56.922661103865266</v>
      </c>
      <c r="O263" s="61">
        <f>$L$263-EFEITO!$O$263*EFEITO!$AA$263</f>
        <v>4.8984935426538811</v>
      </c>
      <c r="P263" s="45"/>
      <c r="Q263" s="45"/>
      <c r="R263" s="45"/>
      <c r="S263" s="45"/>
      <c r="T263" s="45"/>
      <c r="U263" s="45"/>
      <c r="V263" s="45"/>
      <c r="W263" s="45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1.25" customHeight="1" x14ac:dyDescent="0.2">
      <c r="A264" s="41" t="s">
        <v>21</v>
      </c>
      <c r="B264" s="41" t="s">
        <v>35</v>
      </c>
      <c r="C264" s="41" t="s">
        <v>39</v>
      </c>
      <c r="D264" s="41" t="s">
        <v>42</v>
      </c>
      <c r="E264" s="41" t="s">
        <v>25</v>
      </c>
      <c r="F264" s="41" t="s">
        <v>25</v>
      </c>
      <c r="G264" s="41" t="s">
        <v>25</v>
      </c>
      <c r="H264" s="41" t="s">
        <v>37</v>
      </c>
      <c r="I264" s="60">
        <v>44501</v>
      </c>
      <c r="J264" s="61">
        <f>EFEITO!$J$264*EFEITO!$Y$187</f>
        <v>0</v>
      </c>
      <c r="K264" s="61">
        <f ca="1">EFEITO!$L$264*EFEITO!$Z$187</f>
        <v>5975.5088863447418</v>
      </c>
      <c r="L264" s="61">
        <f>EFEITO!$N$264*EFEITO!$AA$187</f>
        <v>514.22388072161186</v>
      </c>
      <c r="M264" s="61">
        <f>$J$264-EFEITO!$K$264*EFEITO!$Y$264</f>
        <v>0</v>
      </c>
      <c r="N264" s="61">
        <f ca="1">$K$264-EFEITO!$M$264*EFEITO!$Z$264</f>
        <v>119.51017772689556</v>
      </c>
      <c r="O264" s="61">
        <f>$L$264-EFEITO!$O$264*EFEITO!$AA$264</f>
        <v>10.284477614432205</v>
      </c>
      <c r="P264" s="45"/>
      <c r="Q264" s="45"/>
      <c r="R264" s="45"/>
      <c r="S264" s="45"/>
      <c r="T264" s="45"/>
      <c r="U264" s="45"/>
      <c r="V264" s="45"/>
      <c r="W264" s="45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1.25" customHeight="1" x14ac:dyDescent="0.2">
      <c r="A265" s="41" t="s">
        <v>21</v>
      </c>
      <c r="B265" s="41" t="s">
        <v>35</v>
      </c>
      <c r="C265" s="41" t="s">
        <v>39</v>
      </c>
      <c r="D265" s="41" t="s">
        <v>42</v>
      </c>
      <c r="E265" s="41" t="s">
        <v>25</v>
      </c>
      <c r="F265" s="41" t="s">
        <v>25</v>
      </c>
      <c r="G265" s="41" t="s">
        <v>25</v>
      </c>
      <c r="H265" s="41" t="s">
        <v>37</v>
      </c>
      <c r="I265" s="60">
        <v>44531</v>
      </c>
      <c r="J265" s="61">
        <f>EFEITO!$J$265*EFEITO!$Y$187</f>
        <v>0</v>
      </c>
      <c r="K265" s="61">
        <f ca="1">EFEITO!$L$265*EFEITO!$Z$187</f>
        <v>8054.1453873285764</v>
      </c>
      <c r="L265" s="61">
        <f>EFEITO!$N$265*EFEITO!$AA$187</f>
        <v>693.10145390841103</v>
      </c>
      <c r="M265" s="61">
        <f>$J$265-EFEITO!$K$265*EFEITO!$Y$265</f>
        <v>0</v>
      </c>
      <c r="N265" s="61">
        <f ca="1">$K$265-EFEITO!$M$265*EFEITO!$Z$265</f>
        <v>161.08290774657235</v>
      </c>
      <c r="O265" s="61">
        <f>$L$265-EFEITO!$O$265*EFEITO!$AA$265</f>
        <v>13.862029078168234</v>
      </c>
      <c r="P265" s="45"/>
      <c r="Q265" s="45"/>
      <c r="R265" s="45"/>
      <c r="S265" s="45"/>
      <c r="T265" s="45"/>
      <c r="U265" s="45"/>
      <c r="V265" s="45"/>
      <c r="W265" s="45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1.25" customHeight="1" x14ac:dyDescent="0.2">
      <c r="A266" s="41" t="s">
        <v>21</v>
      </c>
      <c r="B266" s="41" t="s">
        <v>35</v>
      </c>
      <c r="C266" s="41" t="s">
        <v>39</v>
      </c>
      <c r="D266" s="41" t="s">
        <v>42</v>
      </c>
      <c r="E266" s="41" t="s">
        <v>25</v>
      </c>
      <c r="F266" s="41" t="s">
        <v>25</v>
      </c>
      <c r="G266" s="41" t="s">
        <v>25</v>
      </c>
      <c r="H266" s="41" t="s">
        <v>37</v>
      </c>
      <c r="I266" s="60">
        <v>44562</v>
      </c>
      <c r="J266" s="61">
        <f>EFEITO!$J$266*EFEITO!$Y$187</f>
        <v>0</v>
      </c>
      <c r="K266" s="61">
        <f ca="1">EFEITO!$L$266*EFEITO!$Z$187</f>
        <v>8689.1574172994624</v>
      </c>
      <c r="L266" s="61">
        <f>EFEITO!$N$266*EFEITO!$AA$187</f>
        <v>747.74756967316955</v>
      </c>
      <c r="M266" s="61">
        <f>$J$266-EFEITO!$K$266*EFEITO!$Y$266</f>
        <v>0</v>
      </c>
      <c r="N266" s="61">
        <f ca="1">$K$266-EFEITO!$M$266*EFEITO!$Z$266</f>
        <v>173.78314834599041</v>
      </c>
      <c r="O266" s="61">
        <f>$L$266-EFEITO!$O$266*EFEITO!$AA$266</f>
        <v>14.954951393463375</v>
      </c>
      <c r="P266" s="45"/>
      <c r="Q266" s="45"/>
      <c r="R266" s="45"/>
      <c r="S266" s="45"/>
      <c r="T266" s="45"/>
      <c r="U266" s="45"/>
      <c r="V266" s="45"/>
      <c r="W266" s="45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1.25" customHeight="1" x14ac:dyDescent="0.2">
      <c r="A267" s="41" t="s">
        <v>21</v>
      </c>
      <c r="B267" s="41" t="s">
        <v>35</v>
      </c>
      <c r="C267" s="41" t="s">
        <v>39</v>
      </c>
      <c r="D267" s="41" t="s">
        <v>42</v>
      </c>
      <c r="E267" s="41" t="s">
        <v>25</v>
      </c>
      <c r="F267" s="41" t="s">
        <v>25</v>
      </c>
      <c r="G267" s="41" t="s">
        <v>25</v>
      </c>
      <c r="H267" s="41" t="s">
        <v>37</v>
      </c>
      <c r="I267" s="60">
        <v>44593</v>
      </c>
      <c r="J267" s="61">
        <f>EFEITO!$J$267*EFEITO!$Y$187</f>
        <v>0</v>
      </c>
      <c r="K267" s="61">
        <f ca="1">EFEITO!$L$267*EFEITO!$Z$187</f>
        <v>7039.9535121232766</v>
      </c>
      <c r="L267" s="61">
        <f>EFEITO!$N$267*EFEITO!$AA$187</f>
        <v>605.82492369419253</v>
      </c>
      <c r="M267" s="61">
        <f>$J$267-EFEITO!$K$267*EFEITO!$Y$267</f>
        <v>0</v>
      </c>
      <c r="N267" s="61">
        <f ca="1">$K$267-EFEITO!$M$267*EFEITO!$Z$267</f>
        <v>140.79907024246677</v>
      </c>
      <c r="O267" s="61">
        <f>$L$267-EFEITO!$O$267*EFEITO!$AA$267</f>
        <v>12.116498473883894</v>
      </c>
      <c r="P267" s="45"/>
      <c r="Q267" s="45"/>
      <c r="R267" s="45"/>
      <c r="S267" s="45"/>
      <c r="T267" s="45"/>
      <c r="U267" s="45"/>
      <c r="V267" s="45"/>
      <c r="W267" s="45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1.25" customHeight="1" x14ac:dyDescent="0.2">
      <c r="A268" s="41" t="s">
        <v>21</v>
      </c>
      <c r="B268" s="41" t="s">
        <v>35</v>
      </c>
      <c r="C268" s="41" t="s">
        <v>39</v>
      </c>
      <c r="D268" s="41" t="s">
        <v>42</v>
      </c>
      <c r="E268" s="41" t="s">
        <v>25</v>
      </c>
      <c r="F268" s="41" t="s">
        <v>25</v>
      </c>
      <c r="G268" s="41" t="s">
        <v>25</v>
      </c>
      <c r="H268" s="41" t="s">
        <v>37</v>
      </c>
      <c r="I268" s="60">
        <v>44621</v>
      </c>
      <c r="J268" s="61">
        <f>EFEITO!$J$268*EFEITO!$Y$187</f>
        <v>0</v>
      </c>
      <c r="K268" s="61">
        <f ca="1">EFEITO!$L$268*EFEITO!$Z$187</f>
        <v>6309.0044128762138</v>
      </c>
      <c r="L268" s="61">
        <f>EFEITO!$N$268*EFEITO!$AA$187</f>
        <v>542.92291993619722</v>
      </c>
      <c r="M268" s="61">
        <f>$J$268-EFEITO!$K$268*EFEITO!$Y$268</f>
        <v>0</v>
      </c>
      <c r="N268" s="61">
        <f ca="1">$K$268-EFEITO!$M$268*EFEITO!$Z$268</f>
        <v>126.18008825752531</v>
      </c>
      <c r="O268" s="61">
        <f>$L$268-EFEITO!$O$268*EFEITO!$AA$268</f>
        <v>10.858458398723883</v>
      </c>
      <c r="P268" s="45"/>
      <c r="Q268" s="45"/>
      <c r="R268" s="45"/>
      <c r="S268" s="45"/>
      <c r="T268" s="45"/>
      <c r="U268" s="45"/>
      <c r="V268" s="45"/>
      <c r="W268" s="45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1.25" customHeight="1" x14ac:dyDescent="0.2">
      <c r="A269" s="41" t="s">
        <v>21</v>
      </c>
      <c r="B269" s="41" t="s">
        <v>35</v>
      </c>
      <c r="C269" s="41" t="s">
        <v>39</v>
      </c>
      <c r="D269" s="41" t="s">
        <v>42</v>
      </c>
      <c r="E269" s="41" t="s">
        <v>25</v>
      </c>
      <c r="F269" s="41" t="s">
        <v>25</v>
      </c>
      <c r="G269" s="41" t="s">
        <v>25</v>
      </c>
      <c r="H269" s="41" t="s">
        <v>37</v>
      </c>
      <c r="I269" s="60">
        <v>44652</v>
      </c>
      <c r="J269" s="61">
        <f>EFEITO!$J$269*EFEITO!$Y$187</f>
        <v>0</v>
      </c>
      <c r="K269" s="61">
        <f ca="1">EFEITO!$L$269*EFEITO!$Z$187</f>
        <v>3967.6830793504646</v>
      </c>
      <c r="L269" s="61">
        <f>EFEITO!$N$269*EFEITO!$AA$187</f>
        <v>341.43993914886846</v>
      </c>
      <c r="M269" s="61">
        <f>$J$269-EFEITO!$K$269*EFEITO!$Y$269</f>
        <v>0</v>
      </c>
      <c r="N269" s="61">
        <f ca="1">$K$269-EFEITO!$M$269*EFEITO!$Z$269</f>
        <v>79.353661587009356</v>
      </c>
      <c r="O269" s="61">
        <f>$L$269-EFEITO!$O$269*EFEITO!$AA$269</f>
        <v>6.8287987829774011</v>
      </c>
      <c r="P269" s="45"/>
      <c r="Q269" s="45"/>
      <c r="R269" s="45"/>
      <c r="S269" s="45"/>
      <c r="T269" s="45"/>
      <c r="U269" s="45"/>
      <c r="V269" s="45"/>
      <c r="W269" s="45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1.25" customHeight="1" x14ac:dyDescent="0.2">
      <c r="A270" s="41" t="s">
        <v>21</v>
      </c>
      <c r="B270" s="41" t="s">
        <v>35</v>
      </c>
      <c r="C270" s="41" t="s">
        <v>39</v>
      </c>
      <c r="D270" s="41" t="s">
        <v>42</v>
      </c>
      <c r="E270" s="41" t="s">
        <v>25</v>
      </c>
      <c r="F270" s="41" t="s">
        <v>25</v>
      </c>
      <c r="G270" s="41" t="s">
        <v>25</v>
      </c>
      <c r="H270" s="41" t="s">
        <v>37</v>
      </c>
      <c r="I270" s="60">
        <v>44682</v>
      </c>
      <c r="J270" s="61">
        <f>EFEITO!$J$270*EFEITO!$Y$187</f>
        <v>0</v>
      </c>
      <c r="K270" s="61">
        <f ca="1">EFEITO!$L$270*EFEITO!$Z$187</f>
        <v>3264.1445713251665</v>
      </c>
      <c r="L270" s="61">
        <f>EFEITO!$N$270*EFEITO!$AA$187</f>
        <v>280.89676053179795</v>
      </c>
      <c r="M270" s="61">
        <f>$J$270-EFEITO!$K$270*EFEITO!$Y$270</f>
        <v>0</v>
      </c>
      <c r="N270" s="61">
        <f ca="1">$K$270-EFEITO!$M$270*EFEITO!$Z$270</f>
        <v>65.282891426503738</v>
      </c>
      <c r="O270" s="61">
        <f>$L$270-EFEITO!$O$270*EFEITO!$AA$270</f>
        <v>5.6179352106360056</v>
      </c>
      <c r="P270" s="45"/>
      <c r="Q270" s="45"/>
      <c r="R270" s="45"/>
      <c r="S270" s="45"/>
      <c r="T270" s="45"/>
      <c r="U270" s="45"/>
      <c r="V270" s="45"/>
      <c r="W270" s="45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1.25" customHeight="1" x14ac:dyDescent="0.2">
      <c r="A271" s="41" t="s">
        <v>21</v>
      </c>
      <c r="B271" s="41" t="s">
        <v>35</v>
      </c>
      <c r="C271" s="41" t="s">
        <v>39</v>
      </c>
      <c r="D271" s="41" t="s">
        <v>42</v>
      </c>
      <c r="E271" s="41" t="s">
        <v>25</v>
      </c>
      <c r="F271" s="41" t="s">
        <v>25</v>
      </c>
      <c r="G271" s="41" t="s">
        <v>25</v>
      </c>
      <c r="H271" s="41" t="s">
        <v>37</v>
      </c>
      <c r="I271" s="60">
        <v>44713</v>
      </c>
      <c r="J271" s="61">
        <f>EFEITO!$J$271*EFEITO!$Y$187</f>
        <v>0</v>
      </c>
      <c r="K271" s="61">
        <f ca="1">EFEITO!$L$271*EFEITO!$Z$187</f>
        <v>2942.0701244694292</v>
      </c>
      <c r="L271" s="61">
        <f>EFEITO!$N$271*EFEITO!$AA$187</f>
        <v>253.18056512593122</v>
      </c>
      <c r="M271" s="61">
        <f>$J$271-EFEITO!$K$271*EFEITO!$Y$271</f>
        <v>0</v>
      </c>
      <c r="N271" s="61">
        <f ca="1">$K$271-EFEITO!$M$271*EFEITO!$Z$271</f>
        <v>58.841402489389111</v>
      </c>
      <c r="O271" s="61">
        <f>$L$271-EFEITO!$O$271*EFEITO!$AA$271</f>
        <v>5.0636113025186091</v>
      </c>
      <c r="P271" s="45"/>
      <c r="Q271" s="45"/>
      <c r="R271" s="45"/>
      <c r="S271" s="45"/>
      <c r="T271" s="45"/>
      <c r="U271" s="45"/>
      <c r="V271" s="45"/>
      <c r="W271" s="45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1.25" customHeight="1" x14ac:dyDescent="0.2">
      <c r="A272" s="41" t="s">
        <v>21</v>
      </c>
      <c r="B272" s="41" t="s">
        <v>22</v>
      </c>
      <c r="C272" s="41" t="s">
        <v>23</v>
      </c>
      <c r="D272" s="41" t="s">
        <v>24</v>
      </c>
      <c r="E272" s="41" t="s">
        <v>24</v>
      </c>
      <c r="F272" s="41" t="s">
        <v>25</v>
      </c>
      <c r="G272" s="41" t="s">
        <v>25</v>
      </c>
      <c r="H272" s="41" t="s">
        <v>25</v>
      </c>
      <c r="I272" s="60">
        <v>44378</v>
      </c>
      <c r="J272" s="61">
        <f>EFEITO!$J$272*EFEITO!$Y$272</f>
        <v>0</v>
      </c>
      <c r="K272" s="61">
        <f ca="1">EFEITO!$L$272*EFEITO!$Z$272</f>
        <v>213289.88605385428</v>
      </c>
      <c r="L272" s="61">
        <f>EFEITO!$N$272*EFEITO!$AA$272</f>
        <v>73440.251643838739</v>
      </c>
      <c r="M272" s="61">
        <f>$J$272-EFEITO!$K$272*EFEITO!$Y$272</f>
        <v>0</v>
      </c>
      <c r="N272" s="61">
        <f ca="1">$K$272-EFEITO!$M$272*EFEITO!$Z$272</f>
        <v>0</v>
      </c>
      <c r="O272" s="61">
        <f>$L$272-EFEITO!$O$272*EFEITO!$AA$272</f>
        <v>0</v>
      </c>
      <c r="P272" s="45"/>
      <c r="Q272" s="45"/>
      <c r="R272" s="45"/>
      <c r="S272" s="45"/>
      <c r="T272" s="45"/>
      <c r="U272" s="45"/>
      <c r="V272" s="45"/>
      <c r="W272" s="45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1.25" customHeight="1" x14ac:dyDescent="0.2">
      <c r="A273" s="41" t="s">
        <v>27</v>
      </c>
      <c r="B273" s="41" t="s">
        <v>22</v>
      </c>
      <c r="C273" s="41" t="s">
        <v>23</v>
      </c>
      <c r="D273" s="41" t="s">
        <v>24</v>
      </c>
      <c r="E273" s="41" t="s">
        <v>24</v>
      </c>
      <c r="F273" s="41" t="s">
        <v>25</v>
      </c>
      <c r="G273" s="41" t="s">
        <v>25</v>
      </c>
      <c r="H273" s="41" t="s">
        <v>25</v>
      </c>
      <c r="I273" s="60">
        <v>44378</v>
      </c>
      <c r="J273" s="61">
        <f>EFEITO!$J$273*EFEITO!$Y$273</f>
        <v>0</v>
      </c>
      <c r="K273" s="61">
        <f ca="1">EFEITO!$L$273*EFEITO!$Z$273</f>
        <v>-804.95151196280233</v>
      </c>
      <c r="L273" s="61">
        <f>EFEITO!$N$273*EFEITO!$AA$273</f>
        <v>-277.16195405866694</v>
      </c>
      <c r="M273" s="61">
        <f>$J$273-EFEITO!$K$273*EFEITO!$Y$273</f>
        <v>0</v>
      </c>
      <c r="N273" s="61">
        <f ca="1">$K$273-EFEITO!$M$273*EFEITO!$Z$273</f>
        <v>0</v>
      </c>
      <c r="O273" s="61">
        <f>$L$273-EFEITO!$O$273*EFEITO!$AA$273</f>
        <v>0</v>
      </c>
      <c r="P273" s="45"/>
      <c r="Q273" s="45"/>
      <c r="R273" s="45"/>
      <c r="S273" s="45"/>
      <c r="T273" s="45"/>
      <c r="U273" s="45"/>
      <c r="V273" s="45"/>
      <c r="W273" s="45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1.25" customHeight="1" x14ac:dyDescent="0.2">
      <c r="A274" s="41" t="s">
        <v>28</v>
      </c>
      <c r="B274" s="41" t="s">
        <v>22</v>
      </c>
      <c r="C274" s="41" t="s">
        <v>23</v>
      </c>
      <c r="D274" s="41" t="s">
        <v>24</v>
      </c>
      <c r="E274" s="41" t="s">
        <v>24</v>
      </c>
      <c r="F274" s="41" t="s">
        <v>25</v>
      </c>
      <c r="G274" s="41" t="s">
        <v>25</v>
      </c>
      <c r="H274" s="41" t="s">
        <v>25</v>
      </c>
      <c r="I274" s="60">
        <v>44378</v>
      </c>
      <c r="J274" s="61">
        <f>EFEITO!$J$274*EFEITO!$Y$274</f>
        <v>0</v>
      </c>
      <c r="K274" s="61">
        <f ca="1">EFEITO!$L$274*EFEITO!$Z$274</f>
        <v>579.4509110937903</v>
      </c>
      <c r="L274" s="61">
        <f>EFEITO!$N$274*EFEITO!$AA$274</f>
        <v>199.51729316989145</v>
      </c>
      <c r="M274" s="61">
        <f>$J$274-EFEITO!$K$274*EFEITO!$Y$274</f>
        <v>0</v>
      </c>
      <c r="N274" s="61">
        <f ca="1">$K$274-EFEITO!$M$274*EFEITO!$Z$274</f>
        <v>0</v>
      </c>
      <c r="O274" s="61">
        <f>$L$274-EFEITO!$O$274*EFEITO!$AA$274</f>
        <v>0</v>
      </c>
      <c r="P274" s="45"/>
      <c r="Q274" s="45"/>
      <c r="R274" s="45"/>
      <c r="S274" s="45"/>
      <c r="T274" s="45"/>
      <c r="U274" s="45"/>
      <c r="V274" s="45"/>
      <c r="W274" s="45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1.25" customHeight="1" x14ac:dyDescent="0.2">
      <c r="A275" s="41" t="s">
        <v>21</v>
      </c>
      <c r="B275" s="41" t="s">
        <v>22</v>
      </c>
      <c r="C275" s="41" t="s">
        <v>23</v>
      </c>
      <c r="D275" s="41" t="s">
        <v>24</v>
      </c>
      <c r="E275" s="41" t="s">
        <v>24</v>
      </c>
      <c r="F275" s="41" t="s">
        <v>25</v>
      </c>
      <c r="G275" s="41" t="s">
        <v>25</v>
      </c>
      <c r="H275" s="41" t="s">
        <v>25</v>
      </c>
      <c r="I275" s="60">
        <v>44409</v>
      </c>
      <c r="J275" s="61">
        <f>EFEITO!$J$275*EFEITO!$Y$275</f>
        <v>0</v>
      </c>
      <c r="K275" s="61">
        <f ca="1">EFEITO!$L$275*EFEITO!$Z$275</f>
        <v>222966.43082532202</v>
      </c>
      <c r="L275" s="61">
        <f>EFEITO!$N$275*EFEITO!$AA$275</f>
        <v>76772.092155395047</v>
      </c>
      <c r="M275" s="61">
        <f>$J$275-EFEITO!$K$275*EFEITO!$Y$275</f>
        <v>0</v>
      </c>
      <c r="N275" s="61">
        <f ca="1">$K$275-EFEITO!$M$275*EFEITO!$Z$275</f>
        <v>0</v>
      </c>
      <c r="O275" s="61">
        <f>$L$275-EFEITO!$O$275*EFEITO!$AA$275</f>
        <v>0</v>
      </c>
      <c r="P275" s="45"/>
      <c r="Q275" s="45"/>
      <c r="R275" s="45"/>
      <c r="S275" s="45"/>
      <c r="T275" s="45"/>
      <c r="U275" s="45"/>
      <c r="V275" s="45"/>
      <c r="W275" s="45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1.25" customHeight="1" x14ac:dyDescent="0.2">
      <c r="A276" s="41" t="s">
        <v>27</v>
      </c>
      <c r="B276" s="41" t="s">
        <v>22</v>
      </c>
      <c r="C276" s="41" t="s">
        <v>23</v>
      </c>
      <c r="D276" s="41" t="s">
        <v>24</v>
      </c>
      <c r="E276" s="41" t="s">
        <v>24</v>
      </c>
      <c r="F276" s="41" t="s">
        <v>25</v>
      </c>
      <c r="G276" s="41" t="s">
        <v>25</v>
      </c>
      <c r="H276" s="41" t="s">
        <v>25</v>
      </c>
      <c r="I276" s="60">
        <v>44409</v>
      </c>
      <c r="J276" s="61">
        <f>EFEITO!$J$276*EFEITO!$Y$276</f>
        <v>0</v>
      </c>
      <c r="K276" s="61">
        <f ca="1">EFEITO!$L$276*EFEITO!$Z$276</f>
        <v>-2435.4064893853297</v>
      </c>
      <c r="L276" s="61">
        <f>EFEITO!$N$276*EFEITO!$AA$276</f>
        <v>-838.56233759877534</v>
      </c>
      <c r="M276" s="61">
        <f>$J$276-EFEITO!$K$276*EFEITO!$Y$276</f>
        <v>0</v>
      </c>
      <c r="N276" s="61">
        <f ca="1">$K$276-EFEITO!$M$276*EFEITO!$Z$276</f>
        <v>0</v>
      </c>
      <c r="O276" s="61">
        <f>$L$276-EFEITO!$O$276*EFEITO!$AA$276</f>
        <v>0</v>
      </c>
      <c r="P276" s="45"/>
      <c r="Q276" s="45"/>
      <c r="R276" s="45"/>
      <c r="S276" s="45"/>
      <c r="T276" s="45"/>
      <c r="U276" s="45"/>
      <c r="V276" s="45"/>
      <c r="W276" s="45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1.25" customHeight="1" x14ac:dyDescent="0.2">
      <c r="A277" s="41" t="s">
        <v>21</v>
      </c>
      <c r="B277" s="41" t="s">
        <v>22</v>
      </c>
      <c r="C277" s="41" t="s">
        <v>23</v>
      </c>
      <c r="D277" s="41" t="s">
        <v>24</v>
      </c>
      <c r="E277" s="41" t="s">
        <v>24</v>
      </c>
      <c r="F277" s="41" t="s">
        <v>25</v>
      </c>
      <c r="G277" s="41" t="s">
        <v>25</v>
      </c>
      <c r="H277" s="41" t="s">
        <v>25</v>
      </c>
      <c r="I277" s="60">
        <v>44440</v>
      </c>
      <c r="J277" s="61">
        <f>EFEITO!$J$277*EFEITO!$Y$277</f>
        <v>0</v>
      </c>
      <c r="K277" s="61">
        <f ca="1">EFEITO!$L$277*EFEITO!$Z$277</f>
        <v>208089.10004393858</v>
      </c>
      <c r="L277" s="61">
        <f>EFEITO!$N$277*EFEITO!$AA$277</f>
        <v>71649.510224353304</v>
      </c>
      <c r="M277" s="61">
        <f>$J$277-EFEITO!$K$277*EFEITO!$Y$277</f>
        <v>0</v>
      </c>
      <c r="N277" s="61">
        <f ca="1">$K$277-EFEITO!$M$277*EFEITO!$Z$277</f>
        <v>0</v>
      </c>
      <c r="O277" s="61">
        <f>$L$277-EFEITO!$O$277*EFEITO!$AA$277</f>
        <v>0</v>
      </c>
      <c r="P277" s="45"/>
      <c r="Q277" s="45"/>
      <c r="R277" s="45"/>
      <c r="S277" s="45"/>
      <c r="T277" s="45"/>
      <c r="U277" s="45"/>
      <c r="V277" s="45"/>
      <c r="W277" s="45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1.25" customHeight="1" x14ac:dyDescent="0.2">
      <c r="A278" s="41" t="s">
        <v>27</v>
      </c>
      <c r="B278" s="41" t="s">
        <v>22</v>
      </c>
      <c r="C278" s="41" t="s">
        <v>23</v>
      </c>
      <c r="D278" s="41" t="s">
        <v>24</v>
      </c>
      <c r="E278" s="41" t="s">
        <v>24</v>
      </c>
      <c r="F278" s="41" t="s">
        <v>25</v>
      </c>
      <c r="G278" s="41" t="s">
        <v>25</v>
      </c>
      <c r="H278" s="41" t="s">
        <v>25</v>
      </c>
      <c r="I278" s="60">
        <v>44440</v>
      </c>
      <c r="J278" s="61">
        <f>EFEITO!$J$278*EFEITO!$Y$278</f>
        <v>0</v>
      </c>
      <c r="K278" s="61">
        <f ca="1">EFEITO!$L$278*EFEITO!$Z$278</f>
        <v>-1102.3839500710435</v>
      </c>
      <c r="L278" s="61">
        <f>EFEITO!$N$278*EFEITO!$AA$278</f>
        <v>-379.5742789271531</v>
      </c>
      <c r="M278" s="61">
        <f>$J$278-EFEITO!$K$278*EFEITO!$Y$278</f>
        <v>0</v>
      </c>
      <c r="N278" s="61">
        <f ca="1">$K$278-EFEITO!$M$278*EFEITO!$Z$278</f>
        <v>0</v>
      </c>
      <c r="O278" s="61">
        <f>$L$278-EFEITO!$O$278*EFEITO!$AA$278</f>
        <v>0</v>
      </c>
      <c r="P278" s="45"/>
      <c r="Q278" s="45"/>
      <c r="R278" s="45"/>
      <c r="S278" s="45"/>
      <c r="T278" s="45"/>
      <c r="U278" s="45"/>
      <c r="V278" s="45"/>
      <c r="W278" s="45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1.25" customHeight="1" x14ac:dyDescent="0.2">
      <c r="A279" s="41" t="s">
        <v>28</v>
      </c>
      <c r="B279" s="41" t="s">
        <v>22</v>
      </c>
      <c r="C279" s="41" t="s">
        <v>23</v>
      </c>
      <c r="D279" s="41" t="s">
        <v>24</v>
      </c>
      <c r="E279" s="41" t="s">
        <v>24</v>
      </c>
      <c r="F279" s="41" t="s">
        <v>25</v>
      </c>
      <c r="G279" s="41" t="s">
        <v>25</v>
      </c>
      <c r="H279" s="41" t="s">
        <v>25</v>
      </c>
      <c r="I279" s="60">
        <v>44440</v>
      </c>
      <c r="J279" s="61">
        <f>EFEITO!$J$279*EFEITO!$Y$279</f>
        <v>0</v>
      </c>
      <c r="K279" s="61">
        <f ca="1">EFEITO!$L$279*EFEITO!$Z$279</f>
        <v>961.37471357826882</v>
      </c>
      <c r="L279" s="61">
        <f>EFEITO!$N$279*EFEITO!$AA$279</f>
        <v>331.02179477645046</v>
      </c>
      <c r="M279" s="61">
        <f>$J$279-EFEITO!$K$279*EFEITO!$Y$279</f>
        <v>0</v>
      </c>
      <c r="N279" s="61">
        <f ca="1">$K$279-EFEITO!$M$279*EFEITO!$Z$279</f>
        <v>0</v>
      </c>
      <c r="O279" s="61">
        <f>$L$279-EFEITO!$O$279*EFEITO!$AA$279</f>
        <v>0</v>
      </c>
      <c r="P279" s="45"/>
      <c r="Q279" s="45"/>
      <c r="R279" s="45"/>
      <c r="S279" s="45"/>
      <c r="T279" s="45"/>
      <c r="U279" s="45"/>
      <c r="V279" s="45"/>
      <c r="W279" s="45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1.25" customHeight="1" x14ac:dyDescent="0.2">
      <c r="A280" s="41" t="s">
        <v>21</v>
      </c>
      <c r="B280" s="41" t="s">
        <v>22</v>
      </c>
      <c r="C280" s="41" t="s">
        <v>23</v>
      </c>
      <c r="D280" s="41" t="s">
        <v>24</v>
      </c>
      <c r="E280" s="41" t="s">
        <v>24</v>
      </c>
      <c r="F280" s="41" t="s">
        <v>25</v>
      </c>
      <c r="G280" s="41" t="s">
        <v>25</v>
      </c>
      <c r="H280" s="41" t="s">
        <v>25</v>
      </c>
      <c r="I280" s="60">
        <v>44470</v>
      </c>
      <c r="J280" s="61">
        <f>EFEITO!$J$280*EFEITO!$Y$280</f>
        <v>0</v>
      </c>
      <c r="K280" s="61">
        <f ca="1">EFEITO!$L$280*EFEITO!$Z$280</f>
        <v>220502.47995607986</v>
      </c>
      <c r="L280" s="61">
        <f>EFEITO!$N$280*EFEITO!$AA$280</f>
        <v>75923.701379709091</v>
      </c>
      <c r="M280" s="61">
        <f>$J$280-EFEITO!$K$280*EFEITO!$Y$280</f>
        <v>0</v>
      </c>
      <c r="N280" s="61">
        <f ca="1">$K$280-EFEITO!$M$280*EFEITO!$Z$280</f>
        <v>0</v>
      </c>
      <c r="O280" s="61">
        <f>$L$280-EFEITO!$O$280*EFEITO!$AA$280</f>
        <v>0</v>
      </c>
      <c r="P280" s="45"/>
      <c r="Q280" s="45"/>
      <c r="R280" s="45"/>
      <c r="S280" s="45"/>
      <c r="T280" s="45"/>
      <c r="U280" s="45"/>
      <c r="V280" s="45"/>
      <c r="W280" s="45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1.25" customHeight="1" x14ac:dyDescent="0.2">
      <c r="A281" s="41" t="s">
        <v>27</v>
      </c>
      <c r="B281" s="41" t="s">
        <v>22</v>
      </c>
      <c r="C281" s="41" t="s">
        <v>23</v>
      </c>
      <c r="D281" s="41" t="s">
        <v>24</v>
      </c>
      <c r="E281" s="41" t="s">
        <v>24</v>
      </c>
      <c r="F281" s="41" t="s">
        <v>25</v>
      </c>
      <c r="G281" s="41" t="s">
        <v>25</v>
      </c>
      <c r="H281" s="41" t="s">
        <v>25</v>
      </c>
      <c r="I281" s="60">
        <v>44470</v>
      </c>
      <c r="J281" s="61">
        <f>EFEITO!$J$281*EFEITO!$Y$281</f>
        <v>0</v>
      </c>
      <c r="K281" s="61">
        <f ca="1">EFEITO!$L$281*EFEITO!$Z$281</f>
        <v>-2752.2491057962197</v>
      </c>
      <c r="L281" s="61">
        <f>EFEITO!$N$281*EFEITO!$AA$281</f>
        <v>-947.65800036654844</v>
      </c>
      <c r="M281" s="61">
        <f>$J$281-EFEITO!$K$281*EFEITO!$Y$281</f>
        <v>0</v>
      </c>
      <c r="N281" s="61">
        <f ca="1">$K$281-EFEITO!$M$281*EFEITO!$Z$281</f>
        <v>0</v>
      </c>
      <c r="O281" s="61">
        <f>$L$281-EFEITO!$O$281*EFEITO!$AA$281</f>
        <v>0</v>
      </c>
      <c r="P281" s="45"/>
      <c r="Q281" s="45"/>
      <c r="R281" s="45"/>
      <c r="S281" s="45"/>
      <c r="T281" s="45"/>
      <c r="U281" s="45"/>
      <c r="V281" s="45"/>
      <c r="W281" s="45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1.25" customHeight="1" x14ac:dyDescent="0.2">
      <c r="A282" s="41" t="s">
        <v>28</v>
      </c>
      <c r="B282" s="41" t="s">
        <v>22</v>
      </c>
      <c r="C282" s="41" t="s">
        <v>23</v>
      </c>
      <c r="D282" s="41" t="s">
        <v>24</v>
      </c>
      <c r="E282" s="41" t="s">
        <v>24</v>
      </c>
      <c r="F282" s="41" t="s">
        <v>25</v>
      </c>
      <c r="G282" s="41" t="s">
        <v>25</v>
      </c>
      <c r="H282" s="41" t="s">
        <v>25</v>
      </c>
      <c r="I282" s="60">
        <v>44470</v>
      </c>
      <c r="J282" s="61">
        <f>EFEITO!$J$282*EFEITO!$Y$282</f>
        <v>0</v>
      </c>
      <c r="K282" s="61">
        <f ca="1">EFEITO!$L$282*EFEITO!$Z$282</f>
        <v>699.3373064925056</v>
      </c>
      <c r="L282" s="61">
        <f>EFEITO!$N$282*EFEITO!$AA$282</f>
        <v>240.79673313607591</v>
      </c>
      <c r="M282" s="61">
        <f>$J$282-EFEITO!$K$282*EFEITO!$Y$282</f>
        <v>0</v>
      </c>
      <c r="N282" s="61">
        <f ca="1">$K$282-EFEITO!$M$282*EFEITO!$Z$282</f>
        <v>0</v>
      </c>
      <c r="O282" s="61">
        <f>$L$282-EFEITO!$O$282*EFEITO!$AA$282</f>
        <v>0</v>
      </c>
      <c r="P282" s="45"/>
      <c r="Q282" s="45"/>
      <c r="R282" s="45"/>
      <c r="S282" s="45"/>
      <c r="T282" s="45"/>
      <c r="U282" s="45"/>
      <c r="V282" s="45"/>
      <c r="W282" s="45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1.25" customHeight="1" x14ac:dyDescent="0.2">
      <c r="A283" s="41" t="s">
        <v>28</v>
      </c>
      <c r="B283" s="41" t="s">
        <v>22</v>
      </c>
      <c r="C283" s="41" t="s">
        <v>23</v>
      </c>
      <c r="D283" s="41" t="s">
        <v>24</v>
      </c>
      <c r="E283" s="41" t="s">
        <v>24</v>
      </c>
      <c r="F283" s="41" t="s">
        <v>25</v>
      </c>
      <c r="G283" s="41" t="s">
        <v>25</v>
      </c>
      <c r="H283" s="41" t="s">
        <v>25</v>
      </c>
      <c r="I283" s="60">
        <v>44470</v>
      </c>
      <c r="J283" s="61">
        <f>EFEITO!$J$283*EFEITO!$Y$283</f>
        <v>0</v>
      </c>
      <c r="K283" s="61">
        <f ca="1">EFEITO!$L$283*EFEITO!$Z$283</f>
        <v>-153.56876362978286</v>
      </c>
      <c r="L283" s="61">
        <f>EFEITO!$N$283*EFEITO!$AA$283</f>
        <v>-52.876996909064829</v>
      </c>
      <c r="M283" s="61">
        <f>$J$283-EFEITO!$K$283*EFEITO!$Y$283</f>
        <v>0</v>
      </c>
      <c r="N283" s="61">
        <f ca="1">$K$283-EFEITO!$M$283*EFEITO!$Z$283</f>
        <v>0</v>
      </c>
      <c r="O283" s="61">
        <f>$L$283-EFEITO!$O$283*EFEITO!$AA$283</f>
        <v>0</v>
      </c>
      <c r="P283" s="45"/>
      <c r="Q283" s="45"/>
      <c r="R283" s="45"/>
      <c r="S283" s="45"/>
      <c r="T283" s="45"/>
      <c r="U283" s="45"/>
      <c r="V283" s="45"/>
      <c r="W283" s="45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1.25" customHeight="1" x14ac:dyDescent="0.2">
      <c r="A284" s="41" t="s">
        <v>21</v>
      </c>
      <c r="B284" s="41" t="s">
        <v>22</v>
      </c>
      <c r="C284" s="41" t="s">
        <v>23</v>
      </c>
      <c r="D284" s="41" t="s">
        <v>24</v>
      </c>
      <c r="E284" s="41" t="s">
        <v>24</v>
      </c>
      <c r="F284" s="41" t="s">
        <v>25</v>
      </c>
      <c r="G284" s="41" t="s">
        <v>25</v>
      </c>
      <c r="H284" s="41" t="s">
        <v>25</v>
      </c>
      <c r="I284" s="60">
        <v>44501</v>
      </c>
      <c r="J284" s="61">
        <f>EFEITO!$J$284*EFEITO!$Y$284</f>
        <v>0</v>
      </c>
      <c r="K284" s="61">
        <f ca="1">EFEITO!$L$284*EFEITO!$Z$284</f>
        <v>202262.62122756103</v>
      </c>
      <c r="L284" s="61">
        <f>EFEITO!$N$284*EFEITO!$AA$284</f>
        <v>69643.329441996742</v>
      </c>
      <c r="M284" s="61">
        <f>$J$284-EFEITO!$K$284*EFEITO!$Y$284</f>
        <v>0</v>
      </c>
      <c r="N284" s="61">
        <f ca="1">$K$284-EFEITO!$M$284*EFEITO!$Z$284</f>
        <v>0</v>
      </c>
      <c r="O284" s="61">
        <f>$L$284-EFEITO!$O$284*EFEITO!$AA$284</f>
        <v>0</v>
      </c>
      <c r="P284" s="45"/>
      <c r="Q284" s="45"/>
      <c r="R284" s="45"/>
      <c r="S284" s="45"/>
      <c r="T284" s="45"/>
      <c r="U284" s="45"/>
      <c r="V284" s="45"/>
      <c r="W284" s="45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1.25" customHeight="1" x14ac:dyDescent="0.2">
      <c r="A285" s="41" t="s">
        <v>27</v>
      </c>
      <c r="B285" s="41" t="s">
        <v>22</v>
      </c>
      <c r="C285" s="41" t="s">
        <v>23</v>
      </c>
      <c r="D285" s="41" t="s">
        <v>24</v>
      </c>
      <c r="E285" s="41" t="s">
        <v>24</v>
      </c>
      <c r="F285" s="41" t="s">
        <v>25</v>
      </c>
      <c r="G285" s="41" t="s">
        <v>25</v>
      </c>
      <c r="H285" s="41" t="s">
        <v>25</v>
      </c>
      <c r="I285" s="60">
        <v>44501</v>
      </c>
      <c r="J285" s="61">
        <f>EFEITO!$J$285*EFEITO!$Y$285</f>
        <v>0</v>
      </c>
      <c r="K285" s="61">
        <f ca="1">EFEITO!$L$285*EFEITO!$Z$285</f>
        <v>-3502.966296031032</v>
      </c>
      <c r="L285" s="61">
        <f>EFEITO!$N$285*EFEITO!$AA$285</f>
        <v>-1206.1459220595605</v>
      </c>
      <c r="M285" s="61">
        <f>$J$285-EFEITO!$K$285*EFEITO!$Y$285</f>
        <v>0</v>
      </c>
      <c r="N285" s="61">
        <f ca="1">$K$285-EFEITO!$M$285*EFEITO!$Z$285</f>
        <v>0</v>
      </c>
      <c r="O285" s="61">
        <f>$L$285-EFEITO!$O$285*EFEITO!$AA$285</f>
        <v>0</v>
      </c>
      <c r="P285" s="45"/>
      <c r="Q285" s="45"/>
      <c r="R285" s="45"/>
      <c r="S285" s="45"/>
      <c r="T285" s="45"/>
      <c r="U285" s="45"/>
      <c r="V285" s="45"/>
      <c r="W285" s="45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1.25" customHeight="1" x14ac:dyDescent="0.2">
      <c r="A286" s="41" t="s">
        <v>28</v>
      </c>
      <c r="B286" s="41" t="s">
        <v>22</v>
      </c>
      <c r="C286" s="41" t="s">
        <v>23</v>
      </c>
      <c r="D286" s="41" t="s">
        <v>24</v>
      </c>
      <c r="E286" s="41" t="s">
        <v>24</v>
      </c>
      <c r="F286" s="41" t="s">
        <v>25</v>
      </c>
      <c r="G286" s="41" t="s">
        <v>25</v>
      </c>
      <c r="H286" s="41" t="s">
        <v>25</v>
      </c>
      <c r="I286" s="60">
        <v>44501</v>
      </c>
      <c r="J286" s="61">
        <f>EFEITO!$J$286*EFEITO!$Y$286</f>
        <v>0</v>
      </c>
      <c r="K286" s="61">
        <f ca="1">EFEITO!$L$286*EFEITO!$Z$286</f>
        <v>814.65660111412694</v>
      </c>
      <c r="L286" s="61">
        <f>EFEITO!$N$286*EFEITO!$AA$286</f>
        <v>280.50362300831046</v>
      </c>
      <c r="M286" s="61">
        <f>$J$286-EFEITO!$K$286*EFEITO!$Y$286</f>
        <v>0</v>
      </c>
      <c r="N286" s="61">
        <f ca="1">$K$286-EFEITO!$M$286*EFEITO!$Z$286</f>
        <v>0</v>
      </c>
      <c r="O286" s="61">
        <f>$L$286-EFEITO!$O$286*EFEITO!$AA$286</f>
        <v>0</v>
      </c>
      <c r="P286" s="45"/>
      <c r="Q286" s="45"/>
      <c r="R286" s="45"/>
      <c r="S286" s="45"/>
      <c r="T286" s="45"/>
      <c r="U286" s="45"/>
      <c r="V286" s="45"/>
      <c r="W286" s="45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1.25" customHeight="1" x14ac:dyDescent="0.2">
      <c r="A287" s="41" t="s">
        <v>21</v>
      </c>
      <c r="B287" s="41" t="s">
        <v>22</v>
      </c>
      <c r="C287" s="41" t="s">
        <v>23</v>
      </c>
      <c r="D287" s="41" t="s">
        <v>24</v>
      </c>
      <c r="E287" s="41" t="s">
        <v>24</v>
      </c>
      <c r="F287" s="41" t="s">
        <v>25</v>
      </c>
      <c r="G287" s="41" t="s">
        <v>25</v>
      </c>
      <c r="H287" s="41" t="s">
        <v>25</v>
      </c>
      <c r="I287" s="60">
        <v>44531</v>
      </c>
      <c r="J287" s="61">
        <f>EFEITO!$J$287*EFEITO!$Y$287</f>
        <v>0</v>
      </c>
      <c r="K287" s="61">
        <f ca="1">EFEITO!$L$287*EFEITO!$Z$287</f>
        <v>238857.6579792203</v>
      </c>
      <c r="L287" s="61">
        <f>EFEITO!$N$287*EFEITO!$AA$287</f>
        <v>82243.780207293661</v>
      </c>
      <c r="M287" s="61">
        <f>$J$287-EFEITO!$K$287*EFEITO!$Y$287</f>
        <v>0</v>
      </c>
      <c r="N287" s="61">
        <f ca="1">$K$287-EFEITO!$M$287*EFEITO!$Z$287</f>
        <v>0</v>
      </c>
      <c r="O287" s="61">
        <f>$L$287-EFEITO!$O$287*EFEITO!$AA$287</f>
        <v>0</v>
      </c>
      <c r="P287" s="45"/>
      <c r="Q287" s="45"/>
      <c r="R287" s="45"/>
      <c r="S287" s="45"/>
      <c r="T287" s="45"/>
      <c r="U287" s="45"/>
      <c r="V287" s="45"/>
      <c r="W287" s="45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1.25" customHeight="1" x14ac:dyDescent="0.2">
      <c r="A288" s="41" t="s">
        <v>27</v>
      </c>
      <c r="B288" s="41" t="s">
        <v>22</v>
      </c>
      <c r="C288" s="41" t="s">
        <v>23</v>
      </c>
      <c r="D288" s="41" t="s">
        <v>24</v>
      </c>
      <c r="E288" s="41" t="s">
        <v>24</v>
      </c>
      <c r="F288" s="41" t="s">
        <v>25</v>
      </c>
      <c r="G288" s="41" t="s">
        <v>25</v>
      </c>
      <c r="H288" s="41" t="s">
        <v>25</v>
      </c>
      <c r="I288" s="60">
        <v>44531</v>
      </c>
      <c r="J288" s="61">
        <f>EFEITO!$J$288*EFEITO!$Y$288</f>
        <v>0</v>
      </c>
      <c r="K288" s="61">
        <f ca="1">EFEITO!$L$288*EFEITO!$Z$288</f>
        <v>-932.83033372143188</v>
      </c>
      <c r="L288" s="61">
        <f>EFEITO!$N$288*EFEITO!$AA$288</f>
        <v>-321.19335668926368</v>
      </c>
      <c r="M288" s="61">
        <f>$J$288-EFEITO!$K$288*EFEITO!$Y$288</f>
        <v>0</v>
      </c>
      <c r="N288" s="61">
        <f ca="1">$K$288-EFEITO!$M$288*EFEITO!$Z$288</f>
        <v>0</v>
      </c>
      <c r="O288" s="61">
        <f>$L$288-EFEITO!$O$288*EFEITO!$AA$288</f>
        <v>0</v>
      </c>
      <c r="P288" s="45"/>
      <c r="Q288" s="45"/>
      <c r="R288" s="45"/>
      <c r="S288" s="45"/>
      <c r="T288" s="45"/>
      <c r="U288" s="45"/>
      <c r="V288" s="45"/>
      <c r="W288" s="45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1.25" customHeight="1" x14ac:dyDescent="0.2">
      <c r="A289" s="41" t="s">
        <v>28</v>
      </c>
      <c r="B289" s="41" t="s">
        <v>22</v>
      </c>
      <c r="C289" s="41" t="s">
        <v>23</v>
      </c>
      <c r="D289" s="41" t="s">
        <v>24</v>
      </c>
      <c r="E289" s="41" t="s">
        <v>24</v>
      </c>
      <c r="F289" s="41" t="s">
        <v>25</v>
      </c>
      <c r="G289" s="41" t="s">
        <v>25</v>
      </c>
      <c r="H289" s="41" t="s">
        <v>25</v>
      </c>
      <c r="I289" s="60">
        <v>44531</v>
      </c>
      <c r="J289" s="61">
        <f>EFEITO!$J$289*EFEITO!$Y$289</f>
        <v>0</v>
      </c>
      <c r="K289" s="61">
        <f ca="1">EFEITO!$L$289*EFEITO!$Z$289</f>
        <v>904.28595386459506</v>
      </c>
      <c r="L289" s="61">
        <f>EFEITO!$N$289*EFEITO!$AA$289</f>
        <v>311.3649186020769</v>
      </c>
      <c r="M289" s="61">
        <f>$J$289-EFEITO!$K$289*EFEITO!$Y$289</f>
        <v>0</v>
      </c>
      <c r="N289" s="61">
        <f ca="1">$K$289-EFEITO!$M$289*EFEITO!$Z$289</f>
        <v>0</v>
      </c>
      <c r="O289" s="61">
        <f>$L$289-EFEITO!$O$289*EFEITO!$AA$289</f>
        <v>0</v>
      </c>
      <c r="P289" s="45"/>
      <c r="Q289" s="45"/>
      <c r="R289" s="45"/>
      <c r="S289" s="45"/>
      <c r="T289" s="45"/>
      <c r="U289" s="45"/>
      <c r="V289" s="45"/>
      <c r="W289" s="45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1.25" customHeight="1" x14ac:dyDescent="0.2">
      <c r="A290" s="41" t="s">
        <v>21</v>
      </c>
      <c r="B290" s="41" t="s">
        <v>22</v>
      </c>
      <c r="C290" s="41" t="s">
        <v>23</v>
      </c>
      <c r="D290" s="41" t="s">
        <v>24</v>
      </c>
      <c r="E290" s="41" t="s">
        <v>24</v>
      </c>
      <c r="F290" s="41" t="s">
        <v>25</v>
      </c>
      <c r="G290" s="41" t="s">
        <v>25</v>
      </c>
      <c r="H290" s="41" t="s">
        <v>25</v>
      </c>
      <c r="I290" s="60">
        <v>44562</v>
      </c>
      <c r="J290" s="61">
        <f>EFEITO!$J$290*EFEITO!$Y$290</f>
        <v>0</v>
      </c>
      <c r="K290" s="61">
        <f ca="1">EFEITO!$L$290*EFEITO!$Z$290</f>
        <v>272082.17435738427</v>
      </c>
      <c r="L290" s="61">
        <f>EFEITO!$N$290*EFEITO!$AA$290</f>
        <v>93683.689003255582</v>
      </c>
      <c r="M290" s="61">
        <f>$J$290-EFEITO!$K$290*EFEITO!$Y$290</f>
        <v>0</v>
      </c>
      <c r="N290" s="61">
        <f ca="1">$K$290-EFEITO!$M$290*EFEITO!$Z$290</f>
        <v>0</v>
      </c>
      <c r="O290" s="61">
        <f>$L$290-EFEITO!$O$290*EFEITO!$AA$290</f>
        <v>0</v>
      </c>
      <c r="P290" s="45"/>
      <c r="Q290" s="45"/>
      <c r="R290" s="45"/>
      <c r="S290" s="45"/>
      <c r="T290" s="45"/>
      <c r="U290" s="45"/>
      <c r="V290" s="45"/>
      <c r="W290" s="45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1.25" customHeight="1" x14ac:dyDescent="0.2">
      <c r="A291" s="41" t="s">
        <v>27</v>
      </c>
      <c r="B291" s="41" t="s">
        <v>22</v>
      </c>
      <c r="C291" s="41" t="s">
        <v>23</v>
      </c>
      <c r="D291" s="41" t="s">
        <v>24</v>
      </c>
      <c r="E291" s="41" t="s">
        <v>24</v>
      </c>
      <c r="F291" s="41" t="s">
        <v>25</v>
      </c>
      <c r="G291" s="41" t="s">
        <v>25</v>
      </c>
      <c r="H291" s="41" t="s">
        <v>25</v>
      </c>
      <c r="I291" s="60">
        <v>44562</v>
      </c>
      <c r="J291" s="61">
        <f>EFEITO!$J$291*EFEITO!$Y$291</f>
        <v>0</v>
      </c>
      <c r="K291" s="61">
        <f ca="1">EFEITO!$L$291*EFEITO!$Z$291</f>
        <v>-399.05043039858072</v>
      </c>
      <c r="L291" s="61">
        <f>EFEITO!$N$291*EFEITO!$AA$291</f>
        <v>-137.40156445887106</v>
      </c>
      <c r="M291" s="61">
        <f>$J$291-EFEITO!$K$291*EFEITO!$Y$291</f>
        <v>0</v>
      </c>
      <c r="N291" s="61">
        <f ca="1">$K$291-EFEITO!$M$291*EFEITO!$Z$291</f>
        <v>0</v>
      </c>
      <c r="O291" s="61">
        <f>$L$291-EFEITO!$O$291*EFEITO!$AA$291</f>
        <v>0</v>
      </c>
      <c r="P291" s="45"/>
      <c r="Q291" s="45"/>
      <c r="R291" s="45"/>
      <c r="S291" s="45"/>
      <c r="T291" s="45"/>
      <c r="U291" s="45"/>
      <c r="V291" s="45"/>
      <c r="W291" s="45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1.25" customHeight="1" x14ac:dyDescent="0.2">
      <c r="A292" s="41" t="s">
        <v>28</v>
      </c>
      <c r="B292" s="41" t="s">
        <v>22</v>
      </c>
      <c r="C292" s="41" t="s">
        <v>23</v>
      </c>
      <c r="D292" s="41" t="s">
        <v>24</v>
      </c>
      <c r="E292" s="41" t="s">
        <v>24</v>
      </c>
      <c r="F292" s="41" t="s">
        <v>25</v>
      </c>
      <c r="G292" s="41" t="s">
        <v>25</v>
      </c>
      <c r="H292" s="41" t="s">
        <v>25</v>
      </c>
      <c r="I292" s="60">
        <v>44562</v>
      </c>
      <c r="J292" s="61">
        <f>EFEITO!$J$292*EFEITO!$Y$292</f>
        <v>0</v>
      </c>
      <c r="K292" s="61">
        <f ca="1">EFEITO!$L$292*EFEITO!$Z$292</f>
        <v>1785.1655162465836</v>
      </c>
      <c r="L292" s="61">
        <f>EFEITO!$N$292*EFEITO!$AA$292</f>
        <v>614.6705179726606</v>
      </c>
      <c r="M292" s="61">
        <f>$J$292-EFEITO!$K$292*EFEITO!$Y$292</f>
        <v>0</v>
      </c>
      <c r="N292" s="61">
        <f ca="1">$K$292-EFEITO!$M$292*EFEITO!$Z$292</f>
        <v>0</v>
      </c>
      <c r="O292" s="61">
        <f>$L$292-EFEITO!$O$292*EFEITO!$AA$292</f>
        <v>0</v>
      </c>
      <c r="P292" s="45"/>
      <c r="Q292" s="45"/>
      <c r="R292" s="45"/>
      <c r="S292" s="45"/>
      <c r="T292" s="45"/>
      <c r="U292" s="45"/>
      <c r="V292" s="45"/>
      <c r="W292" s="45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1.25" customHeight="1" x14ac:dyDescent="0.2">
      <c r="A293" s="41" t="s">
        <v>21</v>
      </c>
      <c r="B293" s="41" t="s">
        <v>22</v>
      </c>
      <c r="C293" s="41" t="s">
        <v>23</v>
      </c>
      <c r="D293" s="41" t="s">
        <v>24</v>
      </c>
      <c r="E293" s="41" t="s">
        <v>24</v>
      </c>
      <c r="F293" s="41" t="s">
        <v>25</v>
      </c>
      <c r="G293" s="41" t="s">
        <v>25</v>
      </c>
      <c r="H293" s="41" t="s">
        <v>25</v>
      </c>
      <c r="I293" s="60">
        <v>44593</v>
      </c>
      <c r="J293" s="61">
        <f>EFEITO!$J$293*EFEITO!$Y$293</f>
        <v>0</v>
      </c>
      <c r="K293" s="61">
        <f ca="1">EFEITO!$L$293*EFEITO!$Z$293</f>
        <v>255790.18411029599</v>
      </c>
      <c r="L293" s="61">
        <f>EFEITO!$N$293*EFEITO!$AA$293</f>
        <v>88074.009680612871</v>
      </c>
      <c r="M293" s="61">
        <f>$J$293-EFEITO!$K$293*EFEITO!$Y$293</f>
        <v>0</v>
      </c>
      <c r="N293" s="61">
        <f ca="1">$K$293-EFEITO!$M$293*EFEITO!$Z$293</f>
        <v>0</v>
      </c>
      <c r="O293" s="61">
        <f>$L$293-EFEITO!$O$293*EFEITO!$AA$293</f>
        <v>0</v>
      </c>
      <c r="P293" s="45"/>
      <c r="Q293" s="45"/>
      <c r="R293" s="45"/>
      <c r="S293" s="45"/>
      <c r="T293" s="45"/>
      <c r="U293" s="45"/>
      <c r="V293" s="45"/>
      <c r="W293" s="45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1.25" customHeight="1" x14ac:dyDescent="0.2">
      <c r="A294" s="41" t="s">
        <v>27</v>
      </c>
      <c r="B294" s="41" t="s">
        <v>22</v>
      </c>
      <c r="C294" s="41" t="s">
        <v>23</v>
      </c>
      <c r="D294" s="41" t="s">
        <v>24</v>
      </c>
      <c r="E294" s="41" t="s">
        <v>24</v>
      </c>
      <c r="F294" s="41" t="s">
        <v>25</v>
      </c>
      <c r="G294" s="41" t="s">
        <v>25</v>
      </c>
      <c r="H294" s="41" t="s">
        <v>25</v>
      </c>
      <c r="I294" s="60">
        <v>44593</v>
      </c>
      <c r="J294" s="61">
        <f>EFEITO!$J$294*EFEITO!$Y$294</f>
        <v>0</v>
      </c>
      <c r="K294" s="61">
        <f ca="1">EFEITO!$L$294*EFEITO!$Z$294</f>
        <v>-5578.1427116230798</v>
      </c>
      <c r="L294" s="61">
        <f>EFEITO!$N$294*EFEITO!$AA$294</f>
        <v>-1920.673370998039</v>
      </c>
      <c r="M294" s="61">
        <f>$J$294-EFEITO!$K$294*EFEITO!$Y$294</f>
        <v>0</v>
      </c>
      <c r="N294" s="61">
        <f ca="1">$K$294-EFEITO!$M$294*EFEITO!$Z$294</f>
        <v>0</v>
      </c>
      <c r="O294" s="61">
        <f>$L$294-EFEITO!$O$294*EFEITO!$AA$294</f>
        <v>0</v>
      </c>
      <c r="P294" s="45"/>
      <c r="Q294" s="45"/>
      <c r="R294" s="45"/>
      <c r="S294" s="45"/>
      <c r="T294" s="45"/>
      <c r="U294" s="45"/>
      <c r="V294" s="45"/>
      <c r="W294" s="45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1.25" customHeight="1" x14ac:dyDescent="0.2">
      <c r="A295" s="41" t="s">
        <v>28</v>
      </c>
      <c r="B295" s="41" t="s">
        <v>22</v>
      </c>
      <c r="C295" s="41" t="s">
        <v>23</v>
      </c>
      <c r="D295" s="41" t="s">
        <v>24</v>
      </c>
      <c r="E295" s="41" t="s">
        <v>24</v>
      </c>
      <c r="F295" s="41" t="s">
        <v>25</v>
      </c>
      <c r="G295" s="41" t="s">
        <v>25</v>
      </c>
      <c r="H295" s="41" t="s">
        <v>25</v>
      </c>
      <c r="I295" s="60">
        <v>44593</v>
      </c>
      <c r="J295" s="61">
        <f>EFEITO!$J$295*EFEITO!$Y$295</f>
        <v>0</v>
      </c>
      <c r="K295" s="61">
        <f ca="1">EFEITO!$L$295*EFEITO!$Z$295</f>
        <v>1384.9733106537296</v>
      </c>
      <c r="L295" s="61">
        <f>EFEITO!$N$295*EFEITO!$AA$295</f>
        <v>476.87581599030216</v>
      </c>
      <c r="M295" s="61">
        <f>$J$295-EFEITO!$K$295*EFEITO!$Y$295</f>
        <v>0</v>
      </c>
      <c r="N295" s="61">
        <f ca="1">$K$295-EFEITO!$M$295*EFEITO!$Z$295</f>
        <v>0</v>
      </c>
      <c r="O295" s="61">
        <f>$L$295-EFEITO!$O$295*EFEITO!$AA$295</f>
        <v>0</v>
      </c>
      <c r="P295" s="45"/>
      <c r="Q295" s="45"/>
      <c r="R295" s="45"/>
      <c r="S295" s="45"/>
      <c r="T295" s="45"/>
      <c r="U295" s="45"/>
      <c r="V295" s="45"/>
      <c r="W295" s="45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1.25" customHeight="1" x14ac:dyDescent="0.2">
      <c r="A296" s="41" t="s">
        <v>21</v>
      </c>
      <c r="B296" s="41" t="s">
        <v>22</v>
      </c>
      <c r="C296" s="41" t="s">
        <v>23</v>
      </c>
      <c r="D296" s="41" t="s">
        <v>24</v>
      </c>
      <c r="E296" s="41" t="s">
        <v>24</v>
      </c>
      <c r="F296" s="41" t="s">
        <v>25</v>
      </c>
      <c r="G296" s="41" t="s">
        <v>25</v>
      </c>
      <c r="H296" s="41" t="s">
        <v>25</v>
      </c>
      <c r="I296" s="60">
        <v>44621</v>
      </c>
      <c r="J296" s="61">
        <f>EFEITO!$J$296*EFEITO!$Y$296</f>
        <v>0</v>
      </c>
      <c r="K296" s="61">
        <f ca="1">EFEITO!$L$296*EFEITO!$Z$296</f>
        <v>236431.38569138915</v>
      </c>
      <c r="L296" s="61">
        <f>EFEITO!$N$296*EFEITO!$AA$296</f>
        <v>81408.362969882786</v>
      </c>
      <c r="M296" s="61">
        <f>$J$296-EFEITO!$K$296*EFEITO!$Y$296</f>
        <v>0</v>
      </c>
      <c r="N296" s="61">
        <f ca="1">$K$296-EFEITO!$M$296*EFEITO!$Z$296</f>
        <v>0</v>
      </c>
      <c r="O296" s="61">
        <f>$L$296-EFEITO!$O$296*EFEITO!$AA$296</f>
        <v>0</v>
      </c>
      <c r="P296" s="45"/>
      <c r="Q296" s="45"/>
      <c r="R296" s="45"/>
      <c r="S296" s="45"/>
      <c r="T296" s="45"/>
      <c r="U296" s="45"/>
      <c r="V296" s="45"/>
      <c r="W296" s="45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1.25" customHeight="1" x14ac:dyDescent="0.2">
      <c r="A297" s="41" t="s">
        <v>27</v>
      </c>
      <c r="B297" s="41" t="s">
        <v>22</v>
      </c>
      <c r="C297" s="41" t="s">
        <v>23</v>
      </c>
      <c r="D297" s="41" t="s">
        <v>24</v>
      </c>
      <c r="E297" s="41" t="s">
        <v>24</v>
      </c>
      <c r="F297" s="41" t="s">
        <v>25</v>
      </c>
      <c r="G297" s="41" t="s">
        <v>25</v>
      </c>
      <c r="H297" s="41" t="s">
        <v>25</v>
      </c>
      <c r="I297" s="60">
        <v>44621</v>
      </c>
      <c r="J297" s="61">
        <f>EFEITO!$J$297*EFEITO!$Y$297</f>
        <v>0</v>
      </c>
      <c r="K297" s="61">
        <f ca="1">EFEITO!$L$297*EFEITO!$Z$297</f>
        <v>-2361.1911017575535</v>
      </c>
      <c r="L297" s="61">
        <f>EFEITO!$N$297*EFEITO!$AA$297</f>
        <v>-813.00839857208973</v>
      </c>
      <c r="M297" s="61">
        <f>$J$297-EFEITO!$K$297*EFEITO!$Y$297</f>
        <v>0</v>
      </c>
      <c r="N297" s="61">
        <f ca="1">$K$297-EFEITO!$M$297*EFEITO!$Z$297</f>
        <v>0</v>
      </c>
      <c r="O297" s="61">
        <f>$L$297-EFEITO!$O$297*EFEITO!$AA$297</f>
        <v>0</v>
      </c>
      <c r="P297" s="45"/>
      <c r="Q297" s="45"/>
      <c r="R297" s="45"/>
      <c r="S297" s="45"/>
      <c r="T297" s="45"/>
      <c r="U297" s="45"/>
      <c r="V297" s="45"/>
      <c r="W297" s="45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1.25" customHeight="1" x14ac:dyDescent="0.2">
      <c r="A298" s="41" t="s">
        <v>28</v>
      </c>
      <c r="B298" s="41" t="s">
        <v>22</v>
      </c>
      <c r="C298" s="41" t="s">
        <v>23</v>
      </c>
      <c r="D298" s="41" t="s">
        <v>24</v>
      </c>
      <c r="E298" s="41" t="s">
        <v>24</v>
      </c>
      <c r="F298" s="41" t="s">
        <v>25</v>
      </c>
      <c r="G298" s="41" t="s">
        <v>25</v>
      </c>
      <c r="H298" s="41" t="s">
        <v>25</v>
      </c>
      <c r="I298" s="60">
        <v>44621</v>
      </c>
      <c r="J298" s="61">
        <f>EFEITO!$J$298*EFEITO!$Y$298</f>
        <v>0</v>
      </c>
      <c r="K298" s="61">
        <f ca="1">EFEITO!$L$298*EFEITO!$Z$298</f>
        <v>3166.1426137203562</v>
      </c>
      <c r="L298" s="61">
        <f>EFEITO!$N$298*EFEITO!$AA$298</f>
        <v>1090.1703526307567</v>
      </c>
      <c r="M298" s="61">
        <f>$J$298-EFEITO!$K$298*EFEITO!$Y$298</f>
        <v>0</v>
      </c>
      <c r="N298" s="61">
        <f ca="1">$K$298-EFEITO!$M$298*EFEITO!$Z$298</f>
        <v>0</v>
      </c>
      <c r="O298" s="61">
        <f>$L$298-EFEITO!$O$298*EFEITO!$AA$298</f>
        <v>0</v>
      </c>
      <c r="P298" s="45"/>
      <c r="Q298" s="45"/>
      <c r="R298" s="45"/>
      <c r="S298" s="45"/>
      <c r="T298" s="45"/>
      <c r="U298" s="45"/>
      <c r="V298" s="45"/>
      <c r="W298" s="45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1.25" customHeight="1" x14ac:dyDescent="0.2">
      <c r="A299" s="41" t="s">
        <v>21</v>
      </c>
      <c r="B299" s="41" t="s">
        <v>22</v>
      </c>
      <c r="C299" s="41" t="s">
        <v>23</v>
      </c>
      <c r="D299" s="41" t="s">
        <v>24</v>
      </c>
      <c r="E299" s="41" t="s">
        <v>24</v>
      </c>
      <c r="F299" s="41" t="s">
        <v>25</v>
      </c>
      <c r="G299" s="41" t="s">
        <v>25</v>
      </c>
      <c r="H299" s="41" t="s">
        <v>25</v>
      </c>
      <c r="I299" s="60">
        <v>44652</v>
      </c>
      <c r="J299" s="61">
        <f>EFEITO!$J$299*EFEITO!$Y$299</f>
        <v>0</v>
      </c>
      <c r="K299" s="61">
        <f ca="1">EFEITO!$L$299*EFEITO!$Z$299</f>
        <v>228233.43979650555</v>
      </c>
      <c r="L299" s="61">
        <f>EFEITO!$N$299*EFEITO!$AA$299</f>
        <v>78585.635551242754</v>
      </c>
      <c r="M299" s="61">
        <f>$J$299-EFEITO!$K$299*EFEITO!$Y$299</f>
        <v>0</v>
      </c>
      <c r="N299" s="61">
        <f ca="1">$K$299-EFEITO!$M$299*EFEITO!$Z$299</f>
        <v>0</v>
      </c>
      <c r="O299" s="61">
        <f>$L$299-EFEITO!$O$299*EFEITO!$AA$299</f>
        <v>0</v>
      </c>
      <c r="P299" s="45"/>
      <c r="Q299" s="45"/>
      <c r="R299" s="45"/>
      <c r="S299" s="45"/>
      <c r="T299" s="45"/>
      <c r="U299" s="45"/>
      <c r="V299" s="45"/>
      <c r="W299" s="45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1.25" customHeight="1" x14ac:dyDescent="0.2">
      <c r="A300" s="41" t="s">
        <v>27</v>
      </c>
      <c r="B300" s="41" t="s">
        <v>22</v>
      </c>
      <c r="C300" s="41" t="s">
        <v>23</v>
      </c>
      <c r="D300" s="41" t="s">
        <v>24</v>
      </c>
      <c r="E300" s="41" t="s">
        <v>24</v>
      </c>
      <c r="F300" s="41" t="s">
        <v>25</v>
      </c>
      <c r="G300" s="41" t="s">
        <v>25</v>
      </c>
      <c r="H300" s="41" t="s">
        <v>25</v>
      </c>
      <c r="I300" s="60">
        <v>44652</v>
      </c>
      <c r="J300" s="61">
        <f>EFEITO!$J$300*EFEITO!$Y$300</f>
        <v>0</v>
      </c>
      <c r="K300" s="61">
        <f ca="1">EFEITO!$L$300*EFEITO!$Z$300</f>
        <v>-809.51861273989618</v>
      </c>
      <c r="L300" s="61">
        <f>EFEITO!$N$300*EFEITO!$AA$300</f>
        <v>-278.73450415261681</v>
      </c>
      <c r="M300" s="61">
        <f>$J$300-EFEITO!$K$300*EFEITO!$Y$300</f>
        <v>0</v>
      </c>
      <c r="N300" s="61">
        <f ca="1">$K$300-EFEITO!$M$300*EFEITO!$Z$300</f>
        <v>0</v>
      </c>
      <c r="O300" s="61">
        <f>$L$300-EFEITO!$O$300*EFEITO!$AA$300</f>
        <v>0</v>
      </c>
      <c r="P300" s="45"/>
      <c r="Q300" s="45"/>
      <c r="R300" s="45"/>
      <c r="S300" s="45"/>
      <c r="T300" s="45"/>
      <c r="U300" s="45"/>
      <c r="V300" s="45"/>
      <c r="W300" s="45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1.25" customHeight="1" x14ac:dyDescent="0.2">
      <c r="A301" s="41" t="s">
        <v>28</v>
      </c>
      <c r="B301" s="41" t="s">
        <v>22</v>
      </c>
      <c r="C301" s="41" t="s">
        <v>23</v>
      </c>
      <c r="D301" s="41" t="s">
        <v>24</v>
      </c>
      <c r="E301" s="41" t="s">
        <v>24</v>
      </c>
      <c r="F301" s="41" t="s">
        <v>25</v>
      </c>
      <c r="G301" s="41" t="s">
        <v>25</v>
      </c>
      <c r="H301" s="41" t="s">
        <v>25</v>
      </c>
      <c r="I301" s="60">
        <v>44652</v>
      </c>
      <c r="J301" s="61">
        <f>EFEITO!$J$301*EFEITO!$Y$301</f>
        <v>0</v>
      </c>
      <c r="K301" s="61">
        <f ca="1">EFEITO!$L$301*EFEITO!$Z$301</f>
        <v>3224.94403622544</v>
      </c>
      <c r="L301" s="61">
        <f>EFEITO!$N$301*EFEITO!$AA$301</f>
        <v>1110.4169350903614</v>
      </c>
      <c r="M301" s="61">
        <f>$J$301-EFEITO!$K$301*EFEITO!$Y$301</f>
        <v>0</v>
      </c>
      <c r="N301" s="61">
        <f ca="1">$K$301-EFEITO!$M$301*EFEITO!$Z$301</f>
        <v>0</v>
      </c>
      <c r="O301" s="61">
        <f>$L$301-EFEITO!$O$301*EFEITO!$AA$301</f>
        <v>0</v>
      </c>
      <c r="P301" s="45"/>
      <c r="Q301" s="45"/>
      <c r="R301" s="45"/>
      <c r="S301" s="45"/>
      <c r="T301" s="45"/>
      <c r="U301" s="45"/>
      <c r="V301" s="45"/>
      <c r="W301" s="45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1.25" customHeight="1" x14ac:dyDescent="0.2">
      <c r="A302" s="41" t="s">
        <v>21</v>
      </c>
      <c r="B302" s="41" t="s">
        <v>22</v>
      </c>
      <c r="C302" s="41" t="s">
        <v>23</v>
      </c>
      <c r="D302" s="41" t="s">
        <v>24</v>
      </c>
      <c r="E302" s="41" t="s">
        <v>24</v>
      </c>
      <c r="F302" s="41" t="s">
        <v>25</v>
      </c>
      <c r="G302" s="41" t="s">
        <v>25</v>
      </c>
      <c r="H302" s="41" t="s">
        <v>25</v>
      </c>
      <c r="I302" s="60">
        <v>44682</v>
      </c>
      <c r="J302" s="61">
        <f>EFEITO!$J$302*EFEITO!$Y$302</f>
        <v>0</v>
      </c>
      <c r="K302" s="61">
        <f ca="1">EFEITO!$L$302*EFEITO!$Z$302</f>
        <v>224437.03727554626</v>
      </c>
      <c r="L302" s="61">
        <f>EFEITO!$N$302*EFEITO!$AA$302</f>
        <v>77278.453285646916</v>
      </c>
      <c r="M302" s="61">
        <f>$J$302-EFEITO!$K$302*EFEITO!$Y$302</f>
        <v>0</v>
      </c>
      <c r="N302" s="61">
        <f ca="1">$K$302-EFEITO!$M$302*EFEITO!$Z$302</f>
        <v>0</v>
      </c>
      <c r="O302" s="61">
        <f>$L$302-EFEITO!$O$302*EFEITO!$AA$302</f>
        <v>0</v>
      </c>
      <c r="P302" s="45"/>
      <c r="Q302" s="45"/>
      <c r="R302" s="45"/>
      <c r="S302" s="45"/>
      <c r="T302" s="45"/>
      <c r="U302" s="45"/>
      <c r="V302" s="45"/>
      <c r="W302" s="45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1.25" customHeight="1" x14ac:dyDescent="0.2">
      <c r="A303" s="41" t="s">
        <v>27</v>
      </c>
      <c r="B303" s="41" t="s">
        <v>22</v>
      </c>
      <c r="C303" s="41" t="s">
        <v>23</v>
      </c>
      <c r="D303" s="41" t="s">
        <v>24</v>
      </c>
      <c r="E303" s="41" t="s">
        <v>24</v>
      </c>
      <c r="F303" s="41" t="s">
        <v>25</v>
      </c>
      <c r="G303" s="41" t="s">
        <v>25</v>
      </c>
      <c r="H303" s="41" t="s">
        <v>25</v>
      </c>
      <c r="I303" s="60">
        <v>44682</v>
      </c>
      <c r="J303" s="61">
        <f>EFEITO!$J$303*EFEITO!$Y$303</f>
        <v>0</v>
      </c>
      <c r="K303" s="61">
        <f ca="1">EFEITO!$L$303*EFEITO!$Z$303</f>
        <v>-711.32594603237715</v>
      </c>
      <c r="L303" s="61">
        <f>EFEITO!$N$303*EFEITO!$AA$303</f>
        <v>-244.92467713269434</v>
      </c>
      <c r="M303" s="61">
        <f>$J$303-EFEITO!$K$303*EFEITO!$Y$303</f>
        <v>0</v>
      </c>
      <c r="N303" s="61">
        <f ca="1">$K$303-EFEITO!$M$303*EFEITO!$Z$303</f>
        <v>0</v>
      </c>
      <c r="O303" s="61">
        <f>$L$303-EFEITO!$O$303*EFEITO!$AA$303</f>
        <v>0</v>
      </c>
      <c r="P303" s="45"/>
      <c r="Q303" s="45"/>
      <c r="R303" s="45"/>
      <c r="S303" s="45"/>
      <c r="T303" s="45"/>
      <c r="U303" s="45"/>
      <c r="V303" s="45"/>
      <c r="W303" s="45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1.25" customHeight="1" x14ac:dyDescent="0.2">
      <c r="A304" s="41" t="s">
        <v>28</v>
      </c>
      <c r="B304" s="41" t="s">
        <v>22</v>
      </c>
      <c r="C304" s="41" t="s">
        <v>23</v>
      </c>
      <c r="D304" s="41" t="s">
        <v>24</v>
      </c>
      <c r="E304" s="41" t="s">
        <v>24</v>
      </c>
      <c r="F304" s="41" t="s">
        <v>25</v>
      </c>
      <c r="G304" s="41" t="s">
        <v>25</v>
      </c>
      <c r="H304" s="41" t="s">
        <v>25</v>
      </c>
      <c r="I304" s="60">
        <v>44682</v>
      </c>
      <c r="J304" s="61">
        <f>EFEITO!$J$304*EFEITO!$Y$304</f>
        <v>0</v>
      </c>
      <c r="K304" s="61">
        <f ca="1">EFEITO!$L$304*EFEITO!$Z$304</f>
        <v>2106.0043458374312</v>
      </c>
      <c r="L304" s="61">
        <f>EFEITO!$N$304*EFEITO!$AA$304</f>
        <v>725.14216207263996</v>
      </c>
      <c r="M304" s="61">
        <f>$J$304-EFEITO!$K$304*EFEITO!$Y$304</f>
        <v>0</v>
      </c>
      <c r="N304" s="61">
        <f ca="1">$K$304-EFEITO!$M$304*EFEITO!$Z$304</f>
        <v>0</v>
      </c>
      <c r="O304" s="61">
        <f>$L$304-EFEITO!$O$304*EFEITO!$AA$304</f>
        <v>0</v>
      </c>
      <c r="P304" s="45"/>
      <c r="Q304" s="45"/>
      <c r="R304" s="45"/>
      <c r="S304" s="45"/>
      <c r="T304" s="45"/>
      <c r="U304" s="45"/>
      <c r="V304" s="45"/>
      <c r="W304" s="45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1.25" customHeight="1" x14ac:dyDescent="0.2">
      <c r="A305" s="41" t="s">
        <v>21</v>
      </c>
      <c r="B305" s="41" t="s">
        <v>22</v>
      </c>
      <c r="C305" s="41" t="s">
        <v>23</v>
      </c>
      <c r="D305" s="41" t="s">
        <v>24</v>
      </c>
      <c r="E305" s="41" t="s">
        <v>24</v>
      </c>
      <c r="F305" s="41" t="s">
        <v>25</v>
      </c>
      <c r="G305" s="41" t="s">
        <v>25</v>
      </c>
      <c r="H305" s="41" t="s">
        <v>25</v>
      </c>
      <c r="I305" s="60">
        <v>44713</v>
      </c>
      <c r="J305" s="61">
        <f>EFEITO!$J$305*EFEITO!$Y$305</f>
        <v>0</v>
      </c>
      <c r="K305" s="61">
        <f ca="1">EFEITO!$L$305*EFEITO!$Z$305</f>
        <v>222103.24877845126</v>
      </c>
      <c r="L305" s="61">
        <f>EFEITO!$N$305*EFEITO!$AA$305</f>
        <v>76474.880187638511</v>
      </c>
      <c r="M305" s="61">
        <f>$J$305-EFEITO!$K$305*EFEITO!$Y$305</f>
        <v>0</v>
      </c>
      <c r="N305" s="61">
        <f ca="1">$K$305-EFEITO!$M$305*EFEITO!$Z$305</f>
        <v>0</v>
      </c>
      <c r="O305" s="61">
        <f>$L$305-EFEITO!$O$305*EFEITO!$AA$305</f>
        <v>0</v>
      </c>
      <c r="P305" s="45"/>
      <c r="Q305" s="45"/>
      <c r="R305" s="45"/>
      <c r="S305" s="45"/>
      <c r="T305" s="45"/>
      <c r="U305" s="45"/>
      <c r="V305" s="45"/>
      <c r="W305" s="45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1.25" customHeight="1" x14ac:dyDescent="0.2">
      <c r="A306" s="41" t="s">
        <v>27</v>
      </c>
      <c r="B306" s="41" t="s">
        <v>22</v>
      </c>
      <c r="C306" s="41" t="s">
        <v>23</v>
      </c>
      <c r="D306" s="41" t="s">
        <v>24</v>
      </c>
      <c r="E306" s="41" t="s">
        <v>24</v>
      </c>
      <c r="F306" s="41" t="s">
        <v>25</v>
      </c>
      <c r="G306" s="41" t="s">
        <v>25</v>
      </c>
      <c r="H306" s="41" t="s">
        <v>25</v>
      </c>
      <c r="I306" s="60">
        <v>44713</v>
      </c>
      <c r="J306" s="61">
        <f>EFEITO!$J$306*EFEITO!$Y$306</f>
        <v>0</v>
      </c>
      <c r="K306" s="61">
        <f ca="1">EFEITO!$L$306*EFEITO!$Z$306</f>
        <v>-802.6679615742554</v>
      </c>
      <c r="L306" s="61">
        <f>EFEITO!$N$306*EFEITO!$AA$306</f>
        <v>-276.375679011692</v>
      </c>
      <c r="M306" s="61">
        <f>$J$306-EFEITO!$K$306*EFEITO!$Y$306</f>
        <v>0</v>
      </c>
      <c r="N306" s="61">
        <f ca="1">$K$306-EFEITO!$M$306*EFEITO!$Z$306</f>
        <v>0</v>
      </c>
      <c r="O306" s="61">
        <f>$L$306-EFEITO!$O$306*EFEITO!$AA$306</f>
        <v>0</v>
      </c>
      <c r="P306" s="45"/>
      <c r="Q306" s="45"/>
      <c r="R306" s="45"/>
      <c r="S306" s="45"/>
      <c r="T306" s="45"/>
      <c r="U306" s="45"/>
      <c r="V306" s="45"/>
      <c r="W306" s="45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1.25" customHeight="1" x14ac:dyDescent="0.2">
      <c r="A307" s="41" t="s">
        <v>28</v>
      </c>
      <c r="B307" s="41" t="s">
        <v>22</v>
      </c>
      <c r="C307" s="41" t="s">
        <v>23</v>
      </c>
      <c r="D307" s="41" t="s">
        <v>24</v>
      </c>
      <c r="E307" s="41" t="s">
        <v>24</v>
      </c>
      <c r="F307" s="41" t="s">
        <v>25</v>
      </c>
      <c r="G307" s="41" t="s">
        <v>25</v>
      </c>
      <c r="H307" s="41" t="s">
        <v>25</v>
      </c>
      <c r="I307" s="60">
        <v>44713</v>
      </c>
      <c r="J307" s="61">
        <f>EFEITO!$J$307*EFEITO!$Y$307</f>
        <v>0</v>
      </c>
      <c r="K307" s="61">
        <f ca="1">EFEITO!$L$307*EFEITO!$Z$307</f>
        <v>4131.5135404785824</v>
      </c>
      <c r="L307" s="61">
        <f>EFEITO!$N$307*EFEITO!$AA$307</f>
        <v>1422.5681287394132</v>
      </c>
      <c r="M307" s="61">
        <f>$J$307-EFEITO!$K$307*EFEITO!$Y$307</f>
        <v>0</v>
      </c>
      <c r="N307" s="61">
        <f ca="1">$K$307-EFEITO!$M$307*EFEITO!$Z$307</f>
        <v>0</v>
      </c>
      <c r="O307" s="61">
        <f>$L$307-EFEITO!$O$307*EFEITO!$AA$307</f>
        <v>0</v>
      </c>
      <c r="P307" s="45"/>
      <c r="Q307" s="45"/>
      <c r="R307" s="45"/>
      <c r="S307" s="45"/>
      <c r="T307" s="45"/>
      <c r="U307" s="45"/>
      <c r="V307" s="45"/>
      <c r="W307" s="45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1.25" customHeight="1" x14ac:dyDescent="0.2">
      <c r="A308" s="41" t="s">
        <v>21</v>
      </c>
      <c r="B308" s="41" t="s">
        <v>22</v>
      </c>
      <c r="C308" s="41" t="s">
        <v>23</v>
      </c>
      <c r="D308" s="41" t="s">
        <v>24</v>
      </c>
      <c r="E308" s="41" t="s">
        <v>29</v>
      </c>
      <c r="F308" s="41" t="s">
        <v>25</v>
      </c>
      <c r="G308" s="41" t="s">
        <v>25</v>
      </c>
      <c r="H308" s="41" t="s">
        <v>25</v>
      </c>
      <c r="I308" s="60">
        <v>44378</v>
      </c>
      <c r="J308" s="61">
        <f>EFEITO!$J$308*EFEITO!$Y$272</f>
        <v>0</v>
      </c>
      <c r="K308" s="61">
        <f ca="1">EFEITO!$L$308*EFEITO!$Z$344</f>
        <v>322.09531383656605</v>
      </c>
      <c r="L308" s="61">
        <f>EFEITO!$N$308*EFEITO!$AA$344</f>
        <v>135.63244560317744</v>
      </c>
      <c r="M308" s="61">
        <f>$J$308-EFEITO!$K$308*EFEITO!$Y$308</f>
        <v>0</v>
      </c>
      <c r="N308" s="61">
        <f ca="1">$K$308-EFEITO!$M$308*EFEITO!$Z$308</f>
        <v>209.36195399376794</v>
      </c>
      <c r="O308" s="61">
        <f>$L$308-EFEITO!$O$308*EFEITO!$AA$308</f>
        <v>88.161089642065349</v>
      </c>
      <c r="P308" s="45"/>
      <c r="Q308" s="45"/>
      <c r="R308" s="45"/>
      <c r="S308" s="45"/>
      <c r="T308" s="45"/>
      <c r="U308" s="45"/>
      <c r="V308" s="45"/>
      <c r="W308" s="45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1.25" customHeight="1" x14ac:dyDescent="0.2">
      <c r="A309" s="41" t="s">
        <v>21</v>
      </c>
      <c r="B309" s="41" t="s">
        <v>22</v>
      </c>
      <c r="C309" s="41" t="s">
        <v>23</v>
      </c>
      <c r="D309" s="41" t="s">
        <v>24</v>
      </c>
      <c r="E309" s="41" t="s">
        <v>29</v>
      </c>
      <c r="F309" s="41" t="s">
        <v>25</v>
      </c>
      <c r="G309" s="41" t="s">
        <v>25</v>
      </c>
      <c r="H309" s="41" t="s">
        <v>25</v>
      </c>
      <c r="I309" s="60">
        <v>44409</v>
      </c>
      <c r="J309" s="61">
        <f>EFEITO!$J$309*EFEITO!$Y$272</f>
        <v>0</v>
      </c>
      <c r="K309" s="61">
        <f ca="1">EFEITO!$L$309*EFEITO!$Z$344</f>
        <v>322.09531383656605</v>
      </c>
      <c r="L309" s="61">
        <f>EFEITO!$N$309*EFEITO!$AA$344</f>
        <v>135.63244560317744</v>
      </c>
      <c r="M309" s="61">
        <f>$J$309-EFEITO!$K$309*EFEITO!$Y$309</f>
        <v>0</v>
      </c>
      <c r="N309" s="61">
        <f ca="1">$K$309-EFEITO!$M$309*EFEITO!$Z$309</f>
        <v>209.36195399376794</v>
      </c>
      <c r="O309" s="61">
        <f>$L$309-EFEITO!$O$309*EFEITO!$AA$309</f>
        <v>88.161089642065349</v>
      </c>
      <c r="P309" s="45"/>
      <c r="Q309" s="45"/>
      <c r="R309" s="45"/>
      <c r="S309" s="45"/>
      <c r="T309" s="45"/>
      <c r="U309" s="45"/>
      <c r="V309" s="45"/>
      <c r="W309" s="45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1.25" customHeight="1" x14ac:dyDescent="0.2">
      <c r="A310" s="41" t="s">
        <v>21</v>
      </c>
      <c r="B310" s="41" t="s">
        <v>22</v>
      </c>
      <c r="C310" s="41" t="s">
        <v>23</v>
      </c>
      <c r="D310" s="41" t="s">
        <v>24</v>
      </c>
      <c r="E310" s="41" t="s">
        <v>29</v>
      </c>
      <c r="F310" s="41" t="s">
        <v>25</v>
      </c>
      <c r="G310" s="41" t="s">
        <v>25</v>
      </c>
      <c r="H310" s="41" t="s">
        <v>25</v>
      </c>
      <c r="I310" s="60">
        <v>44440</v>
      </c>
      <c r="J310" s="61">
        <f>EFEITO!$J$310*EFEITO!$Y$272</f>
        <v>0</v>
      </c>
      <c r="K310" s="61">
        <f ca="1">EFEITO!$L$310*EFEITO!$Z$344</f>
        <v>322.09531383656605</v>
      </c>
      <c r="L310" s="61">
        <f>EFEITO!$N$310*EFEITO!$AA$344</f>
        <v>135.63244560317744</v>
      </c>
      <c r="M310" s="61">
        <f>$J$310-EFEITO!$K$310*EFEITO!$Y$310</f>
        <v>0</v>
      </c>
      <c r="N310" s="61">
        <f ca="1">$K$310-EFEITO!$M$310*EFEITO!$Z$310</f>
        <v>209.36195399376794</v>
      </c>
      <c r="O310" s="61">
        <f>$L$310-EFEITO!$O$310*EFEITO!$AA$310</f>
        <v>88.161089642065349</v>
      </c>
      <c r="P310" s="45"/>
      <c r="Q310" s="45"/>
      <c r="R310" s="45"/>
      <c r="S310" s="45"/>
      <c r="T310" s="45"/>
      <c r="U310" s="45"/>
      <c r="V310" s="45"/>
      <c r="W310" s="45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1.25" customHeight="1" x14ac:dyDescent="0.2">
      <c r="A311" s="41" t="s">
        <v>21</v>
      </c>
      <c r="B311" s="41" t="s">
        <v>22</v>
      </c>
      <c r="C311" s="41" t="s">
        <v>23</v>
      </c>
      <c r="D311" s="41" t="s">
        <v>24</v>
      </c>
      <c r="E311" s="41" t="s">
        <v>29</v>
      </c>
      <c r="F311" s="41" t="s">
        <v>25</v>
      </c>
      <c r="G311" s="41" t="s">
        <v>25</v>
      </c>
      <c r="H311" s="41" t="s">
        <v>25</v>
      </c>
      <c r="I311" s="60">
        <v>44470</v>
      </c>
      <c r="J311" s="61">
        <f>EFEITO!$J$311*EFEITO!$Y$272</f>
        <v>0</v>
      </c>
      <c r="K311" s="61">
        <f ca="1">EFEITO!$L$311*EFEITO!$Z$344</f>
        <v>322.09531383656605</v>
      </c>
      <c r="L311" s="61">
        <f>EFEITO!$N$311*EFEITO!$AA$344</f>
        <v>135.63244560317744</v>
      </c>
      <c r="M311" s="61">
        <f>$J$311-EFEITO!$K$311*EFEITO!$Y$311</f>
        <v>0</v>
      </c>
      <c r="N311" s="61">
        <f ca="1">$K$311-EFEITO!$M$311*EFEITO!$Z$311</f>
        <v>209.36195399376794</v>
      </c>
      <c r="O311" s="61">
        <f>$L$311-EFEITO!$O$311*EFEITO!$AA$311</f>
        <v>88.161089642065349</v>
      </c>
      <c r="P311" s="45"/>
      <c r="Q311" s="45"/>
      <c r="R311" s="45"/>
      <c r="S311" s="45"/>
      <c r="T311" s="45"/>
      <c r="U311" s="45"/>
      <c r="V311" s="45"/>
      <c r="W311" s="45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1.25" customHeight="1" x14ac:dyDescent="0.2">
      <c r="A312" s="41" t="s">
        <v>21</v>
      </c>
      <c r="B312" s="41" t="s">
        <v>22</v>
      </c>
      <c r="C312" s="41" t="s">
        <v>23</v>
      </c>
      <c r="D312" s="41" t="s">
        <v>24</v>
      </c>
      <c r="E312" s="41" t="s">
        <v>29</v>
      </c>
      <c r="F312" s="41" t="s">
        <v>25</v>
      </c>
      <c r="G312" s="41" t="s">
        <v>25</v>
      </c>
      <c r="H312" s="41" t="s">
        <v>25</v>
      </c>
      <c r="I312" s="60">
        <v>44501</v>
      </c>
      <c r="J312" s="61">
        <f>EFEITO!$J$312*EFEITO!$Y$272</f>
        <v>0</v>
      </c>
      <c r="K312" s="61">
        <f ca="1">EFEITO!$L$312*EFEITO!$Z$344</f>
        <v>322.09531383656605</v>
      </c>
      <c r="L312" s="61">
        <f>EFEITO!$N$312*EFEITO!$AA$344</f>
        <v>135.63244560317744</v>
      </c>
      <c r="M312" s="61">
        <f>$J$312-EFEITO!$K$312*EFEITO!$Y$312</f>
        <v>0</v>
      </c>
      <c r="N312" s="61">
        <f ca="1">$K$312-EFEITO!$M$312*EFEITO!$Z$312</f>
        <v>209.36195399376794</v>
      </c>
      <c r="O312" s="61">
        <f>$L$312-EFEITO!$O$312*EFEITO!$AA$312</f>
        <v>88.161089642065349</v>
      </c>
      <c r="P312" s="45"/>
      <c r="Q312" s="45"/>
      <c r="R312" s="45"/>
      <c r="S312" s="45"/>
      <c r="T312" s="45"/>
      <c r="U312" s="45"/>
      <c r="V312" s="45"/>
      <c r="W312" s="45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1.25" customHeight="1" x14ac:dyDescent="0.2">
      <c r="A313" s="41" t="s">
        <v>21</v>
      </c>
      <c r="B313" s="41" t="s">
        <v>22</v>
      </c>
      <c r="C313" s="41" t="s">
        <v>23</v>
      </c>
      <c r="D313" s="41" t="s">
        <v>24</v>
      </c>
      <c r="E313" s="41" t="s">
        <v>29</v>
      </c>
      <c r="F313" s="41" t="s">
        <v>25</v>
      </c>
      <c r="G313" s="41" t="s">
        <v>25</v>
      </c>
      <c r="H313" s="41" t="s">
        <v>25</v>
      </c>
      <c r="I313" s="60">
        <v>44531</v>
      </c>
      <c r="J313" s="61">
        <f>EFEITO!$J$313*EFEITO!$Y$272</f>
        <v>0</v>
      </c>
      <c r="K313" s="61">
        <f ca="1">EFEITO!$L$313*EFEITO!$Z$344</f>
        <v>322.09531383656605</v>
      </c>
      <c r="L313" s="61">
        <f>EFEITO!$N$313*EFEITO!$AA$344</f>
        <v>135.63244560317744</v>
      </c>
      <c r="M313" s="61">
        <f>$J$313-EFEITO!$K$313*EFEITO!$Y$313</f>
        <v>0</v>
      </c>
      <c r="N313" s="61">
        <f ca="1">$K$313-EFEITO!$M$313*EFEITO!$Z$313</f>
        <v>209.36195399376794</v>
      </c>
      <c r="O313" s="61">
        <f>$L$313-EFEITO!$O$313*EFEITO!$AA$313</f>
        <v>88.161089642065349</v>
      </c>
      <c r="P313" s="45"/>
      <c r="Q313" s="45"/>
      <c r="R313" s="45"/>
      <c r="S313" s="45"/>
      <c r="T313" s="45"/>
      <c r="U313" s="45"/>
      <c r="V313" s="45"/>
      <c r="W313" s="45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1.25" customHeight="1" x14ac:dyDescent="0.2">
      <c r="A314" s="41" t="s">
        <v>21</v>
      </c>
      <c r="B314" s="41" t="s">
        <v>22</v>
      </c>
      <c r="C314" s="41" t="s">
        <v>23</v>
      </c>
      <c r="D314" s="41" t="s">
        <v>24</v>
      </c>
      <c r="E314" s="41" t="s">
        <v>29</v>
      </c>
      <c r="F314" s="41" t="s">
        <v>25</v>
      </c>
      <c r="G314" s="41" t="s">
        <v>25</v>
      </c>
      <c r="H314" s="41" t="s">
        <v>25</v>
      </c>
      <c r="I314" s="60">
        <v>44562</v>
      </c>
      <c r="J314" s="61">
        <f>EFEITO!$J$314*EFEITO!$Y$272</f>
        <v>0</v>
      </c>
      <c r="K314" s="61">
        <f ca="1">EFEITO!$L$314*EFEITO!$Z$344</f>
        <v>602.17819543358007</v>
      </c>
      <c r="L314" s="61">
        <f>EFEITO!$N$314*EFEITO!$AA$344</f>
        <v>253.57370264941869</v>
      </c>
      <c r="M314" s="61">
        <f>$J$314-EFEITO!$K$314*EFEITO!$Y$314</f>
        <v>0</v>
      </c>
      <c r="N314" s="61">
        <f ca="1">$K$314-EFEITO!$M$314*EFEITO!$Z$314</f>
        <v>391.41582703182701</v>
      </c>
      <c r="O314" s="61">
        <f>$L$314-EFEITO!$O$314*EFEITO!$AA$314</f>
        <v>164.82290672212216</v>
      </c>
      <c r="P314" s="45"/>
      <c r="Q314" s="45"/>
      <c r="R314" s="45"/>
      <c r="S314" s="45"/>
      <c r="T314" s="45"/>
      <c r="U314" s="45"/>
      <c r="V314" s="45"/>
      <c r="W314" s="45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1.25" customHeight="1" x14ac:dyDescent="0.2">
      <c r="A315" s="41" t="s">
        <v>21</v>
      </c>
      <c r="B315" s="41" t="s">
        <v>22</v>
      </c>
      <c r="C315" s="41" t="s">
        <v>23</v>
      </c>
      <c r="D315" s="41" t="s">
        <v>24</v>
      </c>
      <c r="E315" s="41" t="s">
        <v>29</v>
      </c>
      <c r="F315" s="41" t="s">
        <v>25</v>
      </c>
      <c r="G315" s="41" t="s">
        <v>25</v>
      </c>
      <c r="H315" s="41" t="s">
        <v>25</v>
      </c>
      <c r="I315" s="60">
        <v>44593</v>
      </c>
      <c r="J315" s="61">
        <f>EFEITO!$J$315*EFEITO!$Y$272</f>
        <v>0</v>
      </c>
      <c r="K315" s="61">
        <f ca="1">EFEITO!$L$315*EFEITO!$Z$344</f>
        <v>2156.6381882970077</v>
      </c>
      <c r="L315" s="61">
        <f>EFEITO!$N$315*EFEITO!$AA$344</f>
        <v>908.1476792560577</v>
      </c>
      <c r="M315" s="61">
        <f>$J$315-EFEITO!$K$315*EFEITO!$Y$315</f>
        <v>0</v>
      </c>
      <c r="N315" s="61">
        <f ca="1">$K$315-EFEITO!$M$315*EFEITO!$Z$315</f>
        <v>1401.814822393055</v>
      </c>
      <c r="O315" s="61">
        <f>$L$315-EFEITO!$O$315*EFEITO!$AA$315</f>
        <v>590.29599151643754</v>
      </c>
      <c r="P315" s="45"/>
      <c r="Q315" s="45"/>
      <c r="R315" s="45"/>
      <c r="S315" s="45"/>
      <c r="T315" s="45"/>
      <c r="U315" s="45"/>
      <c r="V315" s="45"/>
      <c r="W315" s="45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1.25" customHeight="1" x14ac:dyDescent="0.2">
      <c r="A316" s="41" t="s">
        <v>21</v>
      </c>
      <c r="B316" s="41" t="s">
        <v>22</v>
      </c>
      <c r="C316" s="41" t="s">
        <v>23</v>
      </c>
      <c r="D316" s="41" t="s">
        <v>24</v>
      </c>
      <c r="E316" s="41" t="s">
        <v>29</v>
      </c>
      <c r="F316" s="41" t="s">
        <v>25</v>
      </c>
      <c r="G316" s="41" t="s">
        <v>25</v>
      </c>
      <c r="H316" s="41" t="s">
        <v>25</v>
      </c>
      <c r="I316" s="60">
        <v>44621</v>
      </c>
      <c r="J316" s="61">
        <f>EFEITO!$J$316*EFEITO!$Y$272</f>
        <v>0</v>
      </c>
      <c r="K316" s="61">
        <f ca="1">EFEITO!$L$316*EFEITO!$Z$344</f>
        <v>3010.8909771679005</v>
      </c>
      <c r="L316" s="61">
        <f>EFEITO!$N$316*EFEITO!$AA$344</f>
        <v>1267.8685132470935</v>
      </c>
      <c r="M316" s="61">
        <f>$J$316-EFEITO!$K$316*EFEITO!$Y$316</f>
        <v>0</v>
      </c>
      <c r="N316" s="61">
        <f ca="1">$K$316-EFEITO!$M$316*EFEITO!$Z$316</f>
        <v>1957.0791351591354</v>
      </c>
      <c r="O316" s="61">
        <f>$L$316-EFEITO!$O$316*EFEITO!$AA$316</f>
        <v>824.11453361061081</v>
      </c>
      <c r="P316" s="45"/>
      <c r="Q316" s="45"/>
      <c r="R316" s="45"/>
      <c r="S316" s="45"/>
      <c r="T316" s="45"/>
      <c r="U316" s="45"/>
      <c r="V316" s="45"/>
      <c r="W316" s="45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1.25" customHeight="1" x14ac:dyDescent="0.2">
      <c r="A317" s="41" t="s">
        <v>21</v>
      </c>
      <c r="B317" s="41" t="s">
        <v>22</v>
      </c>
      <c r="C317" s="41" t="s">
        <v>23</v>
      </c>
      <c r="D317" s="41" t="s">
        <v>24</v>
      </c>
      <c r="E317" s="41" t="s">
        <v>29</v>
      </c>
      <c r="F317" s="41" t="s">
        <v>25</v>
      </c>
      <c r="G317" s="41" t="s">
        <v>25</v>
      </c>
      <c r="H317" s="41" t="s">
        <v>25</v>
      </c>
      <c r="I317" s="60">
        <v>44652</v>
      </c>
      <c r="J317" s="61">
        <f>EFEITO!$J$317*EFEITO!$Y$272</f>
        <v>0</v>
      </c>
      <c r="K317" s="61">
        <f ca="1">EFEITO!$L$317*EFEITO!$Z$344</f>
        <v>3066.9075534873032</v>
      </c>
      <c r="L317" s="61">
        <f>EFEITO!$N$317*EFEITO!$AA$344</f>
        <v>1291.4567646563419</v>
      </c>
      <c r="M317" s="61">
        <f>$J$317-EFEITO!$K$317*EFEITO!$Y$317</f>
        <v>0</v>
      </c>
      <c r="N317" s="61">
        <f ca="1">$K$317-EFEITO!$M$317*EFEITO!$Z$317</f>
        <v>1993.4899097667471</v>
      </c>
      <c r="O317" s="61">
        <f>$L$317-EFEITO!$O$317*EFEITO!$AA$317</f>
        <v>839.44689702662231</v>
      </c>
      <c r="P317" s="45"/>
      <c r="Q317" s="45"/>
      <c r="R317" s="45"/>
      <c r="S317" s="45"/>
      <c r="T317" s="45"/>
      <c r="U317" s="45"/>
      <c r="V317" s="45"/>
      <c r="W317" s="45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1.25" customHeight="1" x14ac:dyDescent="0.2">
      <c r="A318" s="41" t="s">
        <v>21</v>
      </c>
      <c r="B318" s="41" t="s">
        <v>22</v>
      </c>
      <c r="C318" s="41" t="s">
        <v>23</v>
      </c>
      <c r="D318" s="41" t="s">
        <v>24</v>
      </c>
      <c r="E318" s="41" t="s">
        <v>29</v>
      </c>
      <c r="F318" s="41" t="s">
        <v>25</v>
      </c>
      <c r="G318" s="41" t="s">
        <v>25</v>
      </c>
      <c r="H318" s="41" t="s">
        <v>25</v>
      </c>
      <c r="I318" s="60">
        <v>44682</v>
      </c>
      <c r="J318" s="61">
        <f>EFEITO!$J$318*EFEITO!$Y$272</f>
        <v>0</v>
      </c>
      <c r="K318" s="61">
        <f ca="1">EFEITO!$L$318*EFEITO!$Z$344</f>
        <v>1232.3646790268615</v>
      </c>
      <c r="L318" s="61">
        <f>EFEITO!$N$318*EFEITO!$AA$344</f>
        <v>518.94153100346159</v>
      </c>
      <c r="M318" s="61">
        <f>$J$318-EFEITO!$K$318*EFEITO!$Y$318</f>
        <v>0</v>
      </c>
      <c r="N318" s="61">
        <f ca="1">$K$318-EFEITO!$M$318*EFEITO!$Z$318</f>
        <v>801.03704136746001</v>
      </c>
      <c r="O318" s="61">
        <f>$L$318-EFEITO!$O$318*EFEITO!$AA$318</f>
        <v>337.31199515225006</v>
      </c>
      <c r="P318" s="45"/>
      <c r="Q318" s="45"/>
      <c r="R318" s="45"/>
      <c r="S318" s="45"/>
      <c r="T318" s="45"/>
      <c r="U318" s="45"/>
      <c r="V318" s="45"/>
      <c r="W318" s="45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1.25" customHeight="1" x14ac:dyDescent="0.2">
      <c r="A319" s="41" t="s">
        <v>21</v>
      </c>
      <c r="B319" s="41" t="s">
        <v>22</v>
      </c>
      <c r="C319" s="41" t="s">
        <v>23</v>
      </c>
      <c r="D319" s="41" t="s">
        <v>24</v>
      </c>
      <c r="E319" s="41" t="s">
        <v>29</v>
      </c>
      <c r="F319" s="41" t="s">
        <v>25</v>
      </c>
      <c r="G319" s="41" t="s">
        <v>25</v>
      </c>
      <c r="H319" s="41" t="s">
        <v>25</v>
      </c>
      <c r="I319" s="60">
        <v>44713</v>
      </c>
      <c r="J319" s="61">
        <f>EFEITO!$J$319*EFEITO!$Y$272</f>
        <v>0</v>
      </c>
      <c r="K319" s="61">
        <f ca="1">EFEITO!$L$319*EFEITO!$Z$344</f>
        <v>1204.3563908671601</v>
      </c>
      <c r="L319" s="61">
        <f>EFEITO!$N$319*EFEITO!$AA$344</f>
        <v>507.14740529883738</v>
      </c>
      <c r="M319" s="61">
        <f>$J$319-EFEITO!$K$319*EFEITO!$Y$319</f>
        <v>0</v>
      </c>
      <c r="N319" s="61">
        <f ca="1">$K$319-EFEITO!$M$319*EFEITO!$Z$319</f>
        <v>782.83165406365401</v>
      </c>
      <c r="O319" s="61">
        <f>$L$319-EFEITO!$O$319*EFEITO!$AA$319</f>
        <v>329.64581344424431</v>
      </c>
      <c r="P319" s="45"/>
      <c r="Q319" s="45"/>
      <c r="R319" s="45"/>
      <c r="S319" s="45"/>
      <c r="T319" s="45"/>
      <c r="U319" s="45"/>
      <c r="V319" s="45"/>
      <c r="W319" s="45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1.25" customHeight="1" x14ac:dyDescent="0.2">
      <c r="A320" s="41" t="s">
        <v>21</v>
      </c>
      <c r="B320" s="41" t="s">
        <v>22</v>
      </c>
      <c r="C320" s="41" t="s">
        <v>23</v>
      </c>
      <c r="D320" s="41" t="s">
        <v>24</v>
      </c>
      <c r="E320" s="41" t="s">
        <v>30</v>
      </c>
      <c r="F320" s="41" t="s">
        <v>25</v>
      </c>
      <c r="G320" s="41" t="s">
        <v>25</v>
      </c>
      <c r="H320" s="41" t="s">
        <v>25</v>
      </c>
      <c r="I320" s="60">
        <v>44378</v>
      </c>
      <c r="J320" s="61">
        <f>EFEITO!$J$320*EFEITO!$Y$272</f>
        <v>0</v>
      </c>
      <c r="K320" s="61">
        <f ca="1">EFEITO!$L$320*EFEITO!$Z$344</f>
        <v>519.55374536246097</v>
      </c>
      <c r="L320" s="61">
        <f>EFEITO!$N$320*EFEITO!$AA$344</f>
        <v>218.78103182077751</v>
      </c>
      <c r="M320" s="61">
        <f>$J$320-EFEITO!$K$320*EFEITO!$Y$320</f>
        <v>0</v>
      </c>
      <c r="N320" s="61">
        <f ca="1">$K$320-EFEITO!$M$320*EFEITO!$Z$320</f>
        <v>207.82149814498445</v>
      </c>
      <c r="O320" s="61">
        <f>$L$320-EFEITO!$O$320*EFEITO!$AA$320</f>
        <v>87.512412728311006</v>
      </c>
      <c r="P320" s="45"/>
      <c r="Q320" s="45"/>
      <c r="R320" s="45"/>
      <c r="S320" s="45"/>
      <c r="T320" s="45"/>
      <c r="U320" s="45"/>
      <c r="V320" s="45"/>
      <c r="W320" s="45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1.25" customHeight="1" x14ac:dyDescent="0.2">
      <c r="A321" s="41" t="s">
        <v>21</v>
      </c>
      <c r="B321" s="41" t="s">
        <v>22</v>
      </c>
      <c r="C321" s="41" t="s">
        <v>23</v>
      </c>
      <c r="D321" s="41" t="s">
        <v>24</v>
      </c>
      <c r="E321" s="41" t="s">
        <v>30</v>
      </c>
      <c r="F321" s="41" t="s">
        <v>25</v>
      </c>
      <c r="G321" s="41" t="s">
        <v>25</v>
      </c>
      <c r="H321" s="41" t="s">
        <v>25</v>
      </c>
      <c r="I321" s="60">
        <v>44409</v>
      </c>
      <c r="J321" s="61">
        <f>EFEITO!$J$321*EFEITO!$Y$272</f>
        <v>0</v>
      </c>
      <c r="K321" s="61">
        <f ca="1">EFEITO!$L$321*EFEITO!$Z$344</f>
        <v>576.97073608984874</v>
      </c>
      <c r="L321" s="61">
        <f>EFEITO!$N$321*EFEITO!$AA$344</f>
        <v>242.95898951525697</v>
      </c>
      <c r="M321" s="61">
        <f>$J$321-EFEITO!$K$321*EFEITO!$Y$321</f>
        <v>0</v>
      </c>
      <c r="N321" s="61">
        <f ca="1">$K$321-EFEITO!$M$321*EFEITO!$Z$321</f>
        <v>230.78829443593946</v>
      </c>
      <c r="O321" s="61">
        <f>$L$321-EFEITO!$O$321*EFEITO!$AA$321</f>
        <v>97.183595806102801</v>
      </c>
      <c r="P321" s="45"/>
      <c r="Q321" s="45"/>
      <c r="R321" s="45"/>
      <c r="S321" s="45"/>
      <c r="T321" s="45"/>
      <c r="U321" s="45"/>
      <c r="V321" s="45"/>
      <c r="W321" s="45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1.25" customHeight="1" x14ac:dyDescent="0.2">
      <c r="A322" s="41" t="s">
        <v>21</v>
      </c>
      <c r="B322" s="41" t="s">
        <v>22</v>
      </c>
      <c r="C322" s="41" t="s">
        <v>23</v>
      </c>
      <c r="D322" s="41" t="s">
        <v>24</v>
      </c>
      <c r="E322" s="41" t="s">
        <v>30</v>
      </c>
      <c r="F322" s="41" t="s">
        <v>25</v>
      </c>
      <c r="G322" s="41" t="s">
        <v>25</v>
      </c>
      <c r="H322" s="41" t="s">
        <v>25</v>
      </c>
      <c r="I322" s="60">
        <v>44440</v>
      </c>
      <c r="J322" s="61">
        <f>EFEITO!$J$322*EFEITO!$Y$272</f>
        <v>0</v>
      </c>
      <c r="K322" s="61">
        <f ca="1">EFEITO!$L$322*EFEITO!$Z$344</f>
        <v>543.82759510086885</v>
      </c>
      <c r="L322" s="61">
        <f>EFEITO!$N$322*EFEITO!$AA$344</f>
        <v>229.00260743145176</v>
      </c>
      <c r="M322" s="61">
        <f>$J$322-EFEITO!$K$322*EFEITO!$Y$322</f>
        <v>0</v>
      </c>
      <c r="N322" s="61">
        <f ca="1">$K$322-EFEITO!$M$322*EFEITO!$Z$322</f>
        <v>217.5310380403476</v>
      </c>
      <c r="O322" s="61">
        <f>$L$322-EFEITO!$O$322*EFEITO!$AA$322</f>
        <v>91.6010429725807</v>
      </c>
      <c r="P322" s="45"/>
      <c r="Q322" s="45"/>
      <c r="R322" s="45"/>
      <c r="S322" s="45"/>
      <c r="T322" s="45"/>
      <c r="U322" s="45"/>
      <c r="V322" s="45"/>
      <c r="W322" s="45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1.25" customHeight="1" x14ac:dyDescent="0.2">
      <c r="A323" s="41" t="s">
        <v>21</v>
      </c>
      <c r="B323" s="41" t="s">
        <v>22</v>
      </c>
      <c r="C323" s="41" t="s">
        <v>23</v>
      </c>
      <c r="D323" s="41" t="s">
        <v>24</v>
      </c>
      <c r="E323" s="41" t="s">
        <v>30</v>
      </c>
      <c r="F323" s="41" t="s">
        <v>25</v>
      </c>
      <c r="G323" s="41" t="s">
        <v>25</v>
      </c>
      <c r="H323" s="41" t="s">
        <v>25</v>
      </c>
      <c r="I323" s="60">
        <v>44470</v>
      </c>
      <c r="J323" s="61">
        <f>EFEITO!$J$323*EFEITO!$Y$272</f>
        <v>0</v>
      </c>
      <c r="K323" s="61">
        <f ca="1">EFEITO!$L$323*EFEITO!$Z$344</f>
        <v>578.37115049783392</v>
      </c>
      <c r="L323" s="61">
        <f>EFEITO!$N$323*EFEITO!$AA$344</f>
        <v>243.54869580048822</v>
      </c>
      <c r="M323" s="61">
        <f>$J$323-EFEITO!$K$323*EFEITO!$Y$323</f>
        <v>0</v>
      </c>
      <c r="N323" s="61">
        <f ca="1">$K$323-EFEITO!$M$323*EFEITO!$Z$323</f>
        <v>231.34846019913357</v>
      </c>
      <c r="O323" s="61">
        <f>$L$323-EFEITO!$O$323*EFEITO!$AA$323</f>
        <v>97.41947832019531</v>
      </c>
      <c r="P323" s="45"/>
      <c r="Q323" s="45"/>
      <c r="R323" s="45"/>
      <c r="S323" s="45"/>
      <c r="T323" s="45"/>
      <c r="U323" s="45"/>
      <c r="V323" s="45"/>
      <c r="W323" s="45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1.25" customHeight="1" x14ac:dyDescent="0.2">
      <c r="A324" s="41" t="s">
        <v>21</v>
      </c>
      <c r="B324" s="41" t="s">
        <v>22</v>
      </c>
      <c r="C324" s="41" t="s">
        <v>23</v>
      </c>
      <c r="D324" s="41" t="s">
        <v>24</v>
      </c>
      <c r="E324" s="41" t="s">
        <v>30</v>
      </c>
      <c r="F324" s="41" t="s">
        <v>25</v>
      </c>
      <c r="G324" s="41" t="s">
        <v>25</v>
      </c>
      <c r="H324" s="41" t="s">
        <v>25</v>
      </c>
      <c r="I324" s="60">
        <v>44501</v>
      </c>
      <c r="J324" s="61">
        <f>EFEITO!$J$324*EFEITO!$Y$272</f>
        <v>0</v>
      </c>
      <c r="K324" s="61">
        <f ca="1">EFEITO!$L$324*EFEITO!$Z$344</f>
        <v>530.75706062634151</v>
      </c>
      <c r="L324" s="61">
        <f>EFEITO!$N$324*EFEITO!$AA$344</f>
        <v>223.49868210262719</v>
      </c>
      <c r="M324" s="61">
        <f>$J$324-EFEITO!$K$324*EFEITO!$Y$324</f>
        <v>0</v>
      </c>
      <c r="N324" s="61">
        <f ca="1">$K$324-EFEITO!$M$324*EFEITO!$Z$324</f>
        <v>212.30282425053662</v>
      </c>
      <c r="O324" s="61">
        <f>$L$324-EFEITO!$O$324*EFEITO!$AA$324</f>
        <v>89.39947284105088</v>
      </c>
      <c r="P324" s="45"/>
      <c r="Q324" s="45"/>
      <c r="R324" s="45"/>
      <c r="S324" s="45"/>
      <c r="T324" s="45"/>
      <c r="U324" s="45"/>
      <c r="V324" s="45"/>
      <c r="W324" s="45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1.25" customHeight="1" x14ac:dyDescent="0.2">
      <c r="A325" s="41" t="s">
        <v>21</v>
      </c>
      <c r="B325" s="41" t="s">
        <v>22</v>
      </c>
      <c r="C325" s="41" t="s">
        <v>23</v>
      </c>
      <c r="D325" s="41" t="s">
        <v>24</v>
      </c>
      <c r="E325" s="41" t="s">
        <v>30</v>
      </c>
      <c r="F325" s="41" t="s">
        <v>25</v>
      </c>
      <c r="G325" s="41" t="s">
        <v>25</v>
      </c>
      <c r="H325" s="41" t="s">
        <v>25</v>
      </c>
      <c r="I325" s="60">
        <v>44531</v>
      </c>
      <c r="J325" s="61">
        <f>EFEITO!$J$325*EFEITO!$Y$272</f>
        <v>0</v>
      </c>
      <c r="K325" s="61">
        <f ca="1">EFEITO!$L$325*EFEITO!$Z$344</f>
        <v>533.09108463964992</v>
      </c>
      <c r="L325" s="61">
        <f>EFEITO!$N$325*EFEITO!$AA$344</f>
        <v>224.48152591134584</v>
      </c>
      <c r="M325" s="61">
        <f>$J$325-EFEITO!$K$325*EFEITO!$Y$325</f>
        <v>0</v>
      </c>
      <c r="N325" s="61">
        <f ca="1">$K$325-EFEITO!$M$325*EFEITO!$Z$325</f>
        <v>213.23643385586001</v>
      </c>
      <c r="O325" s="61">
        <f>$L$325-EFEITO!$O$325*EFEITO!$AA$325</f>
        <v>89.792610364538348</v>
      </c>
      <c r="P325" s="45"/>
      <c r="Q325" s="45"/>
      <c r="R325" s="45"/>
      <c r="S325" s="45"/>
      <c r="T325" s="45"/>
      <c r="U325" s="45"/>
      <c r="V325" s="45"/>
      <c r="W325" s="45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1.25" customHeight="1" x14ac:dyDescent="0.2">
      <c r="A326" s="41" t="s">
        <v>21</v>
      </c>
      <c r="B326" s="41" t="s">
        <v>22</v>
      </c>
      <c r="C326" s="41" t="s">
        <v>23</v>
      </c>
      <c r="D326" s="41" t="s">
        <v>24</v>
      </c>
      <c r="E326" s="41" t="s">
        <v>30</v>
      </c>
      <c r="F326" s="41" t="s">
        <v>25</v>
      </c>
      <c r="G326" s="41" t="s">
        <v>25</v>
      </c>
      <c r="H326" s="41" t="s">
        <v>25</v>
      </c>
      <c r="I326" s="60">
        <v>44562</v>
      </c>
      <c r="J326" s="61">
        <f>EFEITO!$J$326*EFEITO!$Y$272</f>
        <v>0</v>
      </c>
      <c r="K326" s="61">
        <f ca="1">EFEITO!$L$326*EFEITO!$Z$344</f>
        <v>998.9622776960166</v>
      </c>
      <c r="L326" s="61">
        <f>EFEITO!$N$326*EFEITO!$AA$344</f>
        <v>420.65715013159382</v>
      </c>
      <c r="M326" s="61">
        <f>$J$326-EFEITO!$K$326*EFEITO!$Y$326</f>
        <v>0</v>
      </c>
      <c r="N326" s="61">
        <f ca="1">$K$326-EFEITO!$M$326*EFEITO!$Z$326</f>
        <v>399.58491107840666</v>
      </c>
      <c r="O326" s="61">
        <f>$L$326-EFEITO!$O$326*EFEITO!$AA$326</f>
        <v>168.26286005263754</v>
      </c>
      <c r="P326" s="45"/>
      <c r="Q326" s="45"/>
      <c r="R326" s="45"/>
      <c r="S326" s="45"/>
      <c r="T326" s="45"/>
      <c r="U326" s="45"/>
      <c r="V326" s="45"/>
      <c r="W326" s="45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1.25" customHeight="1" x14ac:dyDescent="0.2">
      <c r="A327" s="41" t="s">
        <v>21</v>
      </c>
      <c r="B327" s="41" t="s">
        <v>22</v>
      </c>
      <c r="C327" s="41" t="s">
        <v>23</v>
      </c>
      <c r="D327" s="41" t="s">
        <v>24</v>
      </c>
      <c r="E327" s="41" t="s">
        <v>30</v>
      </c>
      <c r="F327" s="41" t="s">
        <v>25</v>
      </c>
      <c r="G327" s="41" t="s">
        <v>25</v>
      </c>
      <c r="H327" s="41" t="s">
        <v>25</v>
      </c>
      <c r="I327" s="60">
        <v>44593</v>
      </c>
      <c r="J327" s="61">
        <f>EFEITO!$J$327*EFEITO!$Y$272</f>
        <v>0</v>
      </c>
      <c r="K327" s="61">
        <f ca="1">EFEITO!$L$327*EFEITO!$Z$344</f>
        <v>4064.0026119726726</v>
      </c>
      <c r="L327" s="61">
        <f>EFEITO!$N$327*EFEITO!$AA$344</f>
        <v>1711.3276397409604</v>
      </c>
      <c r="M327" s="61">
        <f>$J$327-EFEITO!$K$327*EFEITO!$Y$327</f>
        <v>0</v>
      </c>
      <c r="N327" s="61">
        <f ca="1">$K$327-EFEITO!$M$327*EFEITO!$Z$327</f>
        <v>1625.601044789069</v>
      </c>
      <c r="O327" s="61">
        <f>$L$327-EFEITO!$O$327*EFEITO!$AA$327</f>
        <v>684.53105589638426</v>
      </c>
      <c r="P327" s="45"/>
      <c r="Q327" s="45"/>
      <c r="R327" s="45"/>
      <c r="S327" s="45"/>
      <c r="T327" s="45"/>
      <c r="U327" s="45"/>
      <c r="V327" s="45"/>
      <c r="W327" s="45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1.25" customHeight="1" x14ac:dyDescent="0.2">
      <c r="A328" s="41" t="s">
        <v>21</v>
      </c>
      <c r="B328" s="41" t="s">
        <v>22</v>
      </c>
      <c r="C328" s="41" t="s">
        <v>23</v>
      </c>
      <c r="D328" s="41" t="s">
        <v>24</v>
      </c>
      <c r="E328" s="41" t="s">
        <v>30</v>
      </c>
      <c r="F328" s="41" t="s">
        <v>25</v>
      </c>
      <c r="G328" s="41" t="s">
        <v>25</v>
      </c>
      <c r="H328" s="41" t="s">
        <v>25</v>
      </c>
      <c r="I328" s="60">
        <v>44621</v>
      </c>
      <c r="J328" s="61">
        <f>EFEITO!$J$328*EFEITO!$Y$272</f>
        <v>0</v>
      </c>
      <c r="K328" s="61">
        <f ca="1">EFEITO!$L$328*EFEITO!$Z$344</f>
        <v>5502.6950137760014</v>
      </c>
      <c r="L328" s="61">
        <f>EFEITO!$N$328*EFEITO!$AA$344</f>
        <v>2317.1525634351533</v>
      </c>
      <c r="M328" s="61">
        <f>$J$328-EFEITO!$K$328*EFEITO!$Y$328</f>
        <v>0</v>
      </c>
      <c r="N328" s="61">
        <f ca="1">$K$328-EFEITO!$M$328*EFEITO!$Z$328</f>
        <v>2201.0780055104005</v>
      </c>
      <c r="O328" s="61">
        <f>$L$328-EFEITO!$O$328*EFEITO!$AA$328</f>
        <v>926.86102537406146</v>
      </c>
      <c r="P328" s="45"/>
      <c r="Q328" s="45"/>
      <c r="R328" s="45"/>
      <c r="S328" s="45"/>
      <c r="T328" s="45"/>
      <c r="U328" s="45"/>
      <c r="V328" s="45"/>
      <c r="W328" s="45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1.25" customHeight="1" x14ac:dyDescent="0.2">
      <c r="A329" s="41" t="s">
        <v>21</v>
      </c>
      <c r="B329" s="41" t="s">
        <v>22</v>
      </c>
      <c r="C329" s="41" t="s">
        <v>23</v>
      </c>
      <c r="D329" s="41" t="s">
        <v>24</v>
      </c>
      <c r="E329" s="41" t="s">
        <v>30</v>
      </c>
      <c r="F329" s="41" t="s">
        <v>25</v>
      </c>
      <c r="G329" s="41" t="s">
        <v>25</v>
      </c>
      <c r="H329" s="41" t="s">
        <v>25</v>
      </c>
      <c r="I329" s="60">
        <v>44652</v>
      </c>
      <c r="J329" s="61">
        <f>EFEITO!$J$329*EFEITO!$Y$272</f>
        <v>0</v>
      </c>
      <c r="K329" s="61">
        <f ca="1">EFEITO!$L$329*EFEITO!$Z$344</f>
        <v>5566.1804669379908</v>
      </c>
      <c r="L329" s="61">
        <f>EFEITO!$N$329*EFEITO!$AA$344</f>
        <v>2343.885915032301</v>
      </c>
      <c r="M329" s="61">
        <f>$J$329-EFEITO!$K$329*EFEITO!$Y$329</f>
        <v>0</v>
      </c>
      <c r="N329" s="61">
        <f ca="1">$K$329-EFEITO!$M$329*EFEITO!$Z$329</f>
        <v>2226.4721867751964</v>
      </c>
      <c r="O329" s="61">
        <f>$L$329-EFEITO!$O$329*EFEITO!$AA$329</f>
        <v>937.55436601292035</v>
      </c>
      <c r="P329" s="45"/>
      <c r="Q329" s="45"/>
      <c r="R329" s="45"/>
      <c r="S329" s="45"/>
      <c r="T329" s="45"/>
      <c r="U329" s="45"/>
      <c r="V329" s="45"/>
      <c r="W329" s="45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1.25" customHeight="1" x14ac:dyDescent="0.2">
      <c r="A330" s="41" t="s">
        <v>21</v>
      </c>
      <c r="B330" s="41" t="s">
        <v>22</v>
      </c>
      <c r="C330" s="41" t="s">
        <v>23</v>
      </c>
      <c r="D330" s="41" t="s">
        <v>24</v>
      </c>
      <c r="E330" s="41" t="s">
        <v>30</v>
      </c>
      <c r="F330" s="41" t="s">
        <v>25</v>
      </c>
      <c r="G330" s="41" t="s">
        <v>25</v>
      </c>
      <c r="H330" s="41" t="s">
        <v>25</v>
      </c>
      <c r="I330" s="60">
        <v>44682</v>
      </c>
      <c r="J330" s="61">
        <f>EFEITO!$J$330*EFEITO!$Y$272</f>
        <v>0</v>
      </c>
      <c r="K330" s="61">
        <f ca="1">EFEITO!$L$330*EFEITO!$Z$344</f>
        <v>2032.93491559166</v>
      </c>
      <c r="L330" s="61">
        <f>EFEITO!$N$330*EFEITO!$AA$344</f>
        <v>856.05695739396788</v>
      </c>
      <c r="M330" s="61">
        <f>$J$330-EFEITO!$K$330*EFEITO!$Y$330</f>
        <v>0</v>
      </c>
      <c r="N330" s="61">
        <f ca="1">$K$330-EFEITO!$M$330*EFEITO!$Z$330</f>
        <v>813.173966236664</v>
      </c>
      <c r="O330" s="61">
        <f>$L$330-EFEITO!$O$330*EFEITO!$AA$330</f>
        <v>342.42278295758717</v>
      </c>
      <c r="P330" s="45"/>
      <c r="Q330" s="45"/>
      <c r="R330" s="45"/>
      <c r="S330" s="45"/>
      <c r="T330" s="45"/>
      <c r="U330" s="45"/>
      <c r="V330" s="45"/>
      <c r="W330" s="45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1.25" customHeight="1" x14ac:dyDescent="0.2">
      <c r="A331" s="41" t="s">
        <v>21</v>
      </c>
      <c r="B331" s="41" t="s">
        <v>22</v>
      </c>
      <c r="C331" s="41" t="s">
        <v>23</v>
      </c>
      <c r="D331" s="41" t="s">
        <v>24</v>
      </c>
      <c r="E331" s="41" t="s">
        <v>30</v>
      </c>
      <c r="F331" s="41" t="s">
        <v>25</v>
      </c>
      <c r="G331" s="41" t="s">
        <v>25</v>
      </c>
      <c r="H331" s="41" t="s">
        <v>25</v>
      </c>
      <c r="I331" s="60">
        <v>44713</v>
      </c>
      <c r="J331" s="61">
        <f>EFEITO!$J$331*EFEITO!$Y$272</f>
        <v>0</v>
      </c>
      <c r="K331" s="61">
        <f ca="1">EFEITO!$L$331*EFEITO!$Z$344</f>
        <v>2133.7647529665846</v>
      </c>
      <c r="L331" s="61">
        <f>EFEITO!$N$331*EFEITO!$AA$344</f>
        <v>898.51580993061452</v>
      </c>
      <c r="M331" s="61">
        <f>$J$331-EFEITO!$K$331*EFEITO!$Y$331</f>
        <v>0</v>
      </c>
      <c r="N331" s="61">
        <f ca="1">$K$331-EFEITO!$M$331*EFEITO!$Z$331</f>
        <v>853.50590118663376</v>
      </c>
      <c r="O331" s="61">
        <f>$L$331-EFEITO!$O$331*EFEITO!$AA$331</f>
        <v>359.40632397224579</v>
      </c>
      <c r="P331" s="45"/>
      <c r="Q331" s="45"/>
      <c r="R331" s="45"/>
      <c r="S331" s="45"/>
      <c r="T331" s="45"/>
      <c r="U331" s="45"/>
      <c r="V331" s="45"/>
      <c r="W331" s="45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1.25" customHeight="1" x14ac:dyDescent="0.2">
      <c r="A332" s="41" t="s">
        <v>21</v>
      </c>
      <c r="B332" s="41" t="s">
        <v>22</v>
      </c>
      <c r="C332" s="41" t="s">
        <v>23</v>
      </c>
      <c r="D332" s="41" t="s">
        <v>24</v>
      </c>
      <c r="E332" s="41" t="s">
        <v>31</v>
      </c>
      <c r="F332" s="41" t="s">
        <v>25</v>
      </c>
      <c r="G332" s="41" t="s">
        <v>25</v>
      </c>
      <c r="H332" s="41" t="s">
        <v>25</v>
      </c>
      <c r="I332" s="60">
        <v>44378</v>
      </c>
      <c r="J332" s="61">
        <f>EFEITO!$J$332*EFEITO!$Y$272</f>
        <v>0</v>
      </c>
      <c r="K332" s="61">
        <f ca="1">EFEITO!$L$332*EFEITO!$Z$344</f>
        <v>294.0870256768647</v>
      </c>
      <c r="L332" s="61">
        <f>EFEITO!$N$332*EFEITO!$AA$344</f>
        <v>123.83831989855332</v>
      </c>
      <c r="M332" s="61">
        <f>$J$332-EFEITO!$K$332*EFEITO!$Y$332</f>
        <v>0</v>
      </c>
      <c r="N332" s="61">
        <f ca="1">$K$332-EFEITO!$M$332*EFEITO!$Z$332</f>
        <v>29.408702567686476</v>
      </c>
      <c r="O332" s="61">
        <f>$L$332-EFEITO!$O$332*EFEITO!$AA$332</f>
        <v>12.383831989855338</v>
      </c>
      <c r="P332" s="45"/>
      <c r="Q332" s="45"/>
      <c r="R332" s="45"/>
      <c r="S332" s="45"/>
      <c r="T332" s="45"/>
      <c r="U332" s="45"/>
      <c r="V332" s="45"/>
      <c r="W332" s="45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1.25" customHeight="1" x14ac:dyDescent="0.2">
      <c r="A333" s="41" t="s">
        <v>21</v>
      </c>
      <c r="B333" s="41" t="s">
        <v>22</v>
      </c>
      <c r="C333" s="41" t="s">
        <v>23</v>
      </c>
      <c r="D333" s="41" t="s">
        <v>24</v>
      </c>
      <c r="E333" s="41" t="s">
        <v>31</v>
      </c>
      <c r="F333" s="41" t="s">
        <v>25</v>
      </c>
      <c r="G333" s="41" t="s">
        <v>25</v>
      </c>
      <c r="H333" s="41" t="s">
        <v>25</v>
      </c>
      <c r="I333" s="60">
        <v>44409</v>
      </c>
      <c r="J333" s="61">
        <f>EFEITO!$J$333*EFEITO!$Y$272</f>
        <v>0</v>
      </c>
      <c r="K333" s="61">
        <f ca="1">EFEITO!$L$333*EFEITO!$Z$344</f>
        <v>449.53302496320742</v>
      </c>
      <c r="L333" s="61">
        <f>EFEITO!$N$333*EFEITO!$AA$344</f>
        <v>189.2957175592172</v>
      </c>
      <c r="M333" s="61">
        <f>$J$333-EFEITO!$K$333*EFEITO!$Y$333</f>
        <v>0</v>
      </c>
      <c r="N333" s="61">
        <f ca="1">$K$333-EFEITO!$M$333*EFEITO!$Z$333</f>
        <v>44.953302496320759</v>
      </c>
      <c r="O333" s="61">
        <f>$L$333-EFEITO!$O$333*EFEITO!$AA$333</f>
        <v>18.9295717559217</v>
      </c>
      <c r="P333" s="45"/>
      <c r="Q333" s="45"/>
      <c r="R333" s="45"/>
      <c r="S333" s="45"/>
      <c r="T333" s="45"/>
      <c r="U333" s="45"/>
      <c r="V333" s="45"/>
      <c r="W333" s="45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1.25" customHeight="1" x14ac:dyDescent="0.2">
      <c r="A334" s="41" t="s">
        <v>21</v>
      </c>
      <c r="B334" s="41" t="s">
        <v>22</v>
      </c>
      <c r="C334" s="41" t="s">
        <v>23</v>
      </c>
      <c r="D334" s="41" t="s">
        <v>24</v>
      </c>
      <c r="E334" s="41" t="s">
        <v>31</v>
      </c>
      <c r="F334" s="41" t="s">
        <v>25</v>
      </c>
      <c r="G334" s="41" t="s">
        <v>25</v>
      </c>
      <c r="H334" s="41" t="s">
        <v>25</v>
      </c>
      <c r="I334" s="60">
        <v>44440</v>
      </c>
      <c r="J334" s="61">
        <f>EFEITO!$J$334*EFEITO!$Y$272</f>
        <v>0</v>
      </c>
      <c r="K334" s="61">
        <f ca="1">EFEITO!$L$334*EFEITO!$Z$344</f>
        <v>395.85047265711307</v>
      </c>
      <c r="L334" s="61">
        <f>EFEITO!$N$334*EFEITO!$AA$344</f>
        <v>166.69030995868764</v>
      </c>
      <c r="M334" s="61">
        <f>$J$334-EFEITO!$K$334*EFEITO!$Y$334</f>
        <v>0</v>
      </c>
      <c r="N334" s="61">
        <f ca="1">$K$334-EFEITO!$M$334*EFEITO!$Z$334</f>
        <v>39.585047265711296</v>
      </c>
      <c r="O334" s="61">
        <f>$L$334-EFEITO!$O$334*EFEITO!$AA$334</f>
        <v>16.669030995868752</v>
      </c>
      <c r="P334" s="45"/>
      <c r="Q334" s="45"/>
      <c r="R334" s="45"/>
      <c r="S334" s="45"/>
      <c r="T334" s="45"/>
      <c r="U334" s="45"/>
      <c r="V334" s="45"/>
      <c r="W334" s="45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1.25" customHeight="1" x14ac:dyDescent="0.2">
      <c r="A335" s="41" t="s">
        <v>21</v>
      </c>
      <c r="B335" s="41" t="s">
        <v>22</v>
      </c>
      <c r="C335" s="41" t="s">
        <v>23</v>
      </c>
      <c r="D335" s="41" t="s">
        <v>24</v>
      </c>
      <c r="E335" s="41" t="s">
        <v>31</v>
      </c>
      <c r="F335" s="41" t="s">
        <v>25</v>
      </c>
      <c r="G335" s="41" t="s">
        <v>25</v>
      </c>
      <c r="H335" s="41" t="s">
        <v>25</v>
      </c>
      <c r="I335" s="60">
        <v>44470</v>
      </c>
      <c r="J335" s="61">
        <f>EFEITO!$J$335*EFEITO!$Y$272</f>
        <v>0</v>
      </c>
      <c r="K335" s="61">
        <f ca="1">EFEITO!$L$335*EFEITO!$Z$344</f>
        <v>524.22179338907779</v>
      </c>
      <c r="L335" s="61">
        <f>EFEITO!$N$335*EFEITO!$AA$344</f>
        <v>220.74671943821488</v>
      </c>
      <c r="M335" s="61">
        <f>$J$335-EFEITO!$K$335*EFEITO!$Y$335</f>
        <v>0</v>
      </c>
      <c r="N335" s="61">
        <f ca="1">$K$335-EFEITO!$M$335*EFEITO!$Z$335</f>
        <v>52.422179338907767</v>
      </c>
      <c r="O335" s="61">
        <f>$L$335-EFEITO!$O$335*EFEITO!$AA$335</f>
        <v>22.074671943821471</v>
      </c>
      <c r="P335" s="45"/>
      <c r="Q335" s="45"/>
      <c r="R335" s="45"/>
      <c r="S335" s="45"/>
      <c r="T335" s="45"/>
      <c r="U335" s="45"/>
      <c r="V335" s="45"/>
      <c r="W335" s="45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1.25" customHeight="1" x14ac:dyDescent="0.2">
      <c r="A336" s="41" t="s">
        <v>21</v>
      </c>
      <c r="B336" s="41" t="s">
        <v>22</v>
      </c>
      <c r="C336" s="41" t="s">
        <v>23</v>
      </c>
      <c r="D336" s="41" t="s">
        <v>24</v>
      </c>
      <c r="E336" s="41" t="s">
        <v>31</v>
      </c>
      <c r="F336" s="41" t="s">
        <v>25</v>
      </c>
      <c r="G336" s="41" t="s">
        <v>25</v>
      </c>
      <c r="H336" s="41" t="s">
        <v>25</v>
      </c>
      <c r="I336" s="60">
        <v>44501</v>
      </c>
      <c r="J336" s="61">
        <f>EFEITO!$J$336*EFEITO!$Y$272</f>
        <v>0</v>
      </c>
      <c r="K336" s="61">
        <f ca="1">EFEITO!$L$336*EFEITO!$Z$344</f>
        <v>428.52680884343141</v>
      </c>
      <c r="L336" s="61">
        <f>EFEITO!$N$336*EFEITO!$AA$344</f>
        <v>180.45012328074912</v>
      </c>
      <c r="M336" s="61">
        <f>$J$336-EFEITO!$K$336*EFEITO!$Y$336</f>
        <v>0</v>
      </c>
      <c r="N336" s="61">
        <f ca="1">$K$336-EFEITO!$M$336*EFEITO!$Z$336</f>
        <v>42.852680884343158</v>
      </c>
      <c r="O336" s="61">
        <f>$L$336-EFEITO!$O$336*EFEITO!$AA$336</f>
        <v>18.045012328074904</v>
      </c>
      <c r="P336" s="45"/>
      <c r="Q336" s="45"/>
      <c r="R336" s="45"/>
      <c r="S336" s="45"/>
      <c r="T336" s="45"/>
      <c r="U336" s="45"/>
      <c r="V336" s="45"/>
      <c r="W336" s="45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1.25" customHeight="1" x14ac:dyDescent="0.2">
      <c r="A337" s="41" t="s">
        <v>21</v>
      </c>
      <c r="B337" s="41" t="s">
        <v>22</v>
      </c>
      <c r="C337" s="41" t="s">
        <v>23</v>
      </c>
      <c r="D337" s="41" t="s">
        <v>24</v>
      </c>
      <c r="E337" s="41" t="s">
        <v>31</v>
      </c>
      <c r="F337" s="41" t="s">
        <v>25</v>
      </c>
      <c r="G337" s="41" t="s">
        <v>25</v>
      </c>
      <c r="H337" s="41" t="s">
        <v>25</v>
      </c>
      <c r="I337" s="60">
        <v>44531</v>
      </c>
      <c r="J337" s="61">
        <f>EFEITO!$J$337*EFEITO!$Y$272</f>
        <v>0</v>
      </c>
      <c r="K337" s="61">
        <f ca="1">EFEITO!$L$337*EFEITO!$Z$344</f>
        <v>513.01847812519725</v>
      </c>
      <c r="L337" s="61">
        <f>EFEITO!$N$337*EFEITO!$AA$344</f>
        <v>216.02906915636521</v>
      </c>
      <c r="M337" s="61">
        <f>$J$337-EFEITO!$K$337*EFEITO!$Y$337</f>
        <v>0</v>
      </c>
      <c r="N337" s="61">
        <f ca="1">$K$337-EFEITO!$M$337*EFEITO!$Z$337</f>
        <v>51.301847812519725</v>
      </c>
      <c r="O337" s="61">
        <f>$L$337-EFEITO!$O$337*EFEITO!$AA$337</f>
        <v>21.60290691563651</v>
      </c>
      <c r="P337" s="45"/>
      <c r="Q337" s="45"/>
      <c r="R337" s="45"/>
      <c r="S337" s="45"/>
      <c r="T337" s="45"/>
      <c r="U337" s="45"/>
      <c r="V337" s="45"/>
      <c r="W337" s="45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1.25" customHeight="1" x14ac:dyDescent="0.2">
      <c r="A338" s="41" t="s">
        <v>21</v>
      </c>
      <c r="B338" s="41" t="s">
        <v>22</v>
      </c>
      <c r="C338" s="41" t="s">
        <v>23</v>
      </c>
      <c r="D338" s="41" t="s">
        <v>24</v>
      </c>
      <c r="E338" s="41" t="s">
        <v>31</v>
      </c>
      <c r="F338" s="41" t="s">
        <v>25</v>
      </c>
      <c r="G338" s="41" t="s">
        <v>25</v>
      </c>
      <c r="H338" s="41" t="s">
        <v>25</v>
      </c>
      <c r="I338" s="60">
        <v>44562</v>
      </c>
      <c r="J338" s="61">
        <f>EFEITO!$J$338*EFEITO!$Y$272</f>
        <v>0</v>
      </c>
      <c r="K338" s="61">
        <f ca="1">EFEITO!$L$338*EFEITO!$Z$344</f>
        <v>830.91254873780815</v>
      </c>
      <c r="L338" s="61">
        <f>EFEITO!$N$338*EFEITO!$AA$344</f>
        <v>349.89239590384904</v>
      </c>
      <c r="M338" s="61">
        <f>$J$338-EFEITO!$K$338*EFEITO!$Y$338</f>
        <v>0</v>
      </c>
      <c r="N338" s="61">
        <f ca="1">$K$338-EFEITO!$M$338*EFEITO!$Z$338</f>
        <v>83.091254873780827</v>
      </c>
      <c r="O338" s="61">
        <f>$L$338-EFEITO!$O$338*EFEITO!$AA$338</f>
        <v>34.989239590384898</v>
      </c>
      <c r="P338" s="45"/>
      <c r="Q338" s="45"/>
      <c r="R338" s="45"/>
      <c r="S338" s="45"/>
      <c r="T338" s="45"/>
      <c r="U338" s="45"/>
      <c r="V338" s="45"/>
      <c r="W338" s="45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1.25" customHeight="1" x14ac:dyDescent="0.2">
      <c r="A339" s="41" t="s">
        <v>21</v>
      </c>
      <c r="B339" s="41" t="s">
        <v>22</v>
      </c>
      <c r="C339" s="41" t="s">
        <v>23</v>
      </c>
      <c r="D339" s="41" t="s">
        <v>24</v>
      </c>
      <c r="E339" s="41" t="s">
        <v>31</v>
      </c>
      <c r="F339" s="41" t="s">
        <v>25</v>
      </c>
      <c r="G339" s="41" t="s">
        <v>25</v>
      </c>
      <c r="H339" s="41" t="s">
        <v>25</v>
      </c>
      <c r="I339" s="60">
        <v>44593</v>
      </c>
      <c r="J339" s="61">
        <f>EFEITO!$J$339*EFEITO!$Y$272</f>
        <v>0</v>
      </c>
      <c r="K339" s="61">
        <f ca="1">EFEITO!$L$339*EFEITO!$Z$344</f>
        <v>3261.0983513945662</v>
      </c>
      <c r="L339" s="61">
        <f>EFEITO!$N$339*EFEITO!$AA$344</f>
        <v>1373.2293695417357</v>
      </c>
      <c r="M339" s="61">
        <f>$J$339-EFEITO!$K$339*EFEITO!$Y$339</f>
        <v>0</v>
      </c>
      <c r="N339" s="61">
        <f ca="1">$K$339-EFEITO!$M$339*EFEITO!$Z$339</f>
        <v>326.10983513945712</v>
      </c>
      <c r="O339" s="61">
        <f>$L$339-EFEITO!$O$339*EFEITO!$AA$339</f>
        <v>137.32293695417366</v>
      </c>
      <c r="P339" s="45"/>
      <c r="Q339" s="45"/>
      <c r="R339" s="45"/>
      <c r="S339" s="45"/>
      <c r="T339" s="45"/>
      <c r="U339" s="45"/>
      <c r="V339" s="45"/>
      <c r="W339" s="45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1.25" customHeight="1" x14ac:dyDescent="0.2">
      <c r="A340" s="41" t="s">
        <v>21</v>
      </c>
      <c r="B340" s="41" t="s">
        <v>22</v>
      </c>
      <c r="C340" s="41" t="s">
        <v>23</v>
      </c>
      <c r="D340" s="41" t="s">
        <v>24</v>
      </c>
      <c r="E340" s="41" t="s">
        <v>31</v>
      </c>
      <c r="F340" s="41" t="s">
        <v>25</v>
      </c>
      <c r="G340" s="41" t="s">
        <v>25</v>
      </c>
      <c r="H340" s="41" t="s">
        <v>25</v>
      </c>
      <c r="I340" s="60">
        <v>44621</v>
      </c>
      <c r="J340" s="61">
        <f>EFEITO!$J$340*EFEITO!$Y$272</f>
        <v>0</v>
      </c>
      <c r="K340" s="61">
        <f ca="1">EFEITO!$L$340*EFEITO!$Z$344</f>
        <v>4393.0999978491636</v>
      </c>
      <c r="L340" s="61">
        <f>EFEITO!$N$340*EFEITO!$AA$344</f>
        <v>1849.908616770294</v>
      </c>
      <c r="M340" s="61">
        <f>$J$340-EFEITO!$K$340*EFEITO!$Y$340</f>
        <v>0</v>
      </c>
      <c r="N340" s="61">
        <f ca="1">$K$340-EFEITO!$M$340*EFEITO!$Z$340</f>
        <v>439.30999978491627</v>
      </c>
      <c r="O340" s="61">
        <f>$L$340-EFEITO!$O$340*EFEITO!$AA$340</f>
        <v>184.99086167702944</v>
      </c>
      <c r="P340" s="45"/>
      <c r="Q340" s="45"/>
      <c r="R340" s="45"/>
      <c r="S340" s="45"/>
      <c r="T340" s="45"/>
      <c r="U340" s="45"/>
      <c r="V340" s="45"/>
      <c r="W340" s="45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1.25" customHeight="1" x14ac:dyDescent="0.2">
      <c r="A341" s="41" t="s">
        <v>21</v>
      </c>
      <c r="B341" s="41" t="s">
        <v>22</v>
      </c>
      <c r="C341" s="41" t="s">
        <v>23</v>
      </c>
      <c r="D341" s="41" t="s">
        <v>24</v>
      </c>
      <c r="E341" s="41" t="s">
        <v>31</v>
      </c>
      <c r="F341" s="41" t="s">
        <v>25</v>
      </c>
      <c r="G341" s="41" t="s">
        <v>25</v>
      </c>
      <c r="H341" s="41" t="s">
        <v>25</v>
      </c>
      <c r="I341" s="60">
        <v>44652</v>
      </c>
      <c r="J341" s="61">
        <f>EFEITO!$J$341*EFEITO!$Y$272</f>
        <v>0</v>
      </c>
      <c r="K341" s="61">
        <f ca="1">EFEITO!$L$341*EFEITO!$Z$344</f>
        <v>4525.6725618050841</v>
      </c>
      <c r="L341" s="61">
        <f>EFEITO!$N$341*EFEITO!$AA$344</f>
        <v>1905.7341451055149</v>
      </c>
      <c r="M341" s="61">
        <f>$J$341-EFEITO!$K$341*EFEITO!$Y$341</f>
        <v>0</v>
      </c>
      <c r="N341" s="61">
        <f ca="1">$K$341-EFEITO!$M$341*EFEITO!$Z$341</f>
        <v>452.56725618050859</v>
      </c>
      <c r="O341" s="61">
        <f>$L$341-EFEITO!$O$341*EFEITO!$AA$341</f>
        <v>190.5734145105514</v>
      </c>
      <c r="P341" s="45"/>
      <c r="Q341" s="45"/>
      <c r="R341" s="45"/>
      <c r="S341" s="45"/>
      <c r="T341" s="45"/>
      <c r="U341" s="45"/>
      <c r="V341" s="45"/>
      <c r="W341" s="45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1.25" customHeight="1" x14ac:dyDescent="0.2">
      <c r="A342" s="41" t="s">
        <v>21</v>
      </c>
      <c r="B342" s="41" t="s">
        <v>22</v>
      </c>
      <c r="C342" s="41" t="s">
        <v>23</v>
      </c>
      <c r="D342" s="41" t="s">
        <v>24</v>
      </c>
      <c r="E342" s="41" t="s">
        <v>31</v>
      </c>
      <c r="F342" s="41" t="s">
        <v>25</v>
      </c>
      <c r="G342" s="41" t="s">
        <v>25</v>
      </c>
      <c r="H342" s="41" t="s">
        <v>25</v>
      </c>
      <c r="I342" s="60">
        <v>44682</v>
      </c>
      <c r="J342" s="61">
        <f>EFEITO!$J$342*EFEITO!$Y$272</f>
        <v>0</v>
      </c>
      <c r="K342" s="61">
        <f ca="1">EFEITO!$L$342*EFEITO!$Z$344</f>
        <v>1205.2900004724834</v>
      </c>
      <c r="L342" s="61">
        <f>EFEITO!$N$342*EFEITO!$AA$344</f>
        <v>507.54054282232482</v>
      </c>
      <c r="M342" s="61">
        <f>$J$342-EFEITO!$K$342*EFEITO!$Y$342</f>
        <v>0</v>
      </c>
      <c r="N342" s="61">
        <f ca="1">$K$342-EFEITO!$M$342*EFEITO!$Z$342</f>
        <v>120.52900004724825</v>
      </c>
      <c r="O342" s="61">
        <f>$L$342-EFEITO!$O$342*EFEITO!$AA$342</f>
        <v>50.75405428223246</v>
      </c>
      <c r="P342" s="45"/>
      <c r="Q342" s="45"/>
      <c r="R342" s="45"/>
      <c r="S342" s="45"/>
      <c r="T342" s="45"/>
      <c r="U342" s="45"/>
      <c r="V342" s="45"/>
      <c r="W342" s="45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1.25" customHeight="1" x14ac:dyDescent="0.2">
      <c r="A343" s="41" t="s">
        <v>21</v>
      </c>
      <c r="B343" s="41" t="s">
        <v>22</v>
      </c>
      <c r="C343" s="41" t="s">
        <v>23</v>
      </c>
      <c r="D343" s="41" t="s">
        <v>24</v>
      </c>
      <c r="E343" s="41" t="s">
        <v>31</v>
      </c>
      <c r="F343" s="41" t="s">
        <v>25</v>
      </c>
      <c r="G343" s="41" t="s">
        <v>25</v>
      </c>
      <c r="H343" s="41" t="s">
        <v>25</v>
      </c>
      <c r="I343" s="60">
        <v>44713</v>
      </c>
      <c r="J343" s="61">
        <f>EFEITO!$J$343*EFEITO!$Y$272</f>
        <v>0</v>
      </c>
      <c r="K343" s="61">
        <f ca="1">EFEITO!$L$343*EFEITO!$Z$344</f>
        <v>1435.8915729873584</v>
      </c>
      <c r="L343" s="61">
        <f>EFEITO!$N$343*EFEITO!$AA$344</f>
        <v>604.64551112373022</v>
      </c>
      <c r="M343" s="61">
        <f>$J$343-EFEITO!$K$343*EFEITO!$Y$343</f>
        <v>0</v>
      </c>
      <c r="N343" s="61">
        <f ca="1">$K$343-EFEITO!$M$343*EFEITO!$Z$343</f>
        <v>143.58915729873593</v>
      </c>
      <c r="O343" s="61">
        <f>$L$343-EFEITO!$O$343*EFEITO!$AA$343</f>
        <v>60.464551112373101</v>
      </c>
      <c r="P343" s="45"/>
      <c r="Q343" s="45"/>
      <c r="R343" s="45"/>
      <c r="S343" s="45"/>
      <c r="T343" s="45"/>
      <c r="U343" s="45"/>
      <c r="V343" s="45"/>
      <c r="W343" s="45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1.25" customHeight="1" x14ac:dyDescent="0.2">
      <c r="A344" s="41" t="s">
        <v>21</v>
      </c>
      <c r="B344" s="41" t="s">
        <v>22</v>
      </c>
      <c r="C344" s="41" t="s">
        <v>23</v>
      </c>
      <c r="D344" s="41" t="s">
        <v>24</v>
      </c>
      <c r="E344" s="41" t="s">
        <v>32</v>
      </c>
      <c r="F344" s="41" t="s">
        <v>25</v>
      </c>
      <c r="G344" s="41" t="s">
        <v>25</v>
      </c>
      <c r="H344" s="41" t="s">
        <v>25</v>
      </c>
      <c r="I344" s="60">
        <v>44378</v>
      </c>
      <c r="J344" s="61">
        <f>EFEITO!$J$344*EFEITO!$Y$272</f>
        <v>0</v>
      </c>
      <c r="K344" s="61">
        <f ca="1">EFEITO!$L$344*EFEITO!$Z$344</f>
        <v>71.421134807238559</v>
      </c>
      <c r="L344" s="61">
        <f>EFEITO!$N$344*EFEITO!$AA$344</f>
        <v>30.075020546791517</v>
      </c>
      <c r="M344" s="61">
        <f>$J$344-EFEITO!$K$344*EFEITO!$Y$344</f>
        <v>0</v>
      </c>
      <c r="N344" s="61">
        <f ca="1">$K$344-EFEITO!$M$344*EFEITO!$Z$344</f>
        <v>0</v>
      </c>
      <c r="O344" s="61">
        <f>$L$344-EFEITO!$O$344*EFEITO!$AA$344</f>
        <v>0</v>
      </c>
      <c r="P344" s="45"/>
      <c r="Q344" s="45"/>
      <c r="R344" s="45"/>
      <c r="S344" s="45"/>
      <c r="T344" s="45"/>
      <c r="U344" s="45"/>
      <c r="V344" s="45"/>
      <c r="W344" s="45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1.25" customHeight="1" x14ac:dyDescent="0.2">
      <c r="A345" s="41" t="s">
        <v>21</v>
      </c>
      <c r="B345" s="41" t="s">
        <v>22</v>
      </c>
      <c r="C345" s="41" t="s">
        <v>23</v>
      </c>
      <c r="D345" s="41" t="s">
        <v>24</v>
      </c>
      <c r="E345" s="41" t="s">
        <v>32</v>
      </c>
      <c r="F345" s="41" t="s">
        <v>25</v>
      </c>
      <c r="G345" s="41" t="s">
        <v>25</v>
      </c>
      <c r="H345" s="41" t="s">
        <v>25</v>
      </c>
      <c r="I345" s="60">
        <v>44409</v>
      </c>
      <c r="J345" s="61">
        <f>EFEITO!$J$345*EFEITO!$Y$272</f>
        <v>0</v>
      </c>
      <c r="K345" s="61">
        <f ca="1">EFEITO!$L$345*EFEITO!$Z$344</f>
        <v>301.55590251945171</v>
      </c>
      <c r="L345" s="61">
        <f>EFEITO!$N$345*EFEITO!$AA$344</f>
        <v>126.98342008645308</v>
      </c>
      <c r="M345" s="61">
        <f>$J$345-EFEITO!$K$345*EFEITO!$Y$345</f>
        <v>0</v>
      </c>
      <c r="N345" s="61">
        <f ca="1">$K$345-EFEITO!$M$345*EFEITO!$Z$345</f>
        <v>0</v>
      </c>
      <c r="O345" s="61">
        <f>$L$345-EFEITO!$O$345*EFEITO!$AA$345</f>
        <v>0</v>
      </c>
      <c r="P345" s="45"/>
      <c r="Q345" s="45"/>
      <c r="R345" s="45"/>
      <c r="S345" s="45"/>
      <c r="T345" s="45"/>
      <c r="U345" s="45"/>
      <c r="V345" s="45"/>
      <c r="W345" s="45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1.25" customHeight="1" x14ac:dyDescent="0.2">
      <c r="A346" s="41" t="s">
        <v>21</v>
      </c>
      <c r="B346" s="41" t="s">
        <v>22</v>
      </c>
      <c r="C346" s="41" t="s">
        <v>23</v>
      </c>
      <c r="D346" s="41" t="s">
        <v>24</v>
      </c>
      <c r="E346" s="41" t="s">
        <v>32</v>
      </c>
      <c r="F346" s="41" t="s">
        <v>25</v>
      </c>
      <c r="G346" s="41" t="s">
        <v>25</v>
      </c>
      <c r="H346" s="41" t="s">
        <v>25</v>
      </c>
      <c r="I346" s="60">
        <v>44440</v>
      </c>
      <c r="J346" s="61">
        <f>EFEITO!$J$346*EFEITO!$Y$272</f>
        <v>0</v>
      </c>
      <c r="K346" s="61">
        <f ca="1">EFEITO!$L$346*EFEITO!$Z$344</f>
        <v>103.16386138823349</v>
      </c>
      <c r="L346" s="61">
        <f>EFEITO!$N$346*EFEITO!$AA$344</f>
        <v>43.441696345365528</v>
      </c>
      <c r="M346" s="61">
        <f>$J$346-EFEITO!$K$346*EFEITO!$Y$346</f>
        <v>0</v>
      </c>
      <c r="N346" s="61">
        <f ca="1">$K$346-EFEITO!$M$346*EFEITO!$Z$346</f>
        <v>0</v>
      </c>
      <c r="O346" s="61">
        <f>$L$346-EFEITO!$O$346*EFEITO!$AA$346</f>
        <v>0</v>
      </c>
      <c r="P346" s="45"/>
      <c r="Q346" s="45"/>
      <c r="R346" s="45"/>
      <c r="S346" s="45"/>
      <c r="T346" s="45"/>
      <c r="U346" s="45"/>
      <c r="V346" s="45"/>
      <c r="W346" s="45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1.25" customHeight="1" x14ac:dyDescent="0.2">
      <c r="A347" s="41" t="s">
        <v>21</v>
      </c>
      <c r="B347" s="41" t="s">
        <v>22</v>
      </c>
      <c r="C347" s="41" t="s">
        <v>23</v>
      </c>
      <c r="D347" s="41" t="s">
        <v>24</v>
      </c>
      <c r="E347" s="41" t="s">
        <v>32</v>
      </c>
      <c r="F347" s="41" t="s">
        <v>25</v>
      </c>
      <c r="G347" s="41" t="s">
        <v>25</v>
      </c>
      <c r="H347" s="41" t="s">
        <v>25</v>
      </c>
      <c r="I347" s="60">
        <v>44470</v>
      </c>
      <c r="J347" s="61">
        <f>EFEITO!$J$347*EFEITO!$Y$272</f>
        <v>0</v>
      </c>
      <c r="K347" s="61">
        <f ca="1">EFEITO!$L$347*EFEITO!$Z$344</f>
        <v>178.31943461676556</v>
      </c>
      <c r="L347" s="61">
        <f>EFEITO!$N$347*EFEITO!$AA$344</f>
        <v>75.089266986106935</v>
      </c>
      <c r="M347" s="61">
        <f>$J$347-EFEITO!$K$347*EFEITO!$Y$347</f>
        <v>0</v>
      </c>
      <c r="N347" s="61">
        <f ca="1">$K$347-EFEITO!$M$347*EFEITO!$Z$347</f>
        <v>0</v>
      </c>
      <c r="O347" s="61">
        <f>$L$347-EFEITO!$O$347*EFEITO!$AA$347</f>
        <v>0</v>
      </c>
      <c r="P347" s="45"/>
      <c r="Q347" s="45"/>
      <c r="R347" s="45"/>
      <c r="S347" s="45"/>
      <c r="T347" s="45"/>
      <c r="U347" s="45"/>
      <c r="V347" s="45"/>
      <c r="W347" s="45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1.25" customHeight="1" x14ac:dyDescent="0.2">
      <c r="A348" s="41" t="s">
        <v>21</v>
      </c>
      <c r="B348" s="41" t="s">
        <v>22</v>
      </c>
      <c r="C348" s="41" t="s">
        <v>23</v>
      </c>
      <c r="D348" s="41" t="s">
        <v>24</v>
      </c>
      <c r="E348" s="41" t="s">
        <v>32</v>
      </c>
      <c r="F348" s="41" t="s">
        <v>25</v>
      </c>
      <c r="G348" s="41" t="s">
        <v>25</v>
      </c>
      <c r="H348" s="41" t="s">
        <v>25</v>
      </c>
      <c r="I348" s="60">
        <v>44501</v>
      </c>
      <c r="J348" s="61">
        <f>EFEITO!$J$348*EFEITO!$Y$272</f>
        <v>0</v>
      </c>
      <c r="K348" s="61">
        <f ca="1">EFEITO!$L$348*EFEITO!$Z$344</f>
        <v>84.958474084427564</v>
      </c>
      <c r="L348" s="61">
        <f>EFEITO!$N$348*EFEITO!$AA$344</f>
        <v>35.775514637359848</v>
      </c>
      <c r="M348" s="61">
        <f>$J$348-EFEITO!$K$348*EFEITO!$Y$348</f>
        <v>0</v>
      </c>
      <c r="N348" s="61">
        <f ca="1">$K$348-EFEITO!$M$348*EFEITO!$Z$348</f>
        <v>0</v>
      </c>
      <c r="O348" s="61">
        <f>$L$348-EFEITO!$O$348*EFEITO!$AA$348</f>
        <v>0</v>
      </c>
      <c r="P348" s="45"/>
      <c r="Q348" s="45"/>
      <c r="R348" s="45"/>
      <c r="S348" s="45"/>
      <c r="T348" s="45"/>
      <c r="U348" s="45"/>
      <c r="V348" s="45"/>
      <c r="W348" s="45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1.25" customHeight="1" x14ac:dyDescent="0.2">
      <c r="A349" s="41" t="s">
        <v>21</v>
      </c>
      <c r="B349" s="41" t="s">
        <v>22</v>
      </c>
      <c r="C349" s="41" t="s">
        <v>23</v>
      </c>
      <c r="D349" s="41" t="s">
        <v>24</v>
      </c>
      <c r="E349" s="41" t="s">
        <v>32</v>
      </c>
      <c r="F349" s="41" t="s">
        <v>25</v>
      </c>
      <c r="G349" s="41" t="s">
        <v>25</v>
      </c>
      <c r="H349" s="41" t="s">
        <v>25</v>
      </c>
      <c r="I349" s="60">
        <v>44531</v>
      </c>
      <c r="J349" s="61">
        <f>EFEITO!$J$349*EFEITO!$Y$272</f>
        <v>0</v>
      </c>
      <c r="K349" s="61">
        <f ca="1">EFEITO!$L$349*EFEITO!$Z$344</f>
        <v>113.90037184945234</v>
      </c>
      <c r="L349" s="61">
        <f>EFEITO!$N$349*EFEITO!$AA$344</f>
        <v>47.962777865471445</v>
      </c>
      <c r="M349" s="61">
        <f>$J$349-EFEITO!$K$349*EFEITO!$Y$349</f>
        <v>0</v>
      </c>
      <c r="N349" s="61">
        <f ca="1">$K$349-EFEITO!$M$349*EFEITO!$Z$349</f>
        <v>0</v>
      </c>
      <c r="O349" s="61">
        <f>$L$349-EFEITO!$O$349*EFEITO!$AA$349</f>
        <v>0</v>
      </c>
      <c r="P349" s="45"/>
      <c r="Q349" s="45"/>
      <c r="R349" s="45"/>
      <c r="S349" s="45"/>
      <c r="T349" s="45"/>
      <c r="U349" s="45"/>
      <c r="V349" s="45"/>
      <c r="W349" s="45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1.25" customHeight="1" x14ac:dyDescent="0.2">
      <c r="A350" s="41" t="s">
        <v>21</v>
      </c>
      <c r="B350" s="41" t="s">
        <v>22</v>
      </c>
      <c r="C350" s="41" t="s">
        <v>23</v>
      </c>
      <c r="D350" s="41" t="s">
        <v>24</v>
      </c>
      <c r="E350" s="41" t="s">
        <v>32</v>
      </c>
      <c r="F350" s="41" t="s">
        <v>25</v>
      </c>
      <c r="G350" s="41" t="s">
        <v>25</v>
      </c>
      <c r="H350" s="41" t="s">
        <v>25</v>
      </c>
      <c r="I350" s="60">
        <v>44562</v>
      </c>
      <c r="J350" s="61">
        <f>EFEITO!$J$350*EFEITO!$Y$272</f>
        <v>0</v>
      </c>
      <c r="K350" s="61">
        <f ca="1">EFEITO!$L$350*EFEITO!$Z$344</f>
        <v>140.97505040383035</v>
      </c>
      <c r="L350" s="61">
        <f>EFEITO!$N$350*EFEITO!$AA$344</f>
        <v>59.363766046608099</v>
      </c>
      <c r="M350" s="61">
        <f>$J$350-EFEITO!$K$350*EFEITO!$Y$350</f>
        <v>0</v>
      </c>
      <c r="N350" s="61">
        <f ca="1">$K$350-EFEITO!$M$350*EFEITO!$Z$350</f>
        <v>0</v>
      </c>
      <c r="O350" s="61">
        <f>$L$350-EFEITO!$O$350*EFEITO!$AA$350</f>
        <v>0</v>
      </c>
      <c r="P350" s="45"/>
      <c r="Q350" s="45"/>
      <c r="R350" s="45"/>
      <c r="S350" s="45"/>
      <c r="T350" s="45"/>
      <c r="U350" s="45"/>
      <c r="V350" s="45"/>
      <c r="W350" s="45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1.25" customHeight="1" x14ac:dyDescent="0.2">
      <c r="A351" s="41" t="s">
        <v>21</v>
      </c>
      <c r="B351" s="41" t="s">
        <v>22</v>
      </c>
      <c r="C351" s="41" t="s">
        <v>23</v>
      </c>
      <c r="D351" s="41" t="s">
        <v>24</v>
      </c>
      <c r="E351" s="41" t="s">
        <v>32</v>
      </c>
      <c r="F351" s="41" t="s">
        <v>25</v>
      </c>
      <c r="G351" s="41" t="s">
        <v>25</v>
      </c>
      <c r="H351" s="41" t="s">
        <v>25</v>
      </c>
      <c r="I351" s="60">
        <v>44593</v>
      </c>
      <c r="J351" s="61">
        <f>EFEITO!$J$351*EFEITO!$Y$272</f>
        <v>0</v>
      </c>
      <c r="K351" s="61">
        <f ca="1">EFEITO!$L$351*EFEITO!$Z$344</f>
        <v>682.46862149139076</v>
      </c>
      <c r="L351" s="61">
        <f>EFEITO!$N$351*EFEITO!$AA$344</f>
        <v>287.38352966934116</v>
      </c>
      <c r="M351" s="61">
        <f>$J$351-EFEITO!$K$351*EFEITO!$Y$351</f>
        <v>0</v>
      </c>
      <c r="N351" s="61">
        <f ca="1">$K$351-EFEITO!$M$351*EFEITO!$Z$351</f>
        <v>0</v>
      </c>
      <c r="O351" s="61">
        <f>$L$351-EFEITO!$O$351*EFEITO!$AA$351</f>
        <v>0</v>
      </c>
      <c r="P351" s="45"/>
      <c r="Q351" s="45"/>
      <c r="R351" s="45"/>
      <c r="S351" s="45"/>
      <c r="T351" s="45"/>
      <c r="U351" s="45"/>
      <c r="V351" s="45"/>
      <c r="W351" s="45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1.25" customHeight="1" x14ac:dyDescent="0.2">
      <c r="A352" s="41" t="s">
        <v>21</v>
      </c>
      <c r="B352" s="41" t="s">
        <v>22</v>
      </c>
      <c r="C352" s="41" t="s">
        <v>23</v>
      </c>
      <c r="D352" s="41" t="s">
        <v>24</v>
      </c>
      <c r="E352" s="41" t="s">
        <v>32</v>
      </c>
      <c r="F352" s="41" t="s">
        <v>25</v>
      </c>
      <c r="G352" s="41" t="s">
        <v>25</v>
      </c>
      <c r="H352" s="41" t="s">
        <v>25</v>
      </c>
      <c r="I352" s="60">
        <v>44621</v>
      </c>
      <c r="J352" s="61">
        <f>EFEITO!$J$352*EFEITO!$Y$272</f>
        <v>0</v>
      </c>
      <c r="K352" s="61">
        <f ca="1">EFEITO!$L$352*EFEITO!$Z$344</f>
        <v>768.36070518114161</v>
      </c>
      <c r="L352" s="61">
        <f>EFEITO!$N$352*EFEITO!$AA$344</f>
        <v>323.55218183018849</v>
      </c>
      <c r="M352" s="61">
        <f>$J$352-EFEITO!$K$352*EFEITO!$Y$352</f>
        <v>0</v>
      </c>
      <c r="N352" s="61">
        <f ca="1">$K$352-EFEITO!$M$352*EFEITO!$Z$352</f>
        <v>0</v>
      </c>
      <c r="O352" s="61">
        <f>$L$352-EFEITO!$O$352*EFEITO!$AA$352</f>
        <v>0</v>
      </c>
      <c r="P352" s="45"/>
      <c r="Q352" s="45"/>
      <c r="R352" s="45"/>
      <c r="S352" s="45"/>
      <c r="T352" s="45"/>
      <c r="U352" s="45"/>
      <c r="V352" s="45"/>
      <c r="W352" s="45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1.25" customHeight="1" x14ac:dyDescent="0.2">
      <c r="A353" s="41" t="s">
        <v>21</v>
      </c>
      <c r="B353" s="41" t="s">
        <v>22</v>
      </c>
      <c r="C353" s="41" t="s">
        <v>23</v>
      </c>
      <c r="D353" s="41" t="s">
        <v>24</v>
      </c>
      <c r="E353" s="41" t="s">
        <v>32</v>
      </c>
      <c r="F353" s="41" t="s">
        <v>25</v>
      </c>
      <c r="G353" s="41" t="s">
        <v>25</v>
      </c>
      <c r="H353" s="41" t="s">
        <v>25</v>
      </c>
      <c r="I353" s="60">
        <v>44652</v>
      </c>
      <c r="J353" s="61">
        <f>EFEITO!$J$353*EFEITO!$Y$272</f>
        <v>0</v>
      </c>
      <c r="K353" s="61">
        <f ca="1">EFEITO!$L$353*EFEITO!$Z$344</f>
        <v>1242.1675798827571</v>
      </c>
      <c r="L353" s="61">
        <f>EFEITO!$N$353*EFEITO!$AA$344</f>
        <v>523.06947500007993</v>
      </c>
      <c r="M353" s="61">
        <f>$J$353-EFEITO!$K$353*EFEITO!$Y$353</f>
        <v>0</v>
      </c>
      <c r="N353" s="61">
        <f ca="1">$K$353-EFEITO!$M$353*EFEITO!$Z$353</f>
        <v>0</v>
      </c>
      <c r="O353" s="61">
        <f>$L$353-EFEITO!$O$353*EFEITO!$AA$353</f>
        <v>0</v>
      </c>
      <c r="P353" s="45"/>
      <c r="Q353" s="45"/>
      <c r="R353" s="45"/>
      <c r="S353" s="45"/>
      <c r="T353" s="45"/>
      <c r="U353" s="45"/>
      <c r="V353" s="45"/>
      <c r="W353" s="45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1.25" customHeight="1" x14ac:dyDescent="0.2">
      <c r="A354" s="41" t="s">
        <v>21</v>
      </c>
      <c r="B354" s="41" t="s">
        <v>22</v>
      </c>
      <c r="C354" s="41" t="s">
        <v>23</v>
      </c>
      <c r="D354" s="41" t="s">
        <v>24</v>
      </c>
      <c r="E354" s="41" t="s">
        <v>32</v>
      </c>
      <c r="F354" s="41" t="s">
        <v>25</v>
      </c>
      <c r="G354" s="41" t="s">
        <v>25</v>
      </c>
      <c r="H354" s="41" t="s">
        <v>25</v>
      </c>
      <c r="I354" s="60">
        <v>44682</v>
      </c>
      <c r="J354" s="61">
        <f>EFEITO!$J$354*EFEITO!$Y$272</f>
        <v>0</v>
      </c>
      <c r="K354" s="61">
        <f ca="1">EFEITO!$L$354*EFEITO!$Z$344</f>
        <v>399.11810627574494</v>
      </c>
      <c r="L354" s="61">
        <f>EFEITO!$N$354*EFEITO!$AA$344</f>
        <v>168.06629129089379</v>
      </c>
      <c r="M354" s="61">
        <f>$J$354-EFEITO!$K$354*EFEITO!$Y$354</f>
        <v>0</v>
      </c>
      <c r="N354" s="61">
        <f ca="1">$K$354-EFEITO!$M$354*EFEITO!$Z$354</f>
        <v>0</v>
      </c>
      <c r="O354" s="61">
        <f>$L$354-EFEITO!$O$354*EFEITO!$AA$354</f>
        <v>0</v>
      </c>
      <c r="P354" s="45"/>
      <c r="Q354" s="45"/>
      <c r="R354" s="45"/>
      <c r="S354" s="45"/>
      <c r="T354" s="45"/>
      <c r="U354" s="45"/>
      <c r="V354" s="45"/>
      <c r="W354" s="45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1.25" customHeight="1" x14ac:dyDescent="0.2">
      <c r="A355" s="41" t="s">
        <v>21</v>
      </c>
      <c r="B355" s="41" t="s">
        <v>22</v>
      </c>
      <c r="C355" s="41" t="s">
        <v>23</v>
      </c>
      <c r="D355" s="41" t="s">
        <v>24</v>
      </c>
      <c r="E355" s="41" t="s">
        <v>32</v>
      </c>
      <c r="F355" s="41" t="s">
        <v>25</v>
      </c>
      <c r="G355" s="41" t="s">
        <v>25</v>
      </c>
      <c r="H355" s="41" t="s">
        <v>25</v>
      </c>
      <c r="I355" s="60">
        <v>44713</v>
      </c>
      <c r="J355" s="61">
        <f>EFEITO!$J$355*EFEITO!$Y$272</f>
        <v>0</v>
      </c>
      <c r="K355" s="61">
        <f ca="1">EFEITO!$L$355*EFEITO!$Z$344</f>
        <v>616.64914431609236</v>
      </c>
      <c r="L355" s="61">
        <f>EFEITO!$N$355*EFEITO!$AA$344</f>
        <v>259.66733426347446</v>
      </c>
      <c r="M355" s="61">
        <f>$J$355-EFEITO!$K$355*EFEITO!$Y$355</f>
        <v>0</v>
      </c>
      <c r="N355" s="61">
        <f ca="1">$K$355-EFEITO!$M$355*EFEITO!$Z$355</f>
        <v>0</v>
      </c>
      <c r="O355" s="61">
        <f>$L$355-EFEITO!$O$355*EFEITO!$AA$355</f>
        <v>0</v>
      </c>
      <c r="P355" s="45"/>
      <c r="Q355" s="45"/>
      <c r="R355" s="45"/>
      <c r="S355" s="45"/>
      <c r="T355" s="45"/>
      <c r="U355" s="45"/>
      <c r="V355" s="45"/>
      <c r="W355" s="45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1.25" customHeight="1" x14ac:dyDescent="0.2">
      <c r="A356" s="41" t="s">
        <v>21</v>
      </c>
      <c r="B356" s="41" t="s">
        <v>41</v>
      </c>
      <c r="C356" s="41" t="s">
        <v>23</v>
      </c>
      <c r="D356" s="41" t="s">
        <v>42</v>
      </c>
      <c r="E356" s="41" t="s">
        <v>49</v>
      </c>
      <c r="F356" s="41" t="s">
        <v>50</v>
      </c>
      <c r="G356" s="41" t="s">
        <v>25</v>
      </c>
      <c r="H356" s="41" t="s">
        <v>25</v>
      </c>
      <c r="I356" s="60">
        <v>44378</v>
      </c>
      <c r="J356" s="61">
        <f>EFEITO!$J$356*EFEITO!$Y$272</f>
        <v>0</v>
      </c>
      <c r="K356" s="61">
        <f ca="1">EFEITO!$L$356*EFEITO!$Z$272</f>
        <v>1249.1020625351855</v>
      </c>
      <c r="L356" s="61">
        <f>EFEITO!$N$356*EFEITO!$AA$272</f>
        <v>430.09245069529311</v>
      </c>
      <c r="M356" s="61">
        <f>$J$356-EFEITO!$K$356*EFEITO!$Y$356</f>
        <v>0</v>
      </c>
      <c r="N356" s="61">
        <f ca="1">$K$356-EFEITO!$M$356*EFEITO!$Z$356</f>
        <v>74.946123752111134</v>
      </c>
      <c r="O356" s="61">
        <f>$L$356-EFEITO!$O$356*EFEITO!$AA$356</f>
        <v>25.805547041717546</v>
      </c>
      <c r="P356" s="45"/>
      <c r="Q356" s="45"/>
      <c r="R356" s="45"/>
      <c r="S356" s="45"/>
      <c r="T356" s="45"/>
      <c r="U356" s="45"/>
      <c r="V356" s="45"/>
      <c r="W356" s="45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1.25" customHeight="1" x14ac:dyDescent="0.2">
      <c r="A357" s="41" t="s">
        <v>28</v>
      </c>
      <c r="B357" s="41" t="s">
        <v>41</v>
      </c>
      <c r="C357" s="41" t="s">
        <v>23</v>
      </c>
      <c r="D357" s="41" t="s">
        <v>42</v>
      </c>
      <c r="E357" s="41" t="s">
        <v>49</v>
      </c>
      <c r="F357" s="41" t="s">
        <v>50</v>
      </c>
      <c r="G357" s="41" t="s">
        <v>25</v>
      </c>
      <c r="H357" s="41" t="s">
        <v>25</v>
      </c>
      <c r="I357" s="60">
        <v>44378</v>
      </c>
      <c r="J357" s="61">
        <f>EFEITO!$J$357*EFEITO!$Y$272</f>
        <v>0</v>
      </c>
      <c r="K357" s="61">
        <f ca="1">EFEITO!$L$357*EFEITO!$Z$272</f>
        <v>114.17751942734786</v>
      </c>
      <c r="L357" s="61">
        <f>EFEITO!$N$357*EFEITO!$AA$272</f>
        <v>39.313752348747087</v>
      </c>
      <c r="M357" s="61">
        <f>$J$357-EFEITO!$K$357*EFEITO!$Y$357</f>
        <v>0</v>
      </c>
      <c r="N357" s="61">
        <f ca="1">$K$357-EFEITO!$M$357*EFEITO!$Z$357</f>
        <v>6.8506511656408833</v>
      </c>
      <c r="O357" s="61">
        <f>$L$357-EFEITO!$O$357*EFEITO!$AA$357</f>
        <v>2.3588251409248286</v>
      </c>
      <c r="P357" s="45"/>
      <c r="Q357" s="45"/>
      <c r="R357" s="45"/>
      <c r="S357" s="45"/>
      <c r="T357" s="45"/>
      <c r="U357" s="45"/>
      <c r="V357" s="45"/>
      <c r="W357" s="45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1.25" customHeight="1" x14ac:dyDescent="0.2">
      <c r="A358" s="41" t="s">
        <v>21</v>
      </c>
      <c r="B358" s="41" t="s">
        <v>41</v>
      </c>
      <c r="C358" s="41" t="s">
        <v>23</v>
      </c>
      <c r="D358" s="41" t="s">
        <v>42</v>
      </c>
      <c r="E358" s="41" t="s">
        <v>49</v>
      </c>
      <c r="F358" s="41" t="s">
        <v>50</v>
      </c>
      <c r="G358" s="41" t="s">
        <v>25</v>
      </c>
      <c r="H358" s="41" t="s">
        <v>25</v>
      </c>
      <c r="I358" s="60">
        <v>44409</v>
      </c>
      <c r="J358" s="61">
        <f>EFEITO!$J$358*EFEITO!$Y$272</f>
        <v>0</v>
      </c>
      <c r="K358" s="61">
        <f ca="1">EFEITO!$L$358*EFEITO!$Z$272</f>
        <v>2087.7359427290553</v>
      </c>
      <c r="L358" s="61">
        <f>EFEITO!$N$358*EFEITO!$AA$272</f>
        <v>718.85196169684048</v>
      </c>
      <c r="M358" s="61">
        <f>$J$358-EFEITO!$K$358*EFEITO!$Y$358</f>
        <v>0</v>
      </c>
      <c r="N358" s="61">
        <f ca="1">$K$358-EFEITO!$M$358*EFEITO!$Z$358</f>
        <v>125.2641565637432</v>
      </c>
      <c r="O358" s="61">
        <f>$L$358-EFEITO!$O$358*EFEITO!$AA$358</f>
        <v>43.131117701810467</v>
      </c>
      <c r="P358" s="45"/>
      <c r="Q358" s="45"/>
      <c r="R358" s="45"/>
      <c r="S358" s="45"/>
      <c r="T358" s="45"/>
      <c r="U358" s="45"/>
      <c r="V358" s="45"/>
      <c r="W358" s="45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1.25" customHeight="1" x14ac:dyDescent="0.2">
      <c r="A359" s="41" t="s">
        <v>21</v>
      </c>
      <c r="B359" s="41" t="s">
        <v>41</v>
      </c>
      <c r="C359" s="41" t="s">
        <v>23</v>
      </c>
      <c r="D359" s="41" t="s">
        <v>42</v>
      </c>
      <c r="E359" s="41" t="s">
        <v>49</v>
      </c>
      <c r="F359" s="41" t="s">
        <v>50</v>
      </c>
      <c r="G359" s="41" t="s">
        <v>25</v>
      </c>
      <c r="H359" s="41" t="s">
        <v>25</v>
      </c>
      <c r="I359" s="60">
        <v>44440</v>
      </c>
      <c r="J359" s="61">
        <f>EFEITO!$J$359*EFEITO!$Y$272</f>
        <v>0</v>
      </c>
      <c r="K359" s="61">
        <f ca="1">EFEITO!$L$359*EFEITO!$Z$272</f>
        <v>1907.9063496309827</v>
      </c>
      <c r="L359" s="61">
        <f>EFEITO!$N$359*EFEITO!$AA$272</f>
        <v>656.93280174756376</v>
      </c>
      <c r="M359" s="61">
        <f>$J$359-EFEITO!$K$359*EFEITO!$Y$359</f>
        <v>0</v>
      </c>
      <c r="N359" s="61">
        <f ca="1">$K$359-EFEITO!$M$359*EFEITO!$Z$359</f>
        <v>114.47438097785903</v>
      </c>
      <c r="O359" s="61">
        <f>$L$359-EFEITO!$O$359*EFEITO!$AA$359</f>
        <v>39.415968104853732</v>
      </c>
      <c r="P359" s="45"/>
      <c r="Q359" s="45"/>
      <c r="R359" s="45"/>
      <c r="S359" s="45"/>
      <c r="T359" s="45"/>
      <c r="U359" s="45"/>
      <c r="V359" s="45"/>
      <c r="W359" s="45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1.25" customHeight="1" x14ac:dyDescent="0.2">
      <c r="A360" s="41" t="s">
        <v>28</v>
      </c>
      <c r="B360" s="41" t="s">
        <v>41</v>
      </c>
      <c r="C360" s="41" t="s">
        <v>23</v>
      </c>
      <c r="D360" s="41" t="s">
        <v>42</v>
      </c>
      <c r="E360" s="41" t="s">
        <v>49</v>
      </c>
      <c r="F360" s="41" t="s">
        <v>50</v>
      </c>
      <c r="G360" s="41" t="s">
        <v>25</v>
      </c>
      <c r="H360" s="41" t="s">
        <v>25</v>
      </c>
      <c r="I360" s="60">
        <v>44440</v>
      </c>
      <c r="J360" s="61">
        <f>EFEITO!$J$360*EFEITO!$Y$272</f>
        <v>0</v>
      </c>
      <c r="K360" s="61">
        <f ca="1">EFEITO!$L$360*EFEITO!$Z$272</f>
        <v>142.72189928418481</v>
      </c>
      <c r="L360" s="61">
        <f>EFEITO!$N$360*EFEITO!$AA$272</f>
        <v>49.142190435933855</v>
      </c>
      <c r="M360" s="61">
        <f>$J$360-EFEITO!$K$360*EFEITO!$Y$360</f>
        <v>0</v>
      </c>
      <c r="N360" s="61">
        <f ca="1">$K$360-EFEITO!$M$360*EFEITO!$Z$360</f>
        <v>8.5633139570510934</v>
      </c>
      <c r="O360" s="61">
        <f>$L$360-EFEITO!$O$360*EFEITO!$AA$360</f>
        <v>2.9485314261560305</v>
      </c>
      <c r="P360" s="45"/>
      <c r="Q360" s="45"/>
      <c r="R360" s="45"/>
      <c r="S360" s="45"/>
      <c r="T360" s="45"/>
      <c r="U360" s="45"/>
      <c r="V360" s="45"/>
      <c r="W360" s="45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1.25" customHeight="1" x14ac:dyDescent="0.2">
      <c r="A361" s="41" t="s">
        <v>21</v>
      </c>
      <c r="B361" s="41" t="s">
        <v>41</v>
      </c>
      <c r="C361" s="41" t="s">
        <v>23</v>
      </c>
      <c r="D361" s="41" t="s">
        <v>42</v>
      </c>
      <c r="E361" s="41" t="s">
        <v>49</v>
      </c>
      <c r="F361" s="41" t="s">
        <v>50</v>
      </c>
      <c r="G361" s="41" t="s">
        <v>25</v>
      </c>
      <c r="H361" s="41" t="s">
        <v>25</v>
      </c>
      <c r="I361" s="60">
        <v>44470</v>
      </c>
      <c r="J361" s="61">
        <f>EFEITO!$J$361*EFEITO!$Y$272</f>
        <v>0</v>
      </c>
      <c r="K361" s="61">
        <f ca="1">EFEITO!$L$361*EFEITO!$Z$272</f>
        <v>1138.349868690658</v>
      </c>
      <c r="L361" s="61">
        <f>EFEITO!$N$361*EFEITO!$AA$272</f>
        <v>391.95811091700841</v>
      </c>
      <c r="M361" s="61">
        <f>$J$361-EFEITO!$K$361*EFEITO!$Y$361</f>
        <v>0</v>
      </c>
      <c r="N361" s="61">
        <f ca="1">$K$361-EFEITO!$M$361*EFEITO!$Z$361</f>
        <v>68.300992121439549</v>
      </c>
      <c r="O361" s="61">
        <f>$L$361-EFEITO!$O$361*EFEITO!$AA$361</f>
        <v>23.517486655020491</v>
      </c>
      <c r="P361" s="45"/>
      <c r="Q361" s="45"/>
      <c r="R361" s="45"/>
      <c r="S361" s="45"/>
      <c r="T361" s="45"/>
      <c r="U361" s="45"/>
      <c r="V361" s="45"/>
      <c r="W361" s="45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1.25" customHeight="1" x14ac:dyDescent="0.2">
      <c r="A362" s="41" t="s">
        <v>28</v>
      </c>
      <c r="B362" s="41" t="s">
        <v>41</v>
      </c>
      <c r="C362" s="41" t="s">
        <v>23</v>
      </c>
      <c r="D362" s="41" t="s">
        <v>42</v>
      </c>
      <c r="E362" s="41" t="s">
        <v>49</v>
      </c>
      <c r="F362" s="41" t="s">
        <v>50</v>
      </c>
      <c r="G362" s="41" t="s">
        <v>25</v>
      </c>
      <c r="H362" s="41" t="s">
        <v>25</v>
      </c>
      <c r="I362" s="60">
        <v>44470</v>
      </c>
      <c r="J362" s="61">
        <f>EFEITO!$J$362*EFEITO!$Y$272</f>
        <v>0</v>
      </c>
      <c r="K362" s="61">
        <f ca="1">EFEITO!$L$362*EFEITO!$Z$272</f>
        <v>250.61965514302852</v>
      </c>
      <c r="L362" s="61">
        <f>EFEITO!$N$362*EFEITO!$AA$272</f>
        <v>86.293686405499855</v>
      </c>
      <c r="M362" s="61">
        <f>$J$362-EFEITO!$K$362*EFEITO!$Y$362</f>
        <v>0</v>
      </c>
      <c r="N362" s="61">
        <f ca="1">$K$362-EFEITO!$M$362*EFEITO!$Z$362</f>
        <v>15.037179308581699</v>
      </c>
      <c r="O362" s="61">
        <f>$L$362-EFEITO!$O$362*EFEITO!$AA$362</f>
        <v>5.1776211843299933</v>
      </c>
      <c r="P362" s="45"/>
      <c r="Q362" s="45"/>
      <c r="R362" s="45"/>
      <c r="S362" s="45"/>
      <c r="T362" s="45"/>
      <c r="U362" s="45"/>
      <c r="V362" s="45"/>
      <c r="W362" s="45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1.25" customHeight="1" x14ac:dyDescent="0.2">
      <c r="A363" s="41" t="s">
        <v>21</v>
      </c>
      <c r="B363" s="41" t="s">
        <v>41</v>
      </c>
      <c r="C363" s="41" t="s">
        <v>23</v>
      </c>
      <c r="D363" s="41" t="s">
        <v>42</v>
      </c>
      <c r="E363" s="41" t="s">
        <v>49</v>
      </c>
      <c r="F363" s="41" t="s">
        <v>50</v>
      </c>
      <c r="G363" s="41" t="s">
        <v>25</v>
      </c>
      <c r="H363" s="41" t="s">
        <v>25</v>
      </c>
      <c r="I363" s="60">
        <v>44501</v>
      </c>
      <c r="J363" s="61">
        <f>EFEITO!$J$363*EFEITO!$Y$272</f>
        <v>0</v>
      </c>
      <c r="K363" s="61">
        <f ca="1">EFEITO!$L$363*EFEITO!$Z$272</f>
        <v>12319.754346210831</v>
      </c>
      <c r="L363" s="61">
        <f>EFEITO!$N$363*EFEITO!$AA$272</f>
        <v>4241.9538784298102</v>
      </c>
      <c r="M363" s="61">
        <f>$J$363-EFEITO!$K$363*EFEITO!$Y$363</f>
        <v>0</v>
      </c>
      <c r="N363" s="61">
        <f ca="1">$K$363-EFEITO!$M$363*EFEITO!$Z$363</f>
        <v>739.18526077264869</v>
      </c>
      <c r="O363" s="61">
        <f>$L$363-EFEITO!$O$363*EFEITO!$AA$363</f>
        <v>254.5172327057885</v>
      </c>
      <c r="P363" s="45"/>
      <c r="Q363" s="45"/>
      <c r="R363" s="45"/>
      <c r="S363" s="45"/>
      <c r="T363" s="45"/>
      <c r="U363" s="45"/>
      <c r="V363" s="45"/>
      <c r="W363" s="45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1.25" customHeight="1" x14ac:dyDescent="0.2">
      <c r="A364" s="41" t="s">
        <v>28</v>
      </c>
      <c r="B364" s="41" t="s">
        <v>41</v>
      </c>
      <c r="C364" s="41" t="s">
        <v>23</v>
      </c>
      <c r="D364" s="41" t="s">
        <v>42</v>
      </c>
      <c r="E364" s="41" t="s">
        <v>49</v>
      </c>
      <c r="F364" s="41" t="s">
        <v>50</v>
      </c>
      <c r="G364" s="41" t="s">
        <v>25</v>
      </c>
      <c r="H364" s="41" t="s">
        <v>25</v>
      </c>
      <c r="I364" s="60">
        <v>44501</v>
      </c>
      <c r="J364" s="61">
        <f>EFEITO!$J$364*EFEITO!$Y$272</f>
        <v>0</v>
      </c>
      <c r="K364" s="61">
        <f ca="1">EFEITO!$L$364*EFEITO!$Z$272</f>
        <v>439.58344979528925</v>
      </c>
      <c r="L364" s="61">
        <f>EFEITO!$N$364*EFEITO!$AA$272</f>
        <v>151.35794654267627</v>
      </c>
      <c r="M364" s="61">
        <f>$J$364-EFEITO!$K$364*EFEITO!$Y$364</f>
        <v>0</v>
      </c>
      <c r="N364" s="61">
        <f ca="1">$K$364-EFEITO!$M$364*EFEITO!$Z$364</f>
        <v>26.37500698771737</v>
      </c>
      <c r="O364" s="61">
        <f>$L$364-EFEITO!$O$364*EFEITO!$AA$364</f>
        <v>9.0814767925605793</v>
      </c>
      <c r="P364" s="45"/>
      <c r="Q364" s="45"/>
      <c r="R364" s="45"/>
      <c r="S364" s="45"/>
      <c r="T364" s="45"/>
      <c r="U364" s="45"/>
      <c r="V364" s="45"/>
      <c r="W364" s="45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1.25" customHeight="1" x14ac:dyDescent="0.2">
      <c r="A365" s="41" t="s">
        <v>21</v>
      </c>
      <c r="B365" s="41" t="s">
        <v>41</v>
      </c>
      <c r="C365" s="41" t="s">
        <v>23</v>
      </c>
      <c r="D365" s="41" t="s">
        <v>42</v>
      </c>
      <c r="E365" s="41" t="s">
        <v>49</v>
      </c>
      <c r="F365" s="41" t="s">
        <v>50</v>
      </c>
      <c r="G365" s="41" t="s">
        <v>25</v>
      </c>
      <c r="H365" s="41" t="s">
        <v>25</v>
      </c>
      <c r="I365" s="60">
        <v>44531</v>
      </c>
      <c r="J365" s="61">
        <f>EFEITO!$J$365*EFEITO!$Y$272</f>
        <v>0</v>
      </c>
      <c r="K365" s="61">
        <f ca="1">EFEITO!$L$365*EFEITO!$Z$272</f>
        <v>31063.70682300139</v>
      </c>
      <c r="L365" s="61">
        <f>EFEITO!$N$365*EFEITO!$AA$272</f>
        <v>10695.896032761875</v>
      </c>
      <c r="M365" s="61">
        <f>$J$365-EFEITO!$K$365*EFEITO!$Y$365</f>
        <v>0</v>
      </c>
      <c r="N365" s="61">
        <f ca="1">$K$365-EFEITO!$M$365*EFEITO!$Z$365</f>
        <v>1863.8224093800818</v>
      </c>
      <c r="O365" s="61">
        <f>$L$365-EFEITO!$O$365*EFEITO!$AA$365</f>
        <v>641.75376196571233</v>
      </c>
      <c r="P365" s="45"/>
      <c r="Q365" s="45"/>
      <c r="R365" s="45"/>
      <c r="S365" s="45"/>
      <c r="T365" s="45"/>
      <c r="U365" s="45"/>
      <c r="V365" s="45"/>
      <c r="W365" s="45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1.25" customHeight="1" x14ac:dyDescent="0.2">
      <c r="A366" s="41" t="s">
        <v>28</v>
      </c>
      <c r="B366" s="41" t="s">
        <v>41</v>
      </c>
      <c r="C366" s="41" t="s">
        <v>23</v>
      </c>
      <c r="D366" s="41" t="s">
        <v>42</v>
      </c>
      <c r="E366" s="41" t="s">
        <v>49</v>
      </c>
      <c r="F366" s="41" t="s">
        <v>50</v>
      </c>
      <c r="G366" s="41" t="s">
        <v>25</v>
      </c>
      <c r="H366" s="41" t="s">
        <v>25</v>
      </c>
      <c r="I366" s="60">
        <v>44531</v>
      </c>
      <c r="J366" s="61">
        <f>EFEITO!$J$366*EFEITO!$Y$272</f>
        <v>0</v>
      </c>
      <c r="K366" s="61">
        <f ca="1">EFEITO!$L$366*EFEITO!$Z$272</f>
        <v>337.39456990781287</v>
      </c>
      <c r="L366" s="61">
        <f>EFEITO!$N$366*EFEITO!$AA$272</f>
        <v>116.17213819054763</v>
      </c>
      <c r="M366" s="61">
        <f>$J$366-EFEITO!$K$366*EFEITO!$Y$366</f>
        <v>0</v>
      </c>
      <c r="N366" s="61">
        <f ca="1">$K$366-EFEITO!$M$366*EFEITO!$Z$366</f>
        <v>20.243674194468781</v>
      </c>
      <c r="O366" s="61">
        <f>$L$366-EFEITO!$O$366*EFEITO!$AA$366</f>
        <v>6.9703282914328497</v>
      </c>
      <c r="P366" s="45"/>
      <c r="Q366" s="45"/>
      <c r="R366" s="45"/>
      <c r="S366" s="45"/>
      <c r="T366" s="45"/>
      <c r="U366" s="45"/>
      <c r="V366" s="45"/>
      <c r="W366" s="45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1.25" customHeight="1" x14ac:dyDescent="0.2">
      <c r="A367" s="41" t="s">
        <v>21</v>
      </c>
      <c r="B367" s="41" t="s">
        <v>41</v>
      </c>
      <c r="C367" s="41" t="s">
        <v>23</v>
      </c>
      <c r="D367" s="41" t="s">
        <v>42</v>
      </c>
      <c r="E367" s="41" t="s">
        <v>49</v>
      </c>
      <c r="F367" s="41" t="s">
        <v>50</v>
      </c>
      <c r="G367" s="41" t="s">
        <v>25</v>
      </c>
      <c r="H367" s="41" t="s">
        <v>25</v>
      </c>
      <c r="I367" s="60">
        <v>44562</v>
      </c>
      <c r="J367" s="61">
        <f>EFEITO!$J$367*EFEITO!$Y$272</f>
        <v>0</v>
      </c>
      <c r="K367" s="61">
        <f ca="1">EFEITO!$L$367*EFEITO!$Z$272</f>
        <v>21480.787617464088</v>
      </c>
      <c r="L367" s="61">
        <f>EFEITO!$N$367*EFEITO!$AA$272</f>
        <v>7396.2927981315333</v>
      </c>
      <c r="M367" s="61">
        <f>$J$367-EFEITO!$K$367*EFEITO!$Y$367</f>
        <v>0</v>
      </c>
      <c r="N367" s="61">
        <f ca="1">$K$367-EFEITO!$M$367*EFEITO!$Z$367</f>
        <v>1288.8472570478443</v>
      </c>
      <c r="O367" s="61">
        <f>$L$367-EFEITO!$O$367*EFEITO!$AA$367</f>
        <v>443.77756788789156</v>
      </c>
      <c r="P367" s="45"/>
      <c r="Q367" s="45"/>
      <c r="R367" s="45"/>
      <c r="S367" s="45"/>
      <c r="T367" s="45"/>
      <c r="U367" s="45"/>
      <c r="V367" s="45"/>
      <c r="W367" s="45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1.25" customHeight="1" x14ac:dyDescent="0.2">
      <c r="A368" s="41" t="s">
        <v>28</v>
      </c>
      <c r="B368" s="41" t="s">
        <v>41</v>
      </c>
      <c r="C368" s="41" t="s">
        <v>23</v>
      </c>
      <c r="D368" s="41" t="s">
        <v>42</v>
      </c>
      <c r="E368" s="41" t="s">
        <v>49</v>
      </c>
      <c r="F368" s="41" t="s">
        <v>50</v>
      </c>
      <c r="G368" s="41" t="s">
        <v>25</v>
      </c>
      <c r="H368" s="41" t="s">
        <v>25</v>
      </c>
      <c r="I368" s="60">
        <v>44562</v>
      </c>
      <c r="J368" s="61">
        <f>EFEITO!$J$368*EFEITO!$Y$272</f>
        <v>0</v>
      </c>
      <c r="K368" s="61">
        <f ca="1">EFEITO!$L$368*EFEITO!$Z$272</f>
        <v>737.58677550066716</v>
      </c>
      <c r="L368" s="61">
        <f>EFEITO!$N$368*EFEITO!$AA$272</f>
        <v>253.96684017290616</v>
      </c>
      <c r="M368" s="61">
        <f>$J$368-EFEITO!$K$368*EFEITO!$Y$368</f>
        <v>0</v>
      </c>
      <c r="N368" s="61">
        <f ca="1">$K$368-EFEITO!$M$368*EFEITO!$Z$368</f>
        <v>44.255206530040027</v>
      </c>
      <c r="O368" s="61">
        <f>$L$368-EFEITO!$O$368*EFEITO!$AA$368</f>
        <v>15.238010410374358</v>
      </c>
      <c r="P368" s="45"/>
      <c r="Q368" s="45"/>
      <c r="R368" s="45"/>
      <c r="S368" s="45"/>
      <c r="T368" s="45"/>
      <c r="U368" s="45"/>
      <c r="V368" s="45"/>
      <c r="W368" s="45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1.25" customHeight="1" x14ac:dyDescent="0.2">
      <c r="A369" s="41" t="s">
        <v>21</v>
      </c>
      <c r="B369" s="41" t="s">
        <v>41</v>
      </c>
      <c r="C369" s="41" t="s">
        <v>23</v>
      </c>
      <c r="D369" s="41" t="s">
        <v>42</v>
      </c>
      <c r="E369" s="41" t="s">
        <v>49</v>
      </c>
      <c r="F369" s="41" t="s">
        <v>50</v>
      </c>
      <c r="G369" s="41" t="s">
        <v>25</v>
      </c>
      <c r="H369" s="41" t="s">
        <v>25</v>
      </c>
      <c r="I369" s="60">
        <v>44593</v>
      </c>
      <c r="J369" s="61">
        <f>EFEITO!$J$369*EFEITO!$Y$272</f>
        <v>0</v>
      </c>
      <c r="K369" s="61">
        <f ca="1">EFEITO!$L$369*EFEITO!$Z$272</f>
        <v>18062.312685809295</v>
      </c>
      <c r="L369" s="61">
        <f>EFEITO!$N$369*EFEITO!$AA$272</f>
        <v>6219.239052810045</v>
      </c>
      <c r="M369" s="61">
        <f>$J$369-EFEITO!$K$369*EFEITO!$Y$369</f>
        <v>0</v>
      </c>
      <c r="N369" s="61">
        <f ca="1">$K$369-EFEITO!$M$369*EFEITO!$Z$369</f>
        <v>1083.738761148561</v>
      </c>
      <c r="O369" s="61">
        <f>$L$369-EFEITO!$O$369*EFEITO!$AA$369</f>
        <v>373.15434316860228</v>
      </c>
      <c r="P369" s="45"/>
      <c r="Q369" s="45"/>
      <c r="R369" s="45"/>
      <c r="S369" s="45"/>
      <c r="T369" s="45"/>
      <c r="U369" s="45"/>
      <c r="V369" s="45"/>
      <c r="W369" s="45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1.25" customHeight="1" x14ac:dyDescent="0.2">
      <c r="A370" s="41" t="s">
        <v>28</v>
      </c>
      <c r="B370" s="41" t="s">
        <v>41</v>
      </c>
      <c r="C370" s="41" t="s">
        <v>23</v>
      </c>
      <c r="D370" s="41" t="s">
        <v>42</v>
      </c>
      <c r="E370" s="41" t="s">
        <v>49</v>
      </c>
      <c r="F370" s="41" t="s">
        <v>50</v>
      </c>
      <c r="G370" s="41" t="s">
        <v>25</v>
      </c>
      <c r="H370" s="41" t="s">
        <v>25</v>
      </c>
      <c r="I370" s="60">
        <v>44593</v>
      </c>
      <c r="J370" s="61">
        <f>EFEITO!$J$370*EFEITO!$Y$272</f>
        <v>0</v>
      </c>
      <c r="K370" s="61">
        <f ca="1">EFEITO!$L$370*EFEITO!$Z$272</f>
        <v>28.544379856836965</v>
      </c>
      <c r="L370" s="61">
        <f>EFEITO!$N$370*EFEITO!$AA$272</f>
        <v>9.8284380871867718</v>
      </c>
      <c r="M370" s="61">
        <f>$J$370-EFEITO!$K$370*EFEITO!$Y$370</f>
        <v>0</v>
      </c>
      <c r="N370" s="61">
        <f ca="1">$K$370-EFEITO!$M$370*EFEITO!$Z$370</f>
        <v>1.7126627914102208</v>
      </c>
      <c r="O370" s="61">
        <f>$L$370-EFEITO!$O$370*EFEITO!$AA$370</f>
        <v>0.58970628523120716</v>
      </c>
      <c r="P370" s="45"/>
      <c r="Q370" s="45"/>
      <c r="R370" s="45"/>
      <c r="S370" s="45"/>
      <c r="T370" s="45"/>
      <c r="U370" s="45"/>
      <c r="V370" s="45"/>
      <c r="W370" s="45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1.25" customHeight="1" x14ac:dyDescent="0.2">
      <c r="A371" s="41" t="s">
        <v>21</v>
      </c>
      <c r="B371" s="41" t="s">
        <v>41</v>
      </c>
      <c r="C371" s="41" t="s">
        <v>23</v>
      </c>
      <c r="D371" s="41" t="s">
        <v>42</v>
      </c>
      <c r="E371" s="41" t="s">
        <v>49</v>
      </c>
      <c r="F371" s="41" t="s">
        <v>50</v>
      </c>
      <c r="G371" s="41" t="s">
        <v>25</v>
      </c>
      <c r="H371" s="41" t="s">
        <v>25</v>
      </c>
      <c r="I371" s="60">
        <v>44621</v>
      </c>
      <c r="J371" s="61">
        <f>EFEITO!$J$371*EFEITO!$Y$272</f>
        <v>0</v>
      </c>
      <c r="K371" s="61">
        <f ca="1">EFEITO!$L$371*EFEITO!$Z$272</f>
        <v>27255.886550099345</v>
      </c>
      <c r="L371" s="61">
        <f>EFEITO!$N$371*EFEITO!$AA$272</f>
        <v>9384.7823919311613</v>
      </c>
      <c r="M371" s="61">
        <f>$J$371-EFEITO!$K$371*EFEITO!$Y$371</f>
        <v>0</v>
      </c>
      <c r="N371" s="61">
        <f ca="1">$K$371-EFEITO!$M$371*EFEITO!$Z$371</f>
        <v>1635.3531930059617</v>
      </c>
      <c r="O371" s="61">
        <f>$L$371-EFEITO!$O$371*EFEITO!$AA$371</f>
        <v>563.08694351586928</v>
      </c>
      <c r="P371" s="45"/>
      <c r="Q371" s="45"/>
      <c r="R371" s="45"/>
      <c r="S371" s="45"/>
      <c r="T371" s="45"/>
      <c r="U371" s="45"/>
      <c r="V371" s="45"/>
      <c r="W371" s="45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1.25" customHeight="1" x14ac:dyDescent="0.2">
      <c r="A372" s="41" t="s">
        <v>27</v>
      </c>
      <c r="B372" s="41" t="s">
        <v>41</v>
      </c>
      <c r="C372" s="41" t="s">
        <v>23</v>
      </c>
      <c r="D372" s="41" t="s">
        <v>42</v>
      </c>
      <c r="E372" s="41" t="s">
        <v>49</v>
      </c>
      <c r="F372" s="41" t="s">
        <v>50</v>
      </c>
      <c r="G372" s="41" t="s">
        <v>25</v>
      </c>
      <c r="H372" s="41" t="s">
        <v>25</v>
      </c>
      <c r="I372" s="60">
        <v>44621</v>
      </c>
      <c r="J372" s="61">
        <f>EFEITO!$J$372*EFEITO!$Y$272</f>
        <v>0</v>
      </c>
      <c r="K372" s="61">
        <f ca="1">EFEITO!$L$372*EFEITO!$Z$272</f>
        <v>-3335.6962300699674</v>
      </c>
      <c r="L372" s="61">
        <f>EFEITO!$N$372*EFEITO!$AA$272</f>
        <v>-1148.551274868646</v>
      </c>
      <c r="M372" s="61">
        <f>$J$372-EFEITO!$K$372*EFEITO!$Y$372</f>
        <v>0</v>
      </c>
      <c r="N372" s="61">
        <f ca="1">$K$372-EFEITO!$M$372*EFEITO!$Z$372</f>
        <v>-200.14177380419824</v>
      </c>
      <c r="O372" s="61">
        <f>$L$372-EFEITO!$O$372*EFEITO!$AA$372</f>
        <v>-68.913076492118762</v>
      </c>
      <c r="P372" s="45"/>
      <c r="Q372" s="45"/>
      <c r="R372" s="45"/>
      <c r="S372" s="45"/>
      <c r="T372" s="45"/>
      <c r="U372" s="45"/>
      <c r="V372" s="45"/>
      <c r="W372" s="45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1.25" customHeight="1" x14ac:dyDescent="0.2">
      <c r="A373" s="41" t="s">
        <v>28</v>
      </c>
      <c r="B373" s="41" t="s">
        <v>41</v>
      </c>
      <c r="C373" s="41" t="s">
        <v>23</v>
      </c>
      <c r="D373" s="41" t="s">
        <v>42</v>
      </c>
      <c r="E373" s="41" t="s">
        <v>49</v>
      </c>
      <c r="F373" s="41" t="s">
        <v>50</v>
      </c>
      <c r="G373" s="41" t="s">
        <v>25</v>
      </c>
      <c r="H373" s="41" t="s">
        <v>25</v>
      </c>
      <c r="I373" s="60">
        <v>44621</v>
      </c>
      <c r="J373" s="61">
        <f>EFEITO!$J$373*EFEITO!$Y$272</f>
        <v>0</v>
      </c>
      <c r="K373" s="61">
        <f ca="1">EFEITO!$L$373*EFEITO!$Z$272</f>
        <v>28.544379856836965</v>
      </c>
      <c r="L373" s="61">
        <f>EFEITO!$N$373*EFEITO!$AA$272</f>
        <v>9.8284380871867718</v>
      </c>
      <c r="M373" s="61">
        <f>$J$373-EFEITO!$K$373*EFEITO!$Y$373</f>
        <v>0</v>
      </c>
      <c r="N373" s="61">
        <f ca="1">$K$373-EFEITO!$M$373*EFEITO!$Z$373</f>
        <v>1.7126627914102208</v>
      </c>
      <c r="O373" s="61">
        <f>$L$373-EFEITO!$O$373*EFEITO!$AA$373</f>
        <v>0.58970628523120716</v>
      </c>
      <c r="P373" s="45"/>
      <c r="Q373" s="45"/>
      <c r="R373" s="45"/>
      <c r="S373" s="45"/>
      <c r="T373" s="45"/>
      <c r="U373" s="45"/>
      <c r="V373" s="45"/>
      <c r="W373" s="45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1.25" customHeight="1" x14ac:dyDescent="0.2">
      <c r="A374" s="41" t="s">
        <v>21</v>
      </c>
      <c r="B374" s="41" t="s">
        <v>41</v>
      </c>
      <c r="C374" s="41" t="s">
        <v>23</v>
      </c>
      <c r="D374" s="41" t="s">
        <v>42</v>
      </c>
      <c r="E374" s="41" t="s">
        <v>49</v>
      </c>
      <c r="F374" s="41" t="s">
        <v>50</v>
      </c>
      <c r="G374" s="41" t="s">
        <v>25</v>
      </c>
      <c r="H374" s="41" t="s">
        <v>25</v>
      </c>
      <c r="I374" s="60">
        <v>44652</v>
      </c>
      <c r="J374" s="61">
        <f>EFEITO!$J$374*EFEITO!$Y$272</f>
        <v>0</v>
      </c>
      <c r="K374" s="61">
        <f ca="1">EFEITO!$L$374*EFEITO!$Z$272</f>
        <v>1189.1588648358279</v>
      </c>
      <c r="L374" s="61">
        <f>EFEITO!$N$374*EFEITO!$AA$272</f>
        <v>409.45273071220095</v>
      </c>
      <c r="M374" s="61">
        <f>$J$374-EFEITO!$K$374*EFEITO!$Y$374</f>
        <v>0</v>
      </c>
      <c r="N374" s="61">
        <f ca="1">$K$374-EFEITO!$M$374*EFEITO!$Z$374</f>
        <v>71.349531890149592</v>
      </c>
      <c r="O374" s="61">
        <f>$L$374-EFEITO!$O$374*EFEITO!$AA$374</f>
        <v>24.5671638427321</v>
      </c>
      <c r="P374" s="45"/>
      <c r="Q374" s="45"/>
      <c r="R374" s="45"/>
      <c r="S374" s="45"/>
      <c r="T374" s="45"/>
      <c r="U374" s="45"/>
      <c r="V374" s="45"/>
      <c r="W374" s="45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1.25" customHeight="1" x14ac:dyDescent="0.2">
      <c r="A375" s="41" t="s">
        <v>27</v>
      </c>
      <c r="B375" s="41" t="s">
        <v>41</v>
      </c>
      <c r="C375" s="41" t="s">
        <v>23</v>
      </c>
      <c r="D375" s="41" t="s">
        <v>42</v>
      </c>
      <c r="E375" s="41" t="s">
        <v>49</v>
      </c>
      <c r="F375" s="41" t="s">
        <v>50</v>
      </c>
      <c r="G375" s="41" t="s">
        <v>25</v>
      </c>
      <c r="H375" s="41" t="s">
        <v>25</v>
      </c>
      <c r="I375" s="60">
        <v>44652</v>
      </c>
      <c r="J375" s="61">
        <f>EFEITO!$J$375*EFEITO!$Y$272</f>
        <v>0</v>
      </c>
      <c r="K375" s="61">
        <f ca="1">EFEITO!$L$375*EFEITO!$Z$272</f>
        <v>-17605.6026080999</v>
      </c>
      <c r="L375" s="61">
        <f>EFEITO!$N$375*EFEITO!$AA$272</f>
        <v>-6061.9840434150565</v>
      </c>
      <c r="M375" s="61">
        <f>$J$375-EFEITO!$K$375*EFEITO!$Y$375</f>
        <v>0</v>
      </c>
      <c r="N375" s="61">
        <f ca="1">$K$375-EFEITO!$M$375*EFEITO!$Z$375</f>
        <v>-1056.3361564859952</v>
      </c>
      <c r="O375" s="61">
        <f>$L$375-EFEITO!$O$375*EFEITO!$AA$375</f>
        <v>-363.71904260490373</v>
      </c>
      <c r="P375" s="45"/>
      <c r="Q375" s="45"/>
      <c r="R375" s="45"/>
      <c r="S375" s="45"/>
      <c r="T375" s="45"/>
      <c r="U375" s="45"/>
      <c r="V375" s="45"/>
      <c r="W375" s="45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1.25" customHeight="1" x14ac:dyDescent="0.2">
      <c r="A376" s="41" t="s">
        <v>28</v>
      </c>
      <c r="B376" s="41" t="s">
        <v>41</v>
      </c>
      <c r="C376" s="41" t="s">
        <v>23</v>
      </c>
      <c r="D376" s="41" t="s">
        <v>42</v>
      </c>
      <c r="E376" s="41" t="s">
        <v>49</v>
      </c>
      <c r="F376" s="41" t="s">
        <v>50</v>
      </c>
      <c r="G376" s="41" t="s">
        <v>25</v>
      </c>
      <c r="H376" s="41" t="s">
        <v>25</v>
      </c>
      <c r="I376" s="60">
        <v>44652</v>
      </c>
      <c r="J376" s="61">
        <f>EFEITO!$J$376*EFEITO!$Y$272</f>
        <v>0</v>
      </c>
      <c r="K376" s="61">
        <f ca="1">EFEITO!$L$376*EFEITO!$Z$272</f>
        <v>28.544379856836965</v>
      </c>
      <c r="L376" s="61">
        <f>EFEITO!$N$376*EFEITO!$AA$272</f>
        <v>9.8284380871867718</v>
      </c>
      <c r="M376" s="61">
        <f>$J$376-EFEITO!$K$376*EFEITO!$Y$376</f>
        <v>0</v>
      </c>
      <c r="N376" s="61">
        <f ca="1">$K$376-EFEITO!$M$376*EFEITO!$Z$376</f>
        <v>1.7126627914102208</v>
      </c>
      <c r="O376" s="61">
        <f>$L$376-EFEITO!$O$376*EFEITO!$AA$376</f>
        <v>0.58970628523120716</v>
      </c>
      <c r="P376" s="45"/>
      <c r="Q376" s="45"/>
      <c r="R376" s="45"/>
      <c r="S376" s="45"/>
      <c r="T376" s="45"/>
      <c r="U376" s="45"/>
      <c r="V376" s="45"/>
      <c r="W376" s="45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1.25" customHeight="1" x14ac:dyDescent="0.2">
      <c r="A377" s="41" t="s">
        <v>21</v>
      </c>
      <c r="B377" s="41" t="s">
        <v>41</v>
      </c>
      <c r="C377" s="41" t="s">
        <v>23</v>
      </c>
      <c r="D377" s="41" t="s">
        <v>42</v>
      </c>
      <c r="E377" s="41" t="s">
        <v>49</v>
      </c>
      <c r="F377" s="41" t="s">
        <v>50</v>
      </c>
      <c r="G377" s="41" t="s">
        <v>25</v>
      </c>
      <c r="H377" s="41" t="s">
        <v>25</v>
      </c>
      <c r="I377" s="60">
        <v>44682</v>
      </c>
      <c r="J377" s="61">
        <f>EFEITO!$J$377*EFEITO!$Y$272</f>
        <v>0</v>
      </c>
      <c r="K377" s="61">
        <f ca="1">EFEITO!$L$377*EFEITO!$Z$272</f>
        <v>1128.6447795393335</v>
      </c>
      <c r="L377" s="61">
        <f>EFEITO!$N$377*EFEITO!$AA$272</f>
        <v>388.61644196736495</v>
      </c>
      <c r="M377" s="61">
        <f>$J$377-EFEITO!$K$377*EFEITO!$Y$377</f>
        <v>0</v>
      </c>
      <c r="N377" s="61">
        <f ca="1">$K$377-EFEITO!$M$377*EFEITO!$Z$377</f>
        <v>67.718686772359888</v>
      </c>
      <c r="O377" s="61">
        <f>$L$377-EFEITO!$O$377*EFEITO!$AA$377</f>
        <v>23.316986518041915</v>
      </c>
      <c r="P377" s="45"/>
      <c r="Q377" s="45"/>
      <c r="R377" s="45"/>
      <c r="S377" s="45"/>
      <c r="T377" s="45"/>
      <c r="U377" s="45"/>
      <c r="V377" s="45"/>
      <c r="W377" s="45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1.25" customHeight="1" x14ac:dyDescent="0.2">
      <c r="A378" s="41" t="s">
        <v>28</v>
      </c>
      <c r="B378" s="41" t="s">
        <v>41</v>
      </c>
      <c r="C378" s="41" t="s">
        <v>23</v>
      </c>
      <c r="D378" s="41" t="s">
        <v>42</v>
      </c>
      <c r="E378" s="41" t="s">
        <v>49</v>
      </c>
      <c r="F378" s="41" t="s">
        <v>50</v>
      </c>
      <c r="G378" s="41" t="s">
        <v>25</v>
      </c>
      <c r="H378" s="41" t="s">
        <v>25</v>
      </c>
      <c r="I378" s="60">
        <v>44682</v>
      </c>
      <c r="J378" s="61">
        <f>EFEITO!$J$378*EFEITO!$Y$272</f>
        <v>0</v>
      </c>
      <c r="K378" s="61">
        <f ca="1">EFEITO!$L$378*EFEITO!$Z$272</f>
        <v>17.697515511238915</v>
      </c>
      <c r="L378" s="61">
        <f>EFEITO!$N$378*EFEITO!$AA$272</f>
        <v>6.0936316140557985</v>
      </c>
      <c r="M378" s="61">
        <f>$J$378-EFEITO!$K$378*EFEITO!$Y$378</f>
        <v>0</v>
      </c>
      <c r="N378" s="61">
        <f ca="1">$K$378-EFEITO!$M$378*EFEITO!$Z$378</f>
        <v>1.0618509306743356</v>
      </c>
      <c r="O378" s="61">
        <f>$L$378-EFEITO!$O$378*EFEITO!$AA$378</f>
        <v>0.36561789684334833</v>
      </c>
      <c r="P378" s="45"/>
      <c r="Q378" s="45"/>
      <c r="R378" s="45"/>
      <c r="S378" s="45"/>
      <c r="T378" s="45"/>
      <c r="U378" s="45"/>
      <c r="V378" s="45"/>
      <c r="W378" s="45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1.25" customHeight="1" x14ac:dyDescent="0.2">
      <c r="A379" s="41" t="s">
        <v>21</v>
      </c>
      <c r="B379" s="41" t="s">
        <v>41</v>
      </c>
      <c r="C379" s="41" t="s">
        <v>23</v>
      </c>
      <c r="D379" s="41" t="s">
        <v>42</v>
      </c>
      <c r="E379" s="41" t="s">
        <v>49</v>
      </c>
      <c r="F379" s="41" t="s">
        <v>50</v>
      </c>
      <c r="G379" s="41" t="s">
        <v>25</v>
      </c>
      <c r="H379" s="41" t="s">
        <v>25</v>
      </c>
      <c r="I379" s="60">
        <v>44713</v>
      </c>
      <c r="J379" s="61">
        <f>EFEITO!$J$379*EFEITO!$Y$272</f>
        <v>0</v>
      </c>
      <c r="K379" s="61">
        <f ca="1">EFEITO!$L$379*EFEITO!$Z$272</f>
        <v>1104.0966128624536</v>
      </c>
      <c r="L379" s="61">
        <f>EFEITO!$N$379*EFEITO!$AA$272</f>
        <v>380.16398521238432</v>
      </c>
      <c r="M379" s="61">
        <f>$J$379-EFEITO!$K$379*EFEITO!$Y$379</f>
        <v>0</v>
      </c>
      <c r="N379" s="61">
        <f ca="1">$K$379-EFEITO!$M$379*EFEITO!$Z$379</f>
        <v>66.245796771747109</v>
      </c>
      <c r="O379" s="61">
        <f>$L$379-EFEITO!$O$379*EFEITO!$AA$379</f>
        <v>22.809839112743077</v>
      </c>
      <c r="P379" s="45"/>
      <c r="Q379" s="45"/>
      <c r="R379" s="45"/>
      <c r="S379" s="45"/>
      <c r="T379" s="45"/>
      <c r="U379" s="45"/>
      <c r="V379" s="45"/>
      <c r="W379" s="45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1.25" customHeight="1" x14ac:dyDescent="0.2">
      <c r="A380" s="41" t="s">
        <v>28</v>
      </c>
      <c r="B380" s="41" t="s">
        <v>41</v>
      </c>
      <c r="C380" s="41" t="s">
        <v>23</v>
      </c>
      <c r="D380" s="41" t="s">
        <v>42</v>
      </c>
      <c r="E380" s="41" t="s">
        <v>49</v>
      </c>
      <c r="F380" s="41" t="s">
        <v>50</v>
      </c>
      <c r="G380" s="41" t="s">
        <v>25</v>
      </c>
      <c r="H380" s="41" t="s">
        <v>25</v>
      </c>
      <c r="I380" s="60">
        <v>44713</v>
      </c>
      <c r="J380" s="61">
        <f>EFEITO!$J$380*EFEITO!$Y$272</f>
        <v>0</v>
      </c>
      <c r="K380" s="61">
        <f ca="1">EFEITO!$L$380*EFEITO!$Z$272</f>
        <v>57.08875971367393</v>
      </c>
      <c r="L380" s="61">
        <f>EFEITO!$N$380*EFEITO!$AA$272</f>
        <v>19.656876174373544</v>
      </c>
      <c r="M380" s="61">
        <f>$J$380-EFEITO!$K$380*EFEITO!$Y$380</f>
        <v>0</v>
      </c>
      <c r="N380" s="61">
        <f ca="1">$K$380-EFEITO!$M$380*EFEITO!$Z$380</f>
        <v>3.4253255828204416</v>
      </c>
      <c r="O380" s="61">
        <f>$L$380-EFEITO!$O$380*EFEITO!$AA$380</f>
        <v>1.1794125704624143</v>
      </c>
      <c r="P380" s="45"/>
      <c r="Q380" s="45"/>
      <c r="R380" s="45"/>
      <c r="S380" s="45"/>
      <c r="T380" s="45"/>
      <c r="U380" s="45"/>
      <c r="V380" s="45"/>
      <c r="W380" s="45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1.25" customHeight="1" x14ac:dyDescent="0.2">
      <c r="A381" s="41" t="s">
        <v>21</v>
      </c>
      <c r="B381" s="41" t="s">
        <v>41</v>
      </c>
      <c r="C381" s="41" t="s">
        <v>23</v>
      </c>
      <c r="D381" s="41" t="s">
        <v>42</v>
      </c>
      <c r="E381" s="41" t="s">
        <v>49</v>
      </c>
      <c r="F381" s="41" t="s">
        <v>51</v>
      </c>
      <c r="G381" s="41" t="s">
        <v>25</v>
      </c>
      <c r="H381" s="41" t="s">
        <v>25</v>
      </c>
      <c r="I381" s="60">
        <v>44378</v>
      </c>
      <c r="J381" s="61">
        <f>EFEITO!$J$381*EFEITO!$Y$272</f>
        <v>0</v>
      </c>
      <c r="K381" s="61">
        <f ca="1">EFEITO!$L$381*EFEITO!$Z$272</f>
        <v>1045.2951903573696</v>
      </c>
      <c r="L381" s="61">
        <f>EFEITO!$N$381*EFEITO!$AA$272</f>
        <v>359.91740275277954</v>
      </c>
      <c r="M381" s="61">
        <f>$J$381-EFEITO!$K$381*EFEITO!$Y$381</f>
        <v>0</v>
      </c>
      <c r="N381" s="61">
        <f ca="1">$K$381-EFEITO!$M$381*EFEITO!$Z$381</f>
        <v>652.26419878299862</v>
      </c>
      <c r="O381" s="61">
        <f>$L$381-EFEITO!$O$381*EFEITO!$AA$381</f>
        <v>224.58845931773442</v>
      </c>
      <c r="P381" s="45"/>
      <c r="Q381" s="45"/>
      <c r="R381" s="45"/>
      <c r="S381" s="45"/>
      <c r="T381" s="45"/>
      <c r="U381" s="45"/>
      <c r="V381" s="45"/>
      <c r="W381" s="45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1.25" customHeight="1" x14ac:dyDescent="0.2">
      <c r="A382" s="41" t="s">
        <v>21</v>
      </c>
      <c r="B382" s="41" t="s">
        <v>41</v>
      </c>
      <c r="C382" s="41" t="s">
        <v>23</v>
      </c>
      <c r="D382" s="41" t="s">
        <v>42</v>
      </c>
      <c r="E382" s="41" t="s">
        <v>49</v>
      </c>
      <c r="F382" s="41" t="s">
        <v>51</v>
      </c>
      <c r="G382" s="41" t="s">
        <v>25</v>
      </c>
      <c r="H382" s="41" t="s">
        <v>25</v>
      </c>
      <c r="I382" s="60">
        <v>44409</v>
      </c>
      <c r="J382" s="61">
        <f>EFEITO!$J$382*EFEITO!$Y$272</f>
        <v>0</v>
      </c>
      <c r="K382" s="61">
        <f ca="1">EFEITO!$L$382*EFEITO!$Z$272</f>
        <v>2496.4914622789611</v>
      </c>
      <c r="L382" s="61">
        <f>EFEITO!$N$382*EFEITO!$AA$272</f>
        <v>859.59519510535506</v>
      </c>
      <c r="M382" s="61">
        <f>$J$382-EFEITO!$K$382*EFEITO!$Y$382</f>
        <v>0</v>
      </c>
      <c r="N382" s="61">
        <f ca="1">$K$382-EFEITO!$M$382*EFEITO!$Z$382</f>
        <v>1557.8106724620718</v>
      </c>
      <c r="O382" s="61">
        <f>$L$382-EFEITO!$O$382*EFEITO!$AA$382</f>
        <v>536.3874017457415</v>
      </c>
      <c r="P382" s="45"/>
      <c r="Q382" s="45"/>
      <c r="R382" s="45"/>
      <c r="S382" s="45"/>
      <c r="T382" s="45"/>
      <c r="U382" s="45"/>
      <c r="V382" s="45"/>
      <c r="W382" s="45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1.25" customHeight="1" x14ac:dyDescent="0.2">
      <c r="A383" s="41" t="s">
        <v>21</v>
      </c>
      <c r="B383" s="41" t="s">
        <v>41</v>
      </c>
      <c r="C383" s="41" t="s">
        <v>23</v>
      </c>
      <c r="D383" s="41" t="s">
        <v>42</v>
      </c>
      <c r="E383" s="41" t="s">
        <v>49</v>
      </c>
      <c r="F383" s="41" t="s">
        <v>51</v>
      </c>
      <c r="G383" s="41" t="s">
        <v>25</v>
      </c>
      <c r="H383" s="41" t="s">
        <v>25</v>
      </c>
      <c r="I383" s="60">
        <v>44440</v>
      </c>
      <c r="J383" s="61">
        <f>EFEITO!$J$383*EFEITO!$Y$272</f>
        <v>0</v>
      </c>
      <c r="K383" s="61">
        <f ca="1">EFEITO!$L$383*EFEITO!$Z$272</f>
        <v>3130.1766951007412</v>
      </c>
      <c r="L383" s="61">
        <f>EFEITO!$N$383*EFEITO!$AA$272</f>
        <v>1077.7865206409012</v>
      </c>
      <c r="M383" s="61">
        <f>$J$383-EFEITO!$K$383*EFEITO!$Y$383</f>
        <v>0</v>
      </c>
      <c r="N383" s="61">
        <f ca="1">$K$383-EFEITO!$M$383*EFEITO!$Z$383</f>
        <v>1953.2302577428625</v>
      </c>
      <c r="O383" s="61">
        <f>$L$383-EFEITO!$O$383*EFEITO!$AA$383</f>
        <v>672.53878887992232</v>
      </c>
      <c r="P383" s="45"/>
      <c r="Q383" s="45"/>
      <c r="R383" s="45"/>
      <c r="S383" s="45"/>
      <c r="T383" s="45"/>
      <c r="U383" s="45"/>
      <c r="V383" s="45"/>
      <c r="W383" s="45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1.25" customHeight="1" x14ac:dyDescent="0.2">
      <c r="A384" s="41" t="s">
        <v>21</v>
      </c>
      <c r="B384" s="41" t="s">
        <v>41</v>
      </c>
      <c r="C384" s="41" t="s">
        <v>23</v>
      </c>
      <c r="D384" s="41" t="s">
        <v>42</v>
      </c>
      <c r="E384" s="41" t="s">
        <v>49</v>
      </c>
      <c r="F384" s="41" t="s">
        <v>51</v>
      </c>
      <c r="G384" s="41" t="s">
        <v>25</v>
      </c>
      <c r="H384" s="41" t="s">
        <v>25</v>
      </c>
      <c r="I384" s="60">
        <v>44470</v>
      </c>
      <c r="J384" s="61">
        <f>EFEITO!$J$384*EFEITO!$Y$272</f>
        <v>0</v>
      </c>
      <c r="K384" s="61">
        <f ca="1">EFEITO!$L$384*EFEITO!$Z$272</f>
        <v>1013.896372514849</v>
      </c>
      <c r="L384" s="61">
        <f>EFEITO!$N$384*EFEITO!$AA$272</f>
        <v>349.1061208568741</v>
      </c>
      <c r="M384" s="61">
        <f>$J$384-EFEITO!$K$384*EFEITO!$Y$384</f>
        <v>0</v>
      </c>
      <c r="N384" s="61">
        <f ca="1">$K$384-EFEITO!$M$384*EFEITO!$Z$384</f>
        <v>632.67133644926571</v>
      </c>
      <c r="O384" s="61">
        <f>$L$384-EFEITO!$O$384*EFEITO!$AA$384</f>
        <v>217.84221941468942</v>
      </c>
      <c r="P384" s="45"/>
      <c r="Q384" s="45"/>
      <c r="R384" s="45"/>
      <c r="S384" s="45"/>
      <c r="T384" s="45"/>
      <c r="U384" s="45"/>
      <c r="V384" s="45"/>
      <c r="W384" s="45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1.25" customHeight="1" x14ac:dyDescent="0.2">
      <c r="A385" s="41" t="s">
        <v>28</v>
      </c>
      <c r="B385" s="41" t="s">
        <v>41</v>
      </c>
      <c r="C385" s="41" t="s">
        <v>23</v>
      </c>
      <c r="D385" s="41" t="s">
        <v>42</v>
      </c>
      <c r="E385" s="41" t="s">
        <v>49</v>
      </c>
      <c r="F385" s="41" t="s">
        <v>51</v>
      </c>
      <c r="G385" s="41" t="s">
        <v>25</v>
      </c>
      <c r="H385" s="41" t="s">
        <v>25</v>
      </c>
      <c r="I385" s="60">
        <v>44470</v>
      </c>
      <c r="J385" s="61">
        <f>EFEITO!$J$385*EFEITO!$Y$272</f>
        <v>0</v>
      </c>
      <c r="K385" s="61">
        <f ca="1">EFEITO!$L$385*EFEITO!$Z$272</f>
        <v>2.2835503885469572</v>
      </c>
      <c r="L385" s="61">
        <f>EFEITO!$N$385*EFEITO!$AA$272</f>
        <v>0.78627504697494166</v>
      </c>
      <c r="M385" s="61">
        <f>$J$385-EFEITO!$K$385*EFEITO!$Y$385</f>
        <v>0</v>
      </c>
      <c r="N385" s="61">
        <f ca="1">$K$385-EFEITO!$M$385*EFEITO!$Z$385</f>
        <v>0.13701302331281751</v>
      </c>
      <c r="O385" s="61">
        <f>$L$385-EFEITO!$O$385*EFEITO!$AA$385</f>
        <v>4.7176502818496391E-2</v>
      </c>
      <c r="P385" s="45"/>
      <c r="Q385" s="45"/>
      <c r="R385" s="45"/>
      <c r="S385" s="45"/>
      <c r="T385" s="45"/>
      <c r="U385" s="45"/>
      <c r="V385" s="45"/>
      <c r="W385" s="45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1.25" customHeight="1" x14ac:dyDescent="0.2">
      <c r="A386" s="41" t="s">
        <v>21</v>
      </c>
      <c r="B386" s="41" t="s">
        <v>41</v>
      </c>
      <c r="C386" s="41" t="s">
        <v>23</v>
      </c>
      <c r="D386" s="41" t="s">
        <v>42</v>
      </c>
      <c r="E386" s="41" t="s">
        <v>49</v>
      </c>
      <c r="F386" s="41" t="s">
        <v>51</v>
      </c>
      <c r="G386" s="41" t="s">
        <v>25</v>
      </c>
      <c r="H386" s="41" t="s">
        <v>25</v>
      </c>
      <c r="I386" s="60">
        <v>44501</v>
      </c>
      <c r="J386" s="61">
        <f>EFEITO!$J$386*EFEITO!$Y$272</f>
        <v>0</v>
      </c>
      <c r="K386" s="61">
        <f ca="1">EFEITO!$L$386*EFEITO!$Z$272</f>
        <v>27501.939104465277</v>
      </c>
      <c r="L386" s="61">
        <f>EFEITO!$N$386*EFEITO!$AA$272</f>
        <v>9469.5035282427107</v>
      </c>
      <c r="M386" s="61">
        <f>$J$386-EFEITO!$K$386*EFEITO!$Y$386</f>
        <v>0</v>
      </c>
      <c r="N386" s="61">
        <f ca="1">$K$386-EFEITO!$M$386*EFEITO!$Z$386</f>
        <v>17161.210001186333</v>
      </c>
      <c r="O386" s="61">
        <f>$L$386-EFEITO!$O$386*EFEITO!$AA$386</f>
        <v>5908.9702016234514</v>
      </c>
      <c r="P386" s="45"/>
      <c r="Q386" s="45"/>
      <c r="R386" s="45"/>
      <c r="S386" s="45"/>
      <c r="T386" s="45"/>
      <c r="U386" s="45"/>
      <c r="V386" s="45"/>
      <c r="W386" s="45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1.25" customHeight="1" x14ac:dyDescent="0.2">
      <c r="A387" s="41" t="s">
        <v>28</v>
      </c>
      <c r="B387" s="41" t="s">
        <v>41</v>
      </c>
      <c r="C387" s="41" t="s">
        <v>23</v>
      </c>
      <c r="D387" s="41" t="s">
        <v>42</v>
      </c>
      <c r="E387" s="41" t="s">
        <v>49</v>
      </c>
      <c r="F387" s="41" t="s">
        <v>51</v>
      </c>
      <c r="G387" s="41" t="s">
        <v>25</v>
      </c>
      <c r="H387" s="41" t="s">
        <v>25</v>
      </c>
      <c r="I387" s="60">
        <v>44501</v>
      </c>
      <c r="J387" s="61">
        <f>EFEITO!$J$387*EFEITO!$Y$272</f>
        <v>0</v>
      </c>
      <c r="K387" s="61">
        <f ca="1">EFEITO!$L$387*EFEITO!$Z$272</f>
        <v>37.678581411024794</v>
      </c>
      <c r="L387" s="61">
        <f>EFEITO!$N$387*EFEITO!$AA$272</f>
        <v>12.973538275086538</v>
      </c>
      <c r="M387" s="61">
        <f>$J$387-EFEITO!$K$387*EFEITO!$Y$387</f>
        <v>0</v>
      </c>
      <c r="N387" s="61">
        <f ca="1">$K$387-EFEITO!$M$387*EFEITO!$Z$387</f>
        <v>2.2607148846614891</v>
      </c>
      <c r="O387" s="61">
        <f>$L$387-EFEITO!$O$387*EFEITO!$AA$387</f>
        <v>0.77841229650519139</v>
      </c>
      <c r="P387" s="45"/>
      <c r="Q387" s="45"/>
      <c r="R387" s="45"/>
      <c r="S387" s="45"/>
      <c r="T387" s="45"/>
      <c r="U387" s="45"/>
      <c r="V387" s="45"/>
      <c r="W387" s="45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1.25" customHeight="1" x14ac:dyDescent="0.2">
      <c r="A388" s="41" t="s">
        <v>21</v>
      </c>
      <c r="B388" s="41" t="s">
        <v>41</v>
      </c>
      <c r="C388" s="41" t="s">
        <v>23</v>
      </c>
      <c r="D388" s="41" t="s">
        <v>42</v>
      </c>
      <c r="E388" s="41" t="s">
        <v>49</v>
      </c>
      <c r="F388" s="41" t="s">
        <v>51</v>
      </c>
      <c r="G388" s="41" t="s">
        <v>25</v>
      </c>
      <c r="H388" s="41" t="s">
        <v>25</v>
      </c>
      <c r="I388" s="60">
        <v>44531</v>
      </c>
      <c r="J388" s="61">
        <f>EFEITO!$J$388*EFEITO!$Y$272</f>
        <v>0</v>
      </c>
      <c r="K388" s="61">
        <f ca="1">EFEITO!$L$388*EFEITO!$Z$272</f>
        <v>46377.766616194422</v>
      </c>
      <c r="L388" s="61">
        <f>EFEITO!$N$388*EFEITO!$AA$272</f>
        <v>15968.853066537578</v>
      </c>
      <c r="M388" s="61">
        <f>$J$388-EFEITO!$K$388*EFEITO!$Y$388</f>
        <v>0</v>
      </c>
      <c r="N388" s="61">
        <f ca="1">$K$388-EFEITO!$M$388*EFEITO!$Z$388</f>
        <v>28939.726368505322</v>
      </c>
      <c r="O388" s="61">
        <f>$L$388-EFEITO!$O$388*EFEITO!$AA$388</f>
        <v>9964.5643135194496</v>
      </c>
      <c r="P388" s="45"/>
      <c r="Q388" s="45"/>
      <c r="R388" s="45"/>
      <c r="S388" s="45"/>
      <c r="T388" s="45"/>
      <c r="U388" s="45"/>
      <c r="V388" s="45"/>
      <c r="W388" s="45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1.25" customHeight="1" x14ac:dyDescent="0.2">
      <c r="A389" s="41" t="s">
        <v>28</v>
      </c>
      <c r="B389" s="41" t="s">
        <v>41</v>
      </c>
      <c r="C389" s="41" t="s">
        <v>23</v>
      </c>
      <c r="D389" s="41" t="s">
        <v>42</v>
      </c>
      <c r="E389" s="41" t="s">
        <v>49</v>
      </c>
      <c r="F389" s="41" t="s">
        <v>51</v>
      </c>
      <c r="G389" s="41" t="s">
        <v>25</v>
      </c>
      <c r="H389" s="41" t="s">
        <v>25</v>
      </c>
      <c r="I389" s="60">
        <v>44531</v>
      </c>
      <c r="J389" s="61">
        <f>EFEITO!$J$389*EFEITO!$Y$272</f>
        <v>0</v>
      </c>
      <c r="K389" s="61">
        <f ca="1">EFEITO!$L$389*EFEITO!$Z$272</f>
        <v>71.931837239229154</v>
      </c>
      <c r="L389" s="61">
        <f>EFEITO!$N$389*EFEITO!$AA$272</f>
        <v>24.767663979710662</v>
      </c>
      <c r="M389" s="61">
        <f>$J$389-EFEITO!$K$389*EFEITO!$Y$389</f>
        <v>0</v>
      </c>
      <c r="N389" s="61">
        <f ca="1">$K$389-EFEITO!$M$389*EFEITO!$Z$389</f>
        <v>4.3159102343537512</v>
      </c>
      <c r="O389" s="61">
        <f>$L$389-EFEITO!$O$389*EFEITO!$AA$389</f>
        <v>1.4860598387826371</v>
      </c>
      <c r="P389" s="45"/>
      <c r="Q389" s="45"/>
      <c r="R389" s="45"/>
      <c r="S389" s="45"/>
      <c r="T389" s="45"/>
      <c r="U389" s="45"/>
      <c r="V389" s="45"/>
      <c r="W389" s="45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1.25" customHeight="1" x14ac:dyDescent="0.2">
      <c r="A390" s="41" t="s">
        <v>21</v>
      </c>
      <c r="B390" s="41" t="s">
        <v>41</v>
      </c>
      <c r="C390" s="41" t="s">
        <v>23</v>
      </c>
      <c r="D390" s="41" t="s">
        <v>42</v>
      </c>
      <c r="E390" s="41" t="s">
        <v>49</v>
      </c>
      <c r="F390" s="41" t="s">
        <v>51</v>
      </c>
      <c r="G390" s="41" t="s">
        <v>25</v>
      </c>
      <c r="H390" s="41" t="s">
        <v>25</v>
      </c>
      <c r="I390" s="60">
        <v>44562</v>
      </c>
      <c r="J390" s="61">
        <f>EFEITO!$J$390*EFEITO!$Y$272</f>
        <v>0</v>
      </c>
      <c r="K390" s="61">
        <f ca="1">EFEITO!$L$390*EFEITO!$Z$272</f>
        <v>29971.027962081676</v>
      </c>
      <c r="L390" s="61">
        <f>EFEITO!$N$390*EFEITO!$AA$272</f>
        <v>10319.663422784366</v>
      </c>
      <c r="M390" s="61">
        <f>$J$390-EFEITO!$K$390*EFEITO!$Y$390</f>
        <v>0</v>
      </c>
      <c r="N390" s="61">
        <f ca="1">$K$390-EFEITO!$M$390*EFEITO!$Z$390</f>
        <v>18701.921448338966</v>
      </c>
      <c r="O390" s="61">
        <f>$L$390-EFEITO!$O$390*EFEITO!$AA$390</f>
        <v>6439.4699758174447</v>
      </c>
      <c r="P390" s="45"/>
      <c r="Q390" s="45"/>
      <c r="R390" s="45"/>
      <c r="S390" s="45"/>
      <c r="T390" s="45"/>
      <c r="U390" s="45"/>
      <c r="V390" s="45"/>
      <c r="W390" s="45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1.25" customHeight="1" x14ac:dyDescent="0.2">
      <c r="A391" s="41" t="s">
        <v>28</v>
      </c>
      <c r="B391" s="41" t="s">
        <v>41</v>
      </c>
      <c r="C391" s="41" t="s">
        <v>23</v>
      </c>
      <c r="D391" s="41" t="s">
        <v>42</v>
      </c>
      <c r="E391" s="41" t="s">
        <v>49</v>
      </c>
      <c r="F391" s="41" t="s">
        <v>51</v>
      </c>
      <c r="G391" s="41" t="s">
        <v>25</v>
      </c>
      <c r="H391" s="41" t="s">
        <v>25</v>
      </c>
      <c r="I391" s="60">
        <v>44562</v>
      </c>
      <c r="J391" s="61">
        <f>EFEITO!$J$391*EFEITO!$Y$272</f>
        <v>0</v>
      </c>
      <c r="K391" s="61">
        <f ca="1">EFEITO!$L$391*EFEITO!$Z$272</f>
        <v>496.1013219118264</v>
      </c>
      <c r="L391" s="61">
        <f>EFEITO!$N$391*EFEITO!$AA$272</f>
        <v>170.81825395530609</v>
      </c>
      <c r="M391" s="61">
        <f>$J$391-EFEITO!$K$391*EFEITO!$Y$391</f>
        <v>0</v>
      </c>
      <c r="N391" s="61">
        <f ca="1">$K$391-EFEITO!$M$391*EFEITO!$Z$391</f>
        <v>29.7660793147096</v>
      </c>
      <c r="O391" s="61">
        <f>$L$391-EFEITO!$O$391*EFEITO!$AA$391</f>
        <v>10.249095237318386</v>
      </c>
      <c r="P391" s="45"/>
      <c r="Q391" s="45"/>
      <c r="R391" s="45"/>
      <c r="S391" s="45"/>
      <c r="T391" s="45"/>
      <c r="U391" s="45"/>
      <c r="V391" s="45"/>
      <c r="W391" s="45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1.25" customHeight="1" x14ac:dyDescent="0.2">
      <c r="A392" s="41" t="s">
        <v>21</v>
      </c>
      <c r="B392" s="41" t="s">
        <v>41</v>
      </c>
      <c r="C392" s="41" t="s">
        <v>23</v>
      </c>
      <c r="D392" s="41" t="s">
        <v>42</v>
      </c>
      <c r="E392" s="41" t="s">
        <v>49</v>
      </c>
      <c r="F392" s="41" t="s">
        <v>51</v>
      </c>
      <c r="G392" s="41" t="s">
        <v>25</v>
      </c>
      <c r="H392" s="41" t="s">
        <v>25</v>
      </c>
      <c r="I392" s="60">
        <v>44593</v>
      </c>
      <c r="J392" s="61">
        <f>EFEITO!$J$392*EFEITO!$Y$272</f>
        <v>0</v>
      </c>
      <c r="K392" s="61">
        <f ca="1">EFEITO!$L$392*EFEITO!$Z$272</f>
        <v>16036.803491168143</v>
      </c>
      <c r="L392" s="61">
        <f>EFEITO!$N$392*EFEITO!$AA$272</f>
        <v>5521.8130861432719</v>
      </c>
      <c r="M392" s="61">
        <f>$J$392-EFEITO!$K$392*EFEITO!$Y$392</f>
        <v>0</v>
      </c>
      <c r="N392" s="61">
        <f ca="1">$K$392-EFEITO!$M$392*EFEITO!$Z$392</f>
        <v>10006.965378488921</v>
      </c>
      <c r="O392" s="61">
        <f>$L$392-EFEITO!$O$392*EFEITO!$AA$392</f>
        <v>3445.611365753402</v>
      </c>
      <c r="P392" s="45"/>
      <c r="Q392" s="45"/>
      <c r="R392" s="45"/>
      <c r="S392" s="45"/>
      <c r="T392" s="45"/>
      <c r="U392" s="45"/>
      <c r="V392" s="45"/>
      <c r="W392" s="45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1.25" customHeight="1" x14ac:dyDescent="0.2">
      <c r="A393" s="41" t="s">
        <v>21</v>
      </c>
      <c r="B393" s="41" t="s">
        <v>41</v>
      </c>
      <c r="C393" s="41" t="s">
        <v>23</v>
      </c>
      <c r="D393" s="41" t="s">
        <v>42</v>
      </c>
      <c r="E393" s="41" t="s">
        <v>49</v>
      </c>
      <c r="F393" s="41" t="s">
        <v>51</v>
      </c>
      <c r="G393" s="41" t="s">
        <v>25</v>
      </c>
      <c r="H393" s="41" t="s">
        <v>25</v>
      </c>
      <c r="I393" s="60">
        <v>44621</v>
      </c>
      <c r="J393" s="61">
        <f>EFEITO!$J$393*EFEITO!$Y$272</f>
        <v>0</v>
      </c>
      <c r="K393" s="61">
        <f ca="1">EFEITO!$L$393*EFEITO!$Z$272</f>
        <v>12779.889749503045</v>
      </c>
      <c r="L393" s="61">
        <f>EFEITO!$N$393*EFEITO!$AA$272</f>
        <v>4400.3883003952606</v>
      </c>
      <c r="M393" s="61">
        <f>$J$393-EFEITO!$K$393*EFEITO!$Y$393</f>
        <v>0</v>
      </c>
      <c r="N393" s="61">
        <f ca="1">$K$393-EFEITO!$M$393*EFEITO!$Z$393</f>
        <v>7974.6512036899003</v>
      </c>
      <c r="O393" s="61">
        <f>$L$393-EFEITO!$O$393*EFEITO!$AA$393</f>
        <v>2745.8422994466423</v>
      </c>
      <c r="P393" s="45"/>
      <c r="Q393" s="45"/>
      <c r="R393" s="45"/>
      <c r="S393" s="45"/>
      <c r="T393" s="45"/>
      <c r="U393" s="45"/>
      <c r="V393" s="45"/>
      <c r="W393" s="45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1.25" customHeight="1" x14ac:dyDescent="0.2">
      <c r="A394" s="41" t="s">
        <v>21</v>
      </c>
      <c r="B394" s="41" t="s">
        <v>41</v>
      </c>
      <c r="C394" s="41" t="s">
        <v>23</v>
      </c>
      <c r="D394" s="41" t="s">
        <v>42</v>
      </c>
      <c r="E394" s="41" t="s">
        <v>49</v>
      </c>
      <c r="F394" s="41" t="s">
        <v>51</v>
      </c>
      <c r="G394" s="41" t="s">
        <v>25</v>
      </c>
      <c r="H394" s="41" t="s">
        <v>25</v>
      </c>
      <c r="I394" s="60">
        <v>44652</v>
      </c>
      <c r="J394" s="61">
        <f>EFEITO!$J$394*EFEITO!$Y$272</f>
        <v>0</v>
      </c>
      <c r="K394" s="61">
        <f ca="1">EFEITO!$L$394*EFEITO!$Z$272</f>
        <v>333.39835672785568</v>
      </c>
      <c r="L394" s="61">
        <f>EFEITO!$N$394*EFEITO!$AA$272</f>
        <v>114.79615685834148</v>
      </c>
      <c r="M394" s="61">
        <f>$J$394-EFEITO!$K$394*EFEITO!$Y$394</f>
        <v>0</v>
      </c>
      <c r="N394" s="61">
        <f ca="1">$K$394-EFEITO!$M$394*EFEITO!$Z$394</f>
        <v>208.04057459818193</v>
      </c>
      <c r="O394" s="61">
        <f>$L$394-EFEITO!$O$394*EFEITO!$AA$394</f>
        <v>71.632801879605069</v>
      </c>
      <c r="P394" s="45"/>
      <c r="Q394" s="45"/>
      <c r="R394" s="45"/>
      <c r="S394" s="45"/>
      <c r="T394" s="45"/>
      <c r="U394" s="45"/>
      <c r="V394" s="45"/>
      <c r="W394" s="45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1.25" customHeight="1" x14ac:dyDescent="0.2">
      <c r="A395" s="41" t="s">
        <v>27</v>
      </c>
      <c r="B395" s="41" t="s">
        <v>41</v>
      </c>
      <c r="C395" s="41" t="s">
        <v>23</v>
      </c>
      <c r="D395" s="41" t="s">
        <v>42</v>
      </c>
      <c r="E395" s="41" t="s">
        <v>49</v>
      </c>
      <c r="F395" s="41" t="s">
        <v>51</v>
      </c>
      <c r="G395" s="41" t="s">
        <v>25</v>
      </c>
      <c r="H395" s="41" t="s">
        <v>25</v>
      </c>
      <c r="I395" s="60">
        <v>44652</v>
      </c>
      <c r="J395" s="61">
        <f>EFEITO!$J$395*EFEITO!$Y$272</f>
        <v>0</v>
      </c>
      <c r="K395" s="61">
        <f ca="1">EFEITO!$L$395*EFEITO!$Z$272</f>
        <v>-1547.6762758377001</v>
      </c>
      <c r="L395" s="61">
        <f>EFEITO!$N$395*EFEITO!$AA$272</f>
        <v>-532.89791308726672</v>
      </c>
      <c r="M395" s="61">
        <f>$J$395-EFEITO!$K$395*EFEITO!$Y$395</f>
        <v>0</v>
      </c>
      <c r="N395" s="61">
        <f ca="1">$K$395-EFEITO!$M$395*EFEITO!$Z$395</f>
        <v>-965.74999612272484</v>
      </c>
      <c r="O395" s="61">
        <f>$L$395-EFEITO!$O$395*EFEITO!$AA$395</f>
        <v>-332.52829776645444</v>
      </c>
      <c r="P395" s="45"/>
      <c r="Q395" s="45"/>
      <c r="R395" s="45"/>
      <c r="S395" s="45"/>
      <c r="T395" s="45"/>
      <c r="U395" s="45"/>
      <c r="V395" s="45"/>
      <c r="W395" s="45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1.25" customHeight="1" x14ac:dyDescent="0.2">
      <c r="A396" s="41" t="s">
        <v>21</v>
      </c>
      <c r="B396" s="41" t="s">
        <v>41</v>
      </c>
      <c r="C396" s="41" t="s">
        <v>23</v>
      </c>
      <c r="D396" s="41" t="s">
        <v>42</v>
      </c>
      <c r="E396" s="41" t="s">
        <v>49</v>
      </c>
      <c r="F396" s="41" t="s">
        <v>51</v>
      </c>
      <c r="G396" s="41" t="s">
        <v>25</v>
      </c>
      <c r="H396" s="41" t="s">
        <v>25</v>
      </c>
      <c r="I396" s="60">
        <v>44682</v>
      </c>
      <c r="J396" s="61">
        <f>EFEITO!$J$396*EFEITO!$Y$272</f>
        <v>0</v>
      </c>
      <c r="K396" s="61">
        <f ca="1">EFEITO!$L$396*EFEITO!$Z$272</f>
        <v>317.98439160516381</v>
      </c>
      <c r="L396" s="61">
        <f>EFEITO!$N$396*EFEITO!$AA$272</f>
        <v>109.48880029126065</v>
      </c>
      <c r="M396" s="61">
        <f>$J$396-EFEITO!$K$396*EFEITO!$Y$396</f>
        <v>0</v>
      </c>
      <c r="N396" s="61">
        <f ca="1">$K$396-EFEITO!$M$396*EFEITO!$Z$396</f>
        <v>198.42226036162225</v>
      </c>
      <c r="O396" s="61">
        <f>$L$396-EFEITO!$O$396*EFEITO!$AA$396</f>
        <v>68.321011381746644</v>
      </c>
      <c r="P396" s="45"/>
      <c r="Q396" s="45"/>
      <c r="R396" s="45"/>
      <c r="S396" s="45"/>
      <c r="T396" s="45"/>
      <c r="U396" s="45"/>
      <c r="V396" s="45"/>
      <c r="W396" s="45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1.25" customHeight="1" x14ac:dyDescent="0.2">
      <c r="A397" s="41" t="s">
        <v>28</v>
      </c>
      <c r="B397" s="41" t="s">
        <v>41</v>
      </c>
      <c r="C397" s="41" t="s">
        <v>23</v>
      </c>
      <c r="D397" s="41" t="s">
        <v>42</v>
      </c>
      <c r="E397" s="41" t="s">
        <v>49</v>
      </c>
      <c r="F397" s="41" t="s">
        <v>51</v>
      </c>
      <c r="G397" s="41" t="s">
        <v>25</v>
      </c>
      <c r="H397" s="41" t="s">
        <v>25</v>
      </c>
      <c r="I397" s="60">
        <v>44682</v>
      </c>
      <c r="J397" s="61">
        <f>EFEITO!$J$397*EFEITO!$Y$272</f>
        <v>0</v>
      </c>
      <c r="K397" s="61">
        <f ca="1">EFEITO!$L$397*EFEITO!$Z$272</f>
        <v>10.846864345598046</v>
      </c>
      <c r="L397" s="61">
        <f>EFEITO!$N$397*EFEITO!$AA$272</f>
        <v>3.7348064731309729</v>
      </c>
      <c r="M397" s="61">
        <f>$J$397-EFEITO!$K$397*EFEITO!$Y$397</f>
        <v>0</v>
      </c>
      <c r="N397" s="61">
        <f ca="1">$K$397-EFEITO!$M$397*EFEITO!$Z$397</f>
        <v>0.65081186073588349</v>
      </c>
      <c r="O397" s="61">
        <f>$L$397-EFEITO!$O$397*EFEITO!$AA$397</f>
        <v>0.22408838838785838</v>
      </c>
      <c r="P397" s="45"/>
      <c r="Q397" s="45"/>
      <c r="R397" s="45"/>
      <c r="S397" s="45"/>
      <c r="T397" s="45"/>
      <c r="U397" s="45"/>
      <c r="V397" s="45"/>
      <c r="W397" s="45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1.25" customHeight="1" x14ac:dyDescent="0.2">
      <c r="A398" s="41" t="s">
        <v>21</v>
      </c>
      <c r="B398" s="41" t="s">
        <v>41</v>
      </c>
      <c r="C398" s="41" t="s">
        <v>23</v>
      </c>
      <c r="D398" s="41" t="s">
        <v>42</v>
      </c>
      <c r="E398" s="41" t="s">
        <v>49</v>
      </c>
      <c r="F398" s="41" t="s">
        <v>51</v>
      </c>
      <c r="G398" s="41" t="s">
        <v>25</v>
      </c>
      <c r="H398" s="41" t="s">
        <v>25</v>
      </c>
      <c r="I398" s="60">
        <v>44713</v>
      </c>
      <c r="J398" s="61">
        <f>EFEITO!$J$398*EFEITO!$Y$272</f>
        <v>0</v>
      </c>
      <c r="K398" s="61">
        <f ca="1">EFEITO!$L$398*EFEITO!$Z$272</f>
        <v>186.10935666657701</v>
      </c>
      <c r="L398" s="61">
        <f>EFEITO!$N$398*EFEITO!$AA$272</f>
        <v>64.081416328457749</v>
      </c>
      <c r="M398" s="61">
        <f>$J$398-EFEITO!$K$398*EFEITO!$Y$398</f>
        <v>0</v>
      </c>
      <c r="N398" s="61">
        <f ca="1">$K$398-EFEITO!$M$398*EFEITO!$Z$398</f>
        <v>116.13223855994407</v>
      </c>
      <c r="O398" s="61">
        <f>$L$398-EFEITO!$O$398*EFEITO!$AA$398</f>
        <v>39.986803788957637</v>
      </c>
      <c r="P398" s="45"/>
      <c r="Q398" s="45"/>
      <c r="R398" s="45"/>
      <c r="S398" s="45"/>
      <c r="T398" s="45"/>
      <c r="U398" s="45"/>
      <c r="V398" s="45"/>
      <c r="W398" s="45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1.25" customHeight="1" x14ac:dyDescent="0.2">
      <c r="A399" s="41" t="s">
        <v>21</v>
      </c>
      <c r="B399" s="41" t="s">
        <v>41</v>
      </c>
      <c r="C399" s="41" t="s">
        <v>23</v>
      </c>
      <c r="D399" s="41" t="s">
        <v>42</v>
      </c>
      <c r="E399" s="41" t="s">
        <v>52</v>
      </c>
      <c r="F399" s="41" t="s">
        <v>50</v>
      </c>
      <c r="G399" s="41" t="s">
        <v>25</v>
      </c>
      <c r="H399" s="41" t="s">
        <v>25</v>
      </c>
      <c r="I399" s="60">
        <v>44378</v>
      </c>
      <c r="J399" s="61">
        <f>EFEITO!$J$399*EFEITO!$Y$272</f>
        <v>0</v>
      </c>
      <c r="K399" s="61">
        <f ca="1">EFEITO!$L$399*EFEITO!$Z$272</f>
        <v>1241.1096361752711</v>
      </c>
      <c r="L399" s="61">
        <f>EFEITO!$N$399*EFEITO!$AA$272</f>
        <v>427.34048803088081</v>
      </c>
      <c r="M399" s="61">
        <f>$J$399-EFEITO!$K$399*EFEITO!$Y$399</f>
        <v>0</v>
      </c>
      <c r="N399" s="61">
        <f ca="1">$K$399-EFEITO!$M$399*EFEITO!$Z$399</f>
        <v>74.466578170516414</v>
      </c>
      <c r="O399" s="61">
        <f>$L$399-EFEITO!$O$399*EFEITO!$AA$399</f>
        <v>25.640429281852846</v>
      </c>
      <c r="P399" s="45"/>
      <c r="Q399" s="45"/>
      <c r="R399" s="45"/>
      <c r="S399" s="45"/>
      <c r="T399" s="45"/>
      <c r="U399" s="45"/>
      <c r="V399" s="45"/>
      <c r="W399" s="45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1.25" customHeight="1" x14ac:dyDescent="0.2">
      <c r="A400" s="41" t="s">
        <v>21</v>
      </c>
      <c r="B400" s="41" t="s">
        <v>41</v>
      </c>
      <c r="C400" s="41" t="s">
        <v>23</v>
      </c>
      <c r="D400" s="41" t="s">
        <v>42</v>
      </c>
      <c r="E400" s="41" t="s">
        <v>52</v>
      </c>
      <c r="F400" s="41" t="s">
        <v>50</v>
      </c>
      <c r="G400" s="41" t="s">
        <v>25</v>
      </c>
      <c r="H400" s="41" t="s">
        <v>25</v>
      </c>
      <c r="I400" s="60">
        <v>44409</v>
      </c>
      <c r="J400" s="61">
        <f>EFEITO!$J$400*EFEITO!$Y$272</f>
        <v>0</v>
      </c>
      <c r="K400" s="61">
        <f ca="1">EFEITO!$L$400*EFEITO!$Z$272</f>
        <v>607.99529095062724</v>
      </c>
      <c r="L400" s="61">
        <f>EFEITO!$N$400*EFEITO!$AA$272</f>
        <v>209.34573125707823</v>
      </c>
      <c r="M400" s="61">
        <f>$J$400-EFEITO!$K$400*EFEITO!$Y$400</f>
        <v>0</v>
      </c>
      <c r="N400" s="61">
        <f ca="1">$K$400-EFEITO!$M$400*EFEITO!$Z$400</f>
        <v>36.479717457037623</v>
      </c>
      <c r="O400" s="61">
        <f>$L$400-EFEITO!$O$400*EFEITO!$AA$400</f>
        <v>12.560743875424691</v>
      </c>
      <c r="P400" s="45"/>
      <c r="Q400" s="45"/>
      <c r="R400" s="45"/>
      <c r="S400" s="45"/>
      <c r="T400" s="45"/>
      <c r="U400" s="45"/>
      <c r="V400" s="45"/>
      <c r="W400" s="45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1.25" customHeight="1" x14ac:dyDescent="0.2">
      <c r="A401" s="41" t="s">
        <v>21</v>
      </c>
      <c r="B401" s="41" t="s">
        <v>41</v>
      </c>
      <c r="C401" s="41" t="s">
        <v>23</v>
      </c>
      <c r="D401" s="41" t="s">
        <v>42</v>
      </c>
      <c r="E401" s="41" t="s">
        <v>52</v>
      </c>
      <c r="F401" s="41" t="s">
        <v>50</v>
      </c>
      <c r="G401" s="41" t="s">
        <v>25</v>
      </c>
      <c r="H401" s="41" t="s">
        <v>25</v>
      </c>
      <c r="I401" s="60">
        <v>44440</v>
      </c>
      <c r="J401" s="61">
        <f>EFEITO!$J$401*EFEITO!$Y$272</f>
        <v>0</v>
      </c>
      <c r="K401" s="61">
        <f ca="1">EFEITO!$L$401*EFEITO!$Z$272</f>
        <v>187.82201945798724</v>
      </c>
      <c r="L401" s="61">
        <f>EFEITO!$N$401*EFEITO!$AA$272</f>
        <v>64.671122613688951</v>
      </c>
      <c r="M401" s="61">
        <f>$J$401-EFEITO!$K$401*EFEITO!$Y$401</f>
        <v>0</v>
      </c>
      <c r="N401" s="61">
        <f ca="1">$K$401-EFEITO!$M$401*EFEITO!$Z$401</f>
        <v>11.269321167479262</v>
      </c>
      <c r="O401" s="61">
        <f>$L$401-EFEITO!$O$401*EFEITO!$AA$401</f>
        <v>3.880267356821328</v>
      </c>
      <c r="P401" s="45"/>
      <c r="Q401" s="45"/>
      <c r="R401" s="45"/>
      <c r="S401" s="45"/>
      <c r="T401" s="45"/>
      <c r="U401" s="45"/>
      <c r="V401" s="45"/>
      <c r="W401" s="45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1.25" customHeight="1" x14ac:dyDescent="0.2">
      <c r="A402" s="41" t="s">
        <v>21</v>
      </c>
      <c r="B402" s="41" t="s">
        <v>41</v>
      </c>
      <c r="C402" s="41" t="s">
        <v>23</v>
      </c>
      <c r="D402" s="41" t="s">
        <v>42</v>
      </c>
      <c r="E402" s="41" t="s">
        <v>52</v>
      </c>
      <c r="F402" s="41" t="s">
        <v>50</v>
      </c>
      <c r="G402" s="41" t="s">
        <v>25</v>
      </c>
      <c r="H402" s="41" t="s">
        <v>25</v>
      </c>
      <c r="I402" s="60">
        <v>44470</v>
      </c>
      <c r="J402" s="61">
        <f>EFEITO!$J$402*EFEITO!$Y$272</f>
        <v>0</v>
      </c>
      <c r="K402" s="61">
        <f ca="1">EFEITO!$L$402*EFEITO!$Z$272</f>
        <v>335.68190711640267</v>
      </c>
      <c r="L402" s="61">
        <f>EFEITO!$N$402*EFEITO!$AA$272</f>
        <v>115.58243190531643</v>
      </c>
      <c r="M402" s="61">
        <f>$J$402-EFEITO!$K$402*EFEITO!$Y$402</f>
        <v>0</v>
      </c>
      <c r="N402" s="61">
        <f ca="1">$K$402-EFEITO!$M$402*EFEITO!$Z$402</f>
        <v>20.140914426984182</v>
      </c>
      <c r="O402" s="61">
        <f>$L$402-EFEITO!$O$402*EFEITO!$AA$402</f>
        <v>6.9349459143189875</v>
      </c>
      <c r="P402" s="45"/>
      <c r="Q402" s="45"/>
      <c r="R402" s="45"/>
      <c r="S402" s="45"/>
      <c r="T402" s="45"/>
      <c r="U402" s="45"/>
      <c r="V402" s="45"/>
      <c r="W402" s="45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1.25" customHeight="1" x14ac:dyDescent="0.2">
      <c r="A403" s="41" t="s">
        <v>21</v>
      </c>
      <c r="B403" s="41" t="s">
        <v>41</v>
      </c>
      <c r="C403" s="41" t="s">
        <v>23</v>
      </c>
      <c r="D403" s="41" t="s">
        <v>42</v>
      </c>
      <c r="E403" s="41" t="s">
        <v>52</v>
      </c>
      <c r="F403" s="41" t="s">
        <v>50</v>
      </c>
      <c r="G403" s="41" t="s">
        <v>25</v>
      </c>
      <c r="H403" s="41" t="s">
        <v>25</v>
      </c>
      <c r="I403" s="60">
        <v>44501</v>
      </c>
      <c r="J403" s="61">
        <f>EFEITO!$J$403*EFEITO!$Y$272</f>
        <v>0</v>
      </c>
      <c r="K403" s="61">
        <f ca="1">EFEITO!$L$403*EFEITO!$Z$272</f>
        <v>504.09374827174076</v>
      </c>
      <c r="L403" s="61">
        <f>EFEITO!$N$403*EFEITO!$AA$272</f>
        <v>173.57021661971837</v>
      </c>
      <c r="M403" s="61">
        <f>$J$403-EFEITO!$K$403*EFEITO!$Y$403</f>
        <v>0</v>
      </c>
      <c r="N403" s="61">
        <f ca="1">$K$403-EFEITO!$M$403*EFEITO!$Z$403</f>
        <v>30.245624896304435</v>
      </c>
      <c r="O403" s="61">
        <f>$L$403-EFEITO!$O$403*EFEITO!$AA$403</f>
        <v>10.414212997183085</v>
      </c>
      <c r="P403" s="45"/>
      <c r="Q403" s="45"/>
      <c r="R403" s="45"/>
      <c r="S403" s="45"/>
      <c r="T403" s="45"/>
      <c r="U403" s="45"/>
      <c r="V403" s="45"/>
      <c r="W403" s="45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1.25" customHeight="1" x14ac:dyDescent="0.2">
      <c r="A404" s="41" t="s">
        <v>21</v>
      </c>
      <c r="B404" s="41" t="s">
        <v>41</v>
      </c>
      <c r="C404" s="41" t="s">
        <v>23</v>
      </c>
      <c r="D404" s="41" t="s">
        <v>42</v>
      </c>
      <c r="E404" s="41" t="s">
        <v>52</v>
      </c>
      <c r="F404" s="41" t="s">
        <v>50</v>
      </c>
      <c r="G404" s="41" t="s">
        <v>25</v>
      </c>
      <c r="H404" s="41" t="s">
        <v>25</v>
      </c>
      <c r="I404" s="60">
        <v>44531</v>
      </c>
      <c r="J404" s="61">
        <f>EFEITO!$J$404*EFEITO!$Y$272</f>
        <v>0</v>
      </c>
      <c r="K404" s="61">
        <f ca="1">EFEITO!$L$404*EFEITO!$Z$272</f>
        <v>407.04285675849508</v>
      </c>
      <c r="L404" s="61">
        <f>EFEITO!$N$404*EFEITO!$AA$272</f>
        <v>140.15352712328334</v>
      </c>
      <c r="M404" s="61">
        <f>$J$404-EFEITO!$K$404*EFEITO!$Y$404</f>
        <v>0</v>
      </c>
      <c r="N404" s="61">
        <f ca="1">$K$404-EFEITO!$M$404*EFEITO!$Z$404</f>
        <v>24.4225714055097</v>
      </c>
      <c r="O404" s="61">
        <f>$L$404-EFEITO!$O$404*EFEITO!$AA$404</f>
        <v>8.409211627396985</v>
      </c>
      <c r="P404" s="45"/>
      <c r="Q404" s="45"/>
      <c r="R404" s="45"/>
      <c r="S404" s="45"/>
      <c r="T404" s="45"/>
      <c r="U404" s="45"/>
      <c r="V404" s="45"/>
      <c r="W404" s="45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1.25" customHeight="1" x14ac:dyDescent="0.2">
      <c r="A405" s="41" t="s">
        <v>21</v>
      </c>
      <c r="B405" s="41" t="s">
        <v>41</v>
      </c>
      <c r="C405" s="41" t="s">
        <v>23</v>
      </c>
      <c r="D405" s="41" t="s">
        <v>42</v>
      </c>
      <c r="E405" s="41" t="s">
        <v>52</v>
      </c>
      <c r="F405" s="41" t="s">
        <v>50</v>
      </c>
      <c r="G405" s="41" t="s">
        <v>25</v>
      </c>
      <c r="H405" s="41" t="s">
        <v>25</v>
      </c>
      <c r="I405" s="60">
        <v>44562</v>
      </c>
      <c r="J405" s="61">
        <f>EFEITO!$J$405*EFEITO!$Y$272</f>
        <v>0</v>
      </c>
      <c r="K405" s="61">
        <f ca="1">EFEITO!$L$405*EFEITO!$Z$272</f>
        <v>1050.4331787316003</v>
      </c>
      <c r="L405" s="61">
        <f>EFEITO!$N$405*EFEITO!$AA$272</f>
        <v>361.68652160847319</v>
      </c>
      <c r="M405" s="61">
        <f>$J$405-EFEITO!$K$405*EFEITO!$Y$405</f>
        <v>0</v>
      </c>
      <c r="N405" s="61">
        <f ca="1">$K$405-EFEITO!$M$405*EFEITO!$Z$405</f>
        <v>63.02599072389603</v>
      </c>
      <c r="O405" s="61">
        <f>$L$405-EFEITO!$O$405*EFEITO!$AA$405</f>
        <v>21.701191296508398</v>
      </c>
      <c r="P405" s="45"/>
      <c r="Q405" s="45"/>
      <c r="R405" s="45"/>
      <c r="S405" s="45"/>
      <c r="T405" s="45"/>
      <c r="U405" s="45"/>
      <c r="V405" s="45"/>
      <c r="W405" s="45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1.25" customHeight="1" x14ac:dyDescent="0.2">
      <c r="A406" s="41" t="s">
        <v>21</v>
      </c>
      <c r="B406" s="41" t="s">
        <v>41</v>
      </c>
      <c r="C406" s="41" t="s">
        <v>23</v>
      </c>
      <c r="D406" s="41" t="s">
        <v>42</v>
      </c>
      <c r="E406" s="41" t="s">
        <v>52</v>
      </c>
      <c r="F406" s="41" t="s">
        <v>50</v>
      </c>
      <c r="G406" s="41" t="s">
        <v>25</v>
      </c>
      <c r="H406" s="41" t="s">
        <v>25</v>
      </c>
      <c r="I406" s="60">
        <v>44593</v>
      </c>
      <c r="J406" s="61">
        <f>EFEITO!$J$406*EFEITO!$Y$272</f>
        <v>0</v>
      </c>
      <c r="K406" s="61">
        <f ca="1">EFEITO!$L$406*EFEITO!$Z$272</f>
        <v>902.57329107318469</v>
      </c>
      <c r="L406" s="61">
        <f>EFEITO!$N$406*EFEITO!$AA$272</f>
        <v>310.77521231684568</v>
      </c>
      <c r="M406" s="61">
        <f>$J$406-EFEITO!$K$406*EFEITO!$Y$406</f>
        <v>0</v>
      </c>
      <c r="N406" s="61">
        <f ca="1">$K$406-EFEITO!$M$406*EFEITO!$Z$406</f>
        <v>54.154397464391081</v>
      </c>
      <c r="O406" s="61">
        <f>$L$406-EFEITO!$O$406*EFEITO!$AA$406</f>
        <v>18.646512739010745</v>
      </c>
      <c r="P406" s="45"/>
      <c r="Q406" s="45"/>
      <c r="R406" s="45"/>
      <c r="S406" s="45"/>
      <c r="T406" s="45"/>
      <c r="U406" s="45"/>
      <c r="V406" s="45"/>
      <c r="W406" s="45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1.25" customHeight="1" x14ac:dyDescent="0.2">
      <c r="A407" s="41" t="s">
        <v>21</v>
      </c>
      <c r="B407" s="41" t="s">
        <v>41</v>
      </c>
      <c r="C407" s="41" t="s">
        <v>23</v>
      </c>
      <c r="D407" s="41" t="s">
        <v>42</v>
      </c>
      <c r="E407" s="41" t="s">
        <v>52</v>
      </c>
      <c r="F407" s="41" t="s">
        <v>50</v>
      </c>
      <c r="G407" s="41" t="s">
        <v>25</v>
      </c>
      <c r="H407" s="41" t="s">
        <v>25</v>
      </c>
      <c r="I407" s="60">
        <v>44621</v>
      </c>
      <c r="J407" s="61">
        <f>EFEITO!$J$407*EFEITO!$Y$272</f>
        <v>0</v>
      </c>
      <c r="K407" s="61">
        <f ca="1">EFEITO!$L$407*EFEITO!$Z$272</f>
        <v>863.75293446788646</v>
      </c>
      <c r="L407" s="61">
        <f>EFEITO!$N$407*EFEITO!$AA$272</f>
        <v>297.40853651827166</v>
      </c>
      <c r="M407" s="61">
        <f>$J$407-EFEITO!$K$407*EFEITO!$Y$407</f>
        <v>0</v>
      </c>
      <c r="N407" s="61">
        <f ca="1">$K$407-EFEITO!$M$407*EFEITO!$Z$407</f>
        <v>51.825176068073233</v>
      </c>
      <c r="O407" s="61">
        <f>$L$407-EFEITO!$O$407*EFEITO!$AA$407</f>
        <v>17.844512191096271</v>
      </c>
      <c r="P407" s="45"/>
      <c r="Q407" s="45"/>
      <c r="R407" s="45"/>
      <c r="S407" s="45"/>
      <c r="T407" s="45"/>
      <c r="U407" s="45"/>
      <c r="V407" s="45"/>
      <c r="W407" s="45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1.25" customHeight="1" x14ac:dyDescent="0.2">
      <c r="A408" s="41" t="s">
        <v>21</v>
      </c>
      <c r="B408" s="41" t="s">
        <v>41</v>
      </c>
      <c r="C408" s="41" t="s">
        <v>23</v>
      </c>
      <c r="D408" s="41" t="s">
        <v>42</v>
      </c>
      <c r="E408" s="41" t="s">
        <v>52</v>
      </c>
      <c r="F408" s="41" t="s">
        <v>50</v>
      </c>
      <c r="G408" s="41" t="s">
        <v>25</v>
      </c>
      <c r="H408" s="41" t="s">
        <v>25</v>
      </c>
      <c r="I408" s="60">
        <v>44652</v>
      </c>
      <c r="J408" s="61">
        <f>EFEITO!$J$408*EFEITO!$Y$272</f>
        <v>0</v>
      </c>
      <c r="K408" s="61">
        <f ca="1">EFEITO!$L$408*EFEITO!$Z$272</f>
        <v>506.94818625742448</v>
      </c>
      <c r="L408" s="61">
        <f>EFEITO!$N$408*EFEITO!$AA$272</f>
        <v>174.55306042843705</v>
      </c>
      <c r="M408" s="61">
        <f>$J$408-EFEITO!$K$408*EFEITO!$Y$408</f>
        <v>0</v>
      </c>
      <c r="N408" s="61">
        <f ca="1">$K$408-EFEITO!$M$408*EFEITO!$Z$408</f>
        <v>30.416891175445471</v>
      </c>
      <c r="O408" s="61">
        <f>$L$408-EFEITO!$O$408*EFEITO!$AA$408</f>
        <v>10.473183625706213</v>
      </c>
      <c r="P408" s="45"/>
      <c r="Q408" s="45"/>
      <c r="R408" s="45"/>
      <c r="S408" s="45"/>
      <c r="T408" s="45"/>
      <c r="U408" s="45"/>
      <c r="V408" s="45"/>
      <c r="W408" s="45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1.25" customHeight="1" x14ac:dyDescent="0.2">
      <c r="A409" s="41" t="s">
        <v>21</v>
      </c>
      <c r="B409" s="41" t="s">
        <v>41</v>
      </c>
      <c r="C409" s="41" t="s">
        <v>23</v>
      </c>
      <c r="D409" s="41" t="s">
        <v>42</v>
      </c>
      <c r="E409" s="41" t="s">
        <v>52</v>
      </c>
      <c r="F409" s="41" t="s">
        <v>50</v>
      </c>
      <c r="G409" s="41" t="s">
        <v>25</v>
      </c>
      <c r="H409" s="41" t="s">
        <v>25</v>
      </c>
      <c r="I409" s="60">
        <v>44682</v>
      </c>
      <c r="J409" s="61">
        <f>EFEITO!$J$409*EFEITO!$Y$272</f>
        <v>0</v>
      </c>
      <c r="K409" s="61">
        <f ca="1">EFEITO!$L$409*EFEITO!$Z$272</f>
        <v>54.234321727990228</v>
      </c>
      <c r="L409" s="61">
        <f>EFEITO!$N$409*EFEITO!$AA$272</f>
        <v>18.674032365654867</v>
      </c>
      <c r="M409" s="61">
        <f>$J$409-EFEITO!$K$409*EFEITO!$Y$409</f>
        <v>0</v>
      </c>
      <c r="N409" s="61">
        <f ca="1">$K$409-EFEITO!$M$409*EFEITO!$Z$409</f>
        <v>3.2540593036794121</v>
      </c>
      <c r="O409" s="61">
        <f>$L$409-EFEITO!$O$409*EFEITO!$AA$409</f>
        <v>1.1204419419392941</v>
      </c>
      <c r="P409" s="45"/>
      <c r="Q409" s="45"/>
      <c r="R409" s="45"/>
      <c r="S409" s="45"/>
      <c r="T409" s="45"/>
      <c r="U409" s="45"/>
      <c r="V409" s="45"/>
      <c r="W409" s="45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1.25" customHeight="1" x14ac:dyDescent="0.2">
      <c r="A410" s="41" t="s">
        <v>21</v>
      </c>
      <c r="B410" s="41" t="s">
        <v>41</v>
      </c>
      <c r="C410" s="41" t="s">
        <v>23</v>
      </c>
      <c r="D410" s="41" t="s">
        <v>42</v>
      </c>
      <c r="E410" s="41" t="s">
        <v>52</v>
      </c>
      <c r="F410" s="41" t="s">
        <v>50</v>
      </c>
      <c r="G410" s="41" t="s">
        <v>25</v>
      </c>
      <c r="H410" s="41" t="s">
        <v>25</v>
      </c>
      <c r="I410" s="60">
        <v>44713</v>
      </c>
      <c r="J410" s="61">
        <f>EFEITO!$J$410*EFEITO!$Y$272</f>
        <v>0</v>
      </c>
      <c r="K410" s="61">
        <f ca="1">EFEITO!$L$410*EFEITO!$Z$272</f>
        <v>186.10935666657701</v>
      </c>
      <c r="L410" s="61">
        <f>EFEITO!$N$410*EFEITO!$AA$272</f>
        <v>64.081416328457749</v>
      </c>
      <c r="M410" s="61">
        <f>$J$410-EFEITO!$K$410*EFEITO!$Y$410</f>
        <v>0</v>
      </c>
      <c r="N410" s="61">
        <f ca="1">$K$410-EFEITO!$M$410*EFEITO!$Z$410</f>
        <v>11.166561399994634</v>
      </c>
      <c r="O410" s="61">
        <f>$L$410-EFEITO!$O$410*EFEITO!$AA$410</f>
        <v>3.8448849797074658</v>
      </c>
      <c r="P410" s="45"/>
      <c r="Q410" s="45"/>
      <c r="R410" s="45"/>
      <c r="S410" s="45"/>
      <c r="T410" s="45"/>
      <c r="U410" s="45"/>
      <c r="V410" s="45"/>
      <c r="W410" s="45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1.25" customHeight="1" x14ac:dyDescent="0.2">
      <c r="A411" s="41" t="s">
        <v>21</v>
      </c>
      <c r="B411" s="41" t="s">
        <v>41</v>
      </c>
      <c r="C411" s="41" t="s">
        <v>23</v>
      </c>
      <c r="D411" s="41" t="s">
        <v>42</v>
      </c>
      <c r="E411" s="41" t="s">
        <v>52</v>
      </c>
      <c r="F411" s="41" t="s">
        <v>51</v>
      </c>
      <c r="G411" s="41" t="s">
        <v>25</v>
      </c>
      <c r="H411" s="41" t="s">
        <v>25</v>
      </c>
      <c r="I411" s="60">
        <v>44378</v>
      </c>
      <c r="J411" s="61">
        <f>EFEITO!$J$411*EFEITO!$Y$272</f>
        <v>0</v>
      </c>
      <c r="K411" s="61">
        <f ca="1">EFEITO!$L$411*EFEITO!$Z$272</f>
        <v>1483.1659773612485</v>
      </c>
      <c r="L411" s="61">
        <f>EFEITO!$N$411*EFEITO!$AA$272</f>
        <v>510.68564301022462</v>
      </c>
      <c r="M411" s="61">
        <f>$J$411-EFEITO!$K$411*EFEITO!$Y$411</f>
        <v>0</v>
      </c>
      <c r="N411" s="61">
        <f ca="1">$K$411-EFEITO!$M$411*EFEITO!$Z$411</f>
        <v>925.49556987341907</v>
      </c>
      <c r="O411" s="61">
        <f>$L$411-EFEITO!$O$411*EFEITO!$AA$411</f>
        <v>318.66784123838022</v>
      </c>
      <c r="P411" s="45"/>
      <c r="Q411" s="45"/>
      <c r="R411" s="45"/>
      <c r="S411" s="45"/>
      <c r="T411" s="45"/>
      <c r="U411" s="45"/>
      <c r="V411" s="45"/>
      <c r="W411" s="45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1.25" customHeight="1" x14ac:dyDescent="0.2">
      <c r="A412" s="41" t="s">
        <v>21</v>
      </c>
      <c r="B412" s="41" t="s">
        <v>41</v>
      </c>
      <c r="C412" s="41" t="s">
        <v>23</v>
      </c>
      <c r="D412" s="41" t="s">
        <v>42</v>
      </c>
      <c r="E412" s="41" t="s">
        <v>52</v>
      </c>
      <c r="F412" s="41" t="s">
        <v>51</v>
      </c>
      <c r="G412" s="41" t="s">
        <v>25</v>
      </c>
      <c r="H412" s="41" t="s">
        <v>25</v>
      </c>
      <c r="I412" s="60">
        <v>44409</v>
      </c>
      <c r="J412" s="61">
        <f>EFEITO!$J$412*EFEITO!$Y$272</f>
        <v>0</v>
      </c>
      <c r="K412" s="61">
        <f ca="1">EFEITO!$L$412*EFEITO!$Z$272</f>
        <v>504.6646358688775</v>
      </c>
      <c r="L412" s="61">
        <f>EFEITO!$N$412*EFEITO!$AA$272</f>
        <v>173.76678538146211</v>
      </c>
      <c r="M412" s="61">
        <f>$J$412-EFEITO!$K$412*EFEITO!$Y$412</f>
        <v>0</v>
      </c>
      <c r="N412" s="61">
        <f ca="1">$K$412-EFEITO!$M$412*EFEITO!$Z$412</f>
        <v>314.91073278217954</v>
      </c>
      <c r="O412" s="61">
        <f>$L$412-EFEITO!$O$412*EFEITO!$AA$412</f>
        <v>108.43047407803235</v>
      </c>
      <c r="P412" s="45"/>
      <c r="Q412" s="45"/>
      <c r="R412" s="45"/>
      <c r="S412" s="45"/>
      <c r="T412" s="45"/>
      <c r="U412" s="45"/>
      <c r="V412" s="45"/>
      <c r="W412" s="45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1.25" customHeight="1" x14ac:dyDescent="0.2">
      <c r="A413" s="41" t="s">
        <v>21</v>
      </c>
      <c r="B413" s="41" t="s">
        <v>41</v>
      </c>
      <c r="C413" s="41" t="s">
        <v>23</v>
      </c>
      <c r="D413" s="41" t="s">
        <v>42</v>
      </c>
      <c r="E413" s="41" t="s">
        <v>52</v>
      </c>
      <c r="F413" s="41" t="s">
        <v>51</v>
      </c>
      <c r="G413" s="41" t="s">
        <v>25</v>
      </c>
      <c r="H413" s="41" t="s">
        <v>25</v>
      </c>
      <c r="I413" s="60">
        <v>44440</v>
      </c>
      <c r="J413" s="61">
        <f>EFEITO!$J$413*EFEITO!$Y$272</f>
        <v>0</v>
      </c>
      <c r="K413" s="61">
        <f ca="1">EFEITO!$L$413*EFEITO!$Z$272</f>
        <v>354.52119782191505</v>
      </c>
      <c r="L413" s="61">
        <f>EFEITO!$N$413*EFEITO!$AA$272</f>
        <v>122.0692010428597</v>
      </c>
      <c r="M413" s="61">
        <f>$J$413-EFEITO!$K$413*EFEITO!$Y$413</f>
        <v>0</v>
      </c>
      <c r="N413" s="61">
        <f ca="1">$K$413-EFEITO!$M$413*EFEITO!$Z$413</f>
        <v>221.22122744087497</v>
      </c>
      <c r="O413" s="61">
        <f>$L$413-EFEITO!$O$413*EFEITO!$AA$413</f>
        <v>76.171181450744456</v>
      </c>
      <c r="P413" s="45"/>
      <c r="Q413" s="45"/>
      <c r="R413" s="45"/>
      <c r="S413" s="45"/>
      <c r="T413" s="45"/>
      <c r="U413" s="45"/>
      <c r="V413" s="45"/>
      <c r="W413" s="45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1.25" customHeight="1" x14ac:dyDescent="0.2">
      <c r="A414" s="41" t="s">
        <v>21</v>
      </c>
      <c r="B414" s="41" t="s">
        <v>41</v>
      </c>
      <c r="C414" s="41" t="s">
        <v>23</v>
      </c>
      <c r="D414" s="41" t="s">
        <v>42</v>
      </c>
      <c r="E414" s="41" t="s">
        <v>52</v>
      </c>
      <c r="F414" s="41" t="s">
        <v>51</v>
      </c>
      <c r="G414" s="41" t="s">
        <v>25</v>
      </c>
      <c r="H414" s="41" t="s">
        <v>25</v>
      </c>
      <c r="I414" s="60">
        <v>44470</v>
      </c>
      <c r="J414" s="61">
        <f>EFEITO!$J$414*EFEITO!$Y$272</f>
        <v>0</v>
      </c>
      <c r="K414" s="61">
        <f ca="1">EFEITO!$L$414*EFEITO!$Z$272</f>
        <v>489.25067074618556</v>
      </c>
      <c r="L414" s="61">
        <f>EFEITO!$N$414*EFEITO!$AA$272</f>
        <v>168.45942881438125</v>
      </c>
      <c r="M414" s="61">
        <f>$J$414-EFEITO!$K$414*EFEITO!$Y$414</f>
        <v>0</v>
      </c>
      <c r="N414" s="61">
        <f ca="1">$K$414-EFEITO!$M$414*EFEITO!$Z$414</f>
        <v>305.2924185456198</v>
      </c>
      <c r="O414" s="61">
        <f>$L$414-EFEITO!$O$414*EFEITO!$AA$414</f>
        <v>105.11868358017389</v>
      </c>
      <c r="P414" s="45"/>
      <c r="Q414" s="45"/>
      <c r="R414" s="45"/>
      <c r="S414" s="45"/>
      <c r="T414" s="45"/>
      <c r="U414" s="45"/>
      <c r="V414" s="45"/>
      <c r="W414" s="45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1.25" customHeight="1" x14ac:dyDescent="0.2">
      <c r="A415" s="41" t="s">
        <v>21</v>
      </c>
      <c r="B415" s="41" t="s">
        <v>41</v>
      </c>
      <c r="C415" s="41" t="s">
        <v>23</v>
      </c>
      <c r="D415" s="41" t="s">
        <v>42</v>
      </c>
      <c r="E415" s="41" t="s">
        <v>52</v>
      </c>
      <c r="F415" s="41" t="s">
        <v>51</v>
      </c>
      <c r="G415" s="41" t="s">
        <v>25</v>
      </c>
      <c r="H415" s="41" t="s">
        <v>25</v>
      </c>
      <c r="I415" s="60">
        <v>44501</v>
      </c>
      <c r="J415" s="61">
        <f>EFEITO!$J$415*EFEITO!$Y$272</f>
        <v>0</v>
      </c>
      <c r="K415" s="61">
        <f ca="1">EFEITO!$L$415*EFEITO!$Z$272</f>
        <v>1031.023000428951</v>
      </c>
      <c r="L415" s="61">
        <f>EFEITO!$N$415*EFEITO!$AA$272</f>
        <v>355.0031837091862</v>
      </c>
      <c r="M415" s="61">
        <f>$J$415-EFEITO!$K$415*EFEITO!$Y$415</f>
        <v>0</v>
      </c>
      <c r="N415" s="61">
        <f ca="1">$K$415-EFEITO!$M$415*EFEITO!$Z$415</f>
        <v>643.3583522676654</v>
      </c>
      <c r="O415" s="61">
        <f>$L$415-EFEITO!$O$415*EFEITO!$AA$415</f>
        <v>221.5219866345322</v>
      </c>
      <c r="P415" s="45"/>
      <c r="Q415" s="45"/>
      <c r="R415" s="45"/>
      <c r="S415" s="45"/>
      <c r="T415" s="45"/>
      <c r="U415" s="45"/>
      <c r="V415" s="45"/>
      <c r="W415" s="45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1.25" customHeight="1" x14ac:dyDescent="0.2">
      <c r="A416" s="41" t="s">
        <v>21</v>
      </c>
      <c r="B416" s="41" t="s">
        <v>41</v>
      </c>
      <c r="C416" s="41" t="s">
        <v>23</v>
      </c>
      <c r="D416" s="41" t="s">
        <v>42</v>
      </c>
      <c r="E416" s="41" t="s">
        <v>52</v>
      </c>
      <c r="F416" s="41" t="s">
        <v>51</v>
      </c>
      <c r="G416" s="41" t="s">
        <v>25</v>
      </c>
      <c r="H416" s="41" t="s">
        <v>25</v>
      </c>
      <c r="I416" s="60">
        <v>44531</v>
      </c>
      <c r="J416" s="61">
        <f>EFEITO!$J$416*EFEITO!$Y$272</f>
        <v>0</v>
      </c>
      <c r="K416" s="61">
        <f ca="1">EFEITO!$L$416*EFEITO!$Z$272</f>
        <v>1155.4764966047603</v>
      </c>
      <c r="L416" s="61">
        <f>EFEITO!$N$416*EFEITO!$AA$272</f>
        <v>397.85517376932052</v>
      </c>
      <c r="M416" s="61">
        <f>$J$416-EFEITO!$K$416*EFEITO!$Y$416</f>
        <v>0</v>
      </c>
      <c r="N416" s="61">
        <f ca="1">$K$416-EFEITO!$M$416*EFEITO!$Z$416</f>
        <v>721.0173338813704</v>
      </c>
      <c r="O416" s="61">
        <f>$L$416-EFEITO!$O$416*EFEITO!$AA$416</f>
        <v>248.261628432056</v>
      </c>
      <c r="P416" s="45"/>
      <c r="Q416" s="45"/>
      <c r="R416" s="45"/>
      <c r="S416" s="45"/>
      <c r="T416" s="45"/>
      <c r="U416" s="45"/>
      <c r="V416" s="45"/>
      <c r="W416" s="45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1.25" customHeight="1" x14ac:dyDescent="0.2">
      <c r="A417" s="41" t="s">
        <v>21</v>
      </c>
      <c r="B417" s="41" t="s">
        <v>41</v>
      </c>
      <c r="C417" s="41" t="s">
        <v>23</v>
      </c>
      <c r="D417" s="41" t="s">
        <v>42</v>
      </c>
      <c r="E417" s="41" t="s">
        <v>52</v>
      </c>
      <c r="F417" s="41" t="s">
        <v>51</v>
      </c>
      <c r="G417" s="41" t="s">
        <v>25</v>
      </c>
      <c r="H417" s="41" t="s">
        <v>25</v>
      </c>
      <c r="I417" s="60">
        <v>44562</v>
      </c>
      <c r="J417" s="61">
        <f>EFEITO!$J$417*EFEITO!$Y$272</f>
        <v>0</v>
      </c>
      <c r="K417" s="61">
        <f ca="1">EFEITO!$L$417*EFEITO!$Z$272</f>
        <v>969.93802753532009</v>
      </c>
      <c r="L417" s="61">
        <f>EFEITO!$N$417*EFEITO!$AA$272</f>
        <v>333.97032620260649</v>
      </c>
      <c r="M417" s="61">
        <f>$J$417-EFEITO!$K$417*EFEITO!$Y$417</f>
        <v>0</v>
      </c>
      <c r="N417" s="61">
        <f ca="1">$K$417-EFEITO!$M$417*EFEITO!$Z$417</f>
        <v>605.24132918203986</v>
      </c>
      <c r="O417" s="61">
        <f>$L$417-EFEITO!$O$417*EFEITO!$AA$417</f>
        <v>208.39748355042644</v>
      </c>
      <c r="P417" s="45"/>
      <c r="Q417" s="45"/>
      <c r="R417" s="45"/>
      <c r="S417" s="45"/>
      <c r="T417" s="45"/>
      <c r="U417" s="45"/>
      <c r="V417" s="45"/>
      <c r="W417" s="45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1.25" customHeight="1" x14ac:dyDescent="0.2">
      <c r="A418" s="41" t="s">
        <v>21</v>
      </c>
      <c r="B418" s="41" t="s">
        <v>41</v>
      </c>
      <c r="C418" s="41" t="s">
        <v>23</v>
      </c>
      <c r="D418" s="41" t="s">
        <v>42</v>
      </c>
      <c r="E418" s="41" t="s">
        <v>52</v>
      </c>
      <c r="F418" s="41" t="s">
        <v>51</v>
      </c>
      <c r="G418" s="41" t="s">
        <v>25</v>
      </c>
      <c r="H418" s="41" t="s">
        <v>25</v>
      </c>
      <c r="I418" s="60">
        <v>44593</v>
      </c>
      <c r="J418" s="61">
        <f>EFEITO!$J$418*EFEITO!$Y$272</f>
        <v>0</v>
      </c>
      <c r="K418" s="61">
        <f ca="1">EFEITO!$L$418*EFEITO!$Z$272</f>
        <v>2009.5243419213223</v>
      </c>
      <c r="L418" s="61">
        <f>EFEITO!$N$418*EFEITO!$AA$272</f>
        <v>691.92204133794871</v>
      </c>
      <c r="M418" s="61">
        <f>$J$418-EFEITO!$K$418*EFEITO!$Y$418</f>
        <v>0</v>
      </c>
      <c r="N418" s="61">
        <f ca="1">$K$418-EFEITO!$M$418*EFEITO!$Z$418</f>
        <v>1253.9431893589053</v>
      </c>
      <c r="O418" s="61">
        <f>$L$418-EFEITO!$O$418*EFEITO!$AA$418</f>
        <v>431.75935379488004</v>
      </c>
      <c r="P418" s="45"/>
      <c r="Q418" s="45"/>
      <c r="R418" s="45"/>
      <c r="S418" s="45"/>
      <c r="T418" s="45"/>
      <c r="U418" s="45"/>
      <c r="V418" s="45"/>
      <c r="W418" s="45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1.25" customHeight="1" x14ac:dyDescent="0.2">
      <c r="A419" s="41" t="s">
        <v>21</v>
      </c>
      <c r="B419" s="41" t="s">
        <v>41</v>
      </c>
      <c r="C419" s="41" t="s">
        <v>23</v>
      </c>
      <c r="D419" s="41" t="s">
        <v>42</v>
      </c>
      <c r="E419" s="41" t="s">
        <v>52</v>
      </c>
      <c r="F419" s="41" t="s">
        <v>51</v>
      </c>
      <c r="G419" s="41" t="s">
        <v>25</v>
      </c>
      <c r="H419" s="41" t="s">
        <v>25</v>
      </c>
      <c r="I419" s="60">
        <v>44621</v>
      </c>
      <c r="J419" s="61">
        <f>EFEITO!$J$419*EFEITO!$Y$272</f>
        <v>0</v>
      </c>
      <c r="K419" s="61">
        <f ca="1">EFEITO!$L$419*EFEITO!$Z$272</f>
        <v>892.2973143247234</v>
      </c>
      <c r="L419" s="61">
        <f>EFEITO!$N$419*EFEITO!$AA$272</f>
        <v>307.23697460545844</v>
      </c>
      <c r="M419" s="61">
        <f>$J$419-EFEITO!$K$419*EFEITO!$Y$419</f>
        <v>0</v>
      </c>
      <c r="N419" s="61">
        <f ca="1">$K$419-EFEITO!$M$419*EFEITO!$Z$419</f>
        <v>556.79352413862739</v>
      </c>
      <c r="O419" s="61">
        <f>$L$419-EFEITO!$O$419*EFEITO!$AA$419</f>
        <v>191.71587215380606</v>
      </c>
      <c r="P419" s="45"/>
      <c r="Q419" s="45"/>
      <c r="R419" s="45"/>
      <c r="S419" s="45"/>
      <c r="T419" s="45"/>
      <c r="U419" s="45"/>
      <c r="V419" s="45"/>
      <c r="W419" s="45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1.25" customHeight="1" x14ac:dyDescent="0.2">
      <c r="A420" s="41" t="s">
        <v>21</v>
      </c>
      <c r="B420" s="41" t="s">
        <v>41</v>
      </c>
      <c r="C420" s="41" t="s">
        <v>23</v>
      </c>
      <c r="D420" s="41" t="s">
        <v>42</v>
      </c>
      <c r="E420" s="41" t="s">
        <v>52</v>
      </c>
      <c r="F420" s="41" t="s">
        <v>51</v>
      </c>
      <c r="G420" s="41" t="s">
        <v>25</v>
      </c>
      <c r="H420" s="41" t="s">
        <v>25</v>
      </c>
      <c r="I420" s="60">
        <v>44652</v>
      </c>
      <c r="J420" s="61">
        <f>EFEITO!$J$420*EFEITO!$Y$272</f>
        <v>0</v>
      </c>
      <c r="K420" s="61">
        <f ca="1">EFEITO!$L$420*EFEITO!$Z$272</f>
        <v>389.91622884439295</v>
      </c>
      <c r="L420" s="61">
        <f>EFEITO!$N$420*EFEITO!$AA$272</f>
        <v>134.25646427097129</v>
      </c>
      <c r="M420" s="61">
        <f>$J$420-EFEITO!$K$420*EFEITO!$Y$420</f>
        <v>0</v>
      </c>
      <c r="N420" s="61">
        <f ca="1">$K$420-EFEITO!$M$420*EFEITO!$Z$420</f>
        <v>243.30772679890123</v>
      </c>
      <c r="O420" s="61">
        <f>$L$420-EFEITO!$O$420*EFEITO!$AA$420</f>
        <v>83.776033705086093</v>
      </c>
      <c r="P420" s="45"/>
      <c r="Q420" s="45"/>
      <c r="R420" s="45"/>
      <c r="S420" s="45"/>
      <c r="T420" s="45"/>
      <c r="U420" s="45"/>
      <c r="V420" s="45"/>
      <c r="W420" s="45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1.25" customHeight="1" x14ac:dyDescent="0.2">
      <c r="A421" s="41" t="s">
        <v>21</v>
      </c>
      <c r="B421" s="41" t="s">
        <v>41</v>
      </c>
      <c r="C421" s="41" t="s">
        <v>23</v>
      </c>
      <c r="D421" s="41" t="s">
        <v>42</v>
      </c>
      <c r="E421" s="41" t="s">
        <v>52</v>
      </c>
      <c r="F421" s="41" t="s">
        <v>51</v>
      </c>
      <c r="G421" s="41" t="s">
        <v>25</v>
      </c>
      <c r="H421" s="41" t="s">
        <v>25</v>
      </c>
      <c r="I421" s="60">
        <v>44682</v>
      </c>
      <c r="J421" s="61">
        <f>EFEITO!$J$421*EFEITO!$Y$272</f>
        <v>0</v>
      </c>
      <c r="K421" s="61">
        <f ca="1">EFEITO!$L$421*EFEITO!$Z$272</f>
        <v>50.238108548033054</v>
      </c>
      <c r="L421" s="61">
        <f>EFEITO!$N$421*EFEITO!$AA$272</f>
        <v>17.298051033448715</v>
      </c>
      <c r="M421" s="61">
        <f>$J$421-EFEITO!$K$421*EFEITO!$Y$421</f>
        <v>0</v>
      </c>
      <c r="N421" s="61">
        <f ca="1">$K$421-EFEITO!$M$421*EFEITO!$Z$421</f>
        <v>31.348579733972624</v>
      </c>
      <c r="O421" s="61">
        <f>$L$421-EFEITO!$O$421*EFEITO!$AA$421</f>
        <v>10.793983844871997</v>
      </c>
      <c r="P421" s="45"/>
      <c r="Q421" s="45"/>
      <c r="R421" s="45"/>
      <c r="S421" s="45"/>
      <c r="T421" s="45"/>
      <c r="U421" s="45"/>
      <c r="V421" s="45"/>
      <c r="W421" s="45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1.25" customHeight="1" x14ac:dyDescent="0.2">
      <c r="A422" s="41" t="s">
        <v>21</v>
      </c>
      <c r="B422" s="41" t="s">
        <v>41</v>
      </c>
      <c r="C422" s="41" t="s">
        <v>23</v>
      </c>
      <c r="D422" s="41" t="s">
        <v>42</v>
      </c>
      <c r="E422" s="41" t="s">
        <v>52</v>
      </c>
      <c r="F422" s="41" t="s">
        <v>51</v>
      </c>
      <c r="G422" s="41" t="s">
        <v>25</v>
      </c>
      <c r="H422" s="41" t="s">
        <v>25</v>
      </c>
      <c r="I422" s="60">
        <v>44713</v>
      </c>
      <c r="J422" s="61">
        <f>EFEITO!$J$422*EFEITO!$Y$272</f>
        <v>0</v>
      </c>
      <c r="K422" s="61">
        <f ca="1">EFEITO!$L$422*EFEITO!$Z$272</f>
        <v>96.480003916108942</v>
      </c>
      <c r="L422" s="61">
        <f>EFEITO!$N$422*EFEITO!$AA$272</f>
        <v>33.220120734691285</v>
      </c>
      <c r="M422" s="61">
        <f>$J$422-EFEITO!$K$422*EFEITO!$Y$422</f>
        <v>0</v>
      </c>
      <c r="N422" s="61">
        <f ca="1">$K$422-EFEITO!$M$422*EFEITO!$Z$422</f>
        <v>60.203522443651984</v>
      </c>
      <c r="O422" s="61">
        <f>$L$422-EFEITO!$O$422*EFEITO!$AA$422</f>
        <v>20.729355338447363</v>
      </c>
      <c r="P422" s="45"/>
      <c r="Q422" s="45"/>
      <c r="R422" s="45"/>
      <c r="S422" s="45"/>
      <c r="T422" s="45"/>
      <c r="U422" s="45"/>
      <c r="V422" s="45"/>
      <c r="W422" s="45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1.25" customHeight="1" x14ac:dyDescent="0.2">
      <c r="A423" s="41" t="s">
        <v>21</v>
      </c>
      <c r="B423" s="41" t="s">
        <v>41</v>
      </c>
      <c r="C423" s="41" t="s">
        <v>23</v>
      </c>
      <c r="D423" s="41" t="s">
        <v>42</v>
      </c>
      <c r="E423" s="41" t="s">
        <v>25</v>
      </c>
      <c r="F423" s="41" t="s">
        <v>25</v>
      </c>
      <c r="G423" s="41" t="s">
        <v>25</v>
      </c>
      <c r="H423" s="41" t="s">
        <v>25</v>
      </c>
      <c r="I423" s="60">
        <v>44378</v>
      </c>
      <c r="J423" s="61">
        <f>EFEITO!$J$423*EFEITO!$Y$272</f>
        <v>0</v>
      </c>
      <c r="K423" s="61">
        <f ca="1">EFEITO!$L$423*EFEITO!$Z$272</f>
        <v>841696.12126491149</v>
      </c>
      <c r="L423" s="61">
        <f>EFEITO!$N$423*EFEITO!$AA$272</f>
        <v>289813.90583954076</v>
      </c>
      <c r="M423" s="61">
        <f>$J$423-EFEITO!$K$423*EFEITO!$Y$423</f>
        <v>0</v>
      </c>
      <c r="N423" s="61">
        <f ca="1">$K$423-EFEITO!$M$423*EFEITO!$Z$423</f>
        <v>50501.767275894759</v>
      </c>
      <c r="O423" s="61">
        <f>$L$423-EFEITO!$O$423*EFEITO!$AA$423</f>
        <v>17388.83435037249</v>
      </c>
      <c r="P423" s="45"/>
      <c r="Q423" s="45"/>
      <c r="R423" s="45"/>
      <c r="S423" s="45"/>
      <c r="T423" s="45"/>
      <c r="U423" s="45"/>
      <c r="V423" s="45"/>
      <c r="W423" s="45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1.25" customHeight="1" x14ac:dyDescent="0.2">
      <c r="A424" s="41" t="s">
        <v>27</v>
      </c>
      <c r="B424" s="41" t="s">
        <v>41</v>
      </c>
      <c r="C424" s="41" t="s">
        <v>23</v>
      </c>
      <c r="D424" s="41" t="s">
        <v>42</v>
      </c>
      <c r="E424" s="41" t="s">
        <v>25</v>
      </c>
      <c r="F424" s="41" t="s">
        <v>25</v>
      </c>
      <c r="G424" s="41" t="s">
        <v>25</v>
      </c>
      <c r="H424" s="41" t="s">
        <v>25</v>
      </c>
      <c r="I424" s="60">
        <v>44378</v>
      </c>
      <c r="J424" s="61">
        <f>EFEITO!$J$424*EFEITO!$Y$272</f>
        <v>0</v>
      </c>
      <c r="K424" s="61">
        <f ca="1">EFEITO!$L$424*EFEITO!$Z$272</f>
        <v>-1003.6203957663877</v>
      </c>
      <c r="L424" s="61">
        <f>EFEITO!$N$424*EFEITO!$AA$272</f>
        <v>-345.56788314548686</v>
      </c>
      <c r="M424" s="61">
        <f>$J$424-EFEITO!$K$424*EFEITO!$Y$424</f>
        <v>0</v>
      </c>
      <c r="N424" s="61">
        <f ca="1">$K$424-EFEITO!$M$424*EFEITO!$Z$424</f>
        <v>-60.217223745983347</v>
      </c>
      <c r="O424" s="61">
        <f>$L$424-EFEITO!$O$424*EFEITO!$AA$424</f>
        <v>-20.734072988729167</v>
      </c>
      <c r="P424" s="45"/>
      <c r="Q424" s="45"/>
      <c r="R424" s="45"/>
      <c r="S424" s="45"/>
      <c r="T424" s="45"/>
      <c r="U424" s="45"/>
      <c r="V424" s="45"/>
      <c r="W424" s="45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1.25" customHeight="1" x14ac:dyDescent="0.2">
      <c r="A425" s="41" t="s">
        <v>28</v>
      </c>
      <c r="B425" s="41" t="s">
        <v>41</v>
      </c>
      <c r="C425" s="41" t="s">
        <v>23</v>
      </c>
      <c r="D425" s="41" t="s">
        <v>42</v>
      </c>
      <c r="E425" s="41" t="s">
        <v>25</v>
      </c>
      <c r="F425" s="41" t="s">
        <v>25</v>
      </c>
      <c r="G425" s="41" t="s">
        <v>25</v>
      </c>
      <c r="H425" s="41" t="s">
        <v>25</v>
      </c>
      <c r="I425" s="60">
        <v>44378</v>
      </c>
      <c r="J425" s="61">
        <f>EFEITO!$J$425*EFEITO!$Y$272</f>
        <v>0</v>
      </c>
      <c r="K425" s="61">
        <f ca="1">EFEITO!$L$425*EFEITO!$Z$272</f>
        <v>71915.852386509316</v>
      </c>
      <c r="L425" s="61">
        <f>EFEITO!$N$425*EFEITO!$AA$272</f>
        <v>24762.160054381839</v>
      </c>
      <c r="M425" s="61">
        <f>$J$425-EFEITO!$K$425*EFEITO!$Y$425</f>
        <v>0</v>
      </c>
      <c r="N425" s="61">
        <f ca="1">$K$425-EFEITO!$M$425*EFEITO!$Z$425</f>
        <v>4314.9511431905557</v>
      </c>
      <c r="O425" s="61">
        <f>$L$425-EFEITO!$O$425*EFEITO!$AA$425</f>
        <v>1485.7296032629092</v>
      </c>
      <c r="P425" s="45"/>
      <c r="Q425" s="45"/>
      <c r="R425" s="45"/>
      <c r="S425" s="45"/>
      <c r="T425" s="45"/>
      <c r="U425" s="45"/>
      <c r="V425" s="45"/>
      <c r="W425" s="45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1.25" customHeight="1" x14ac:dyDescent="0.2">
      <c r="A426" s="41" t="s">
        <v>21</v>
      </c>
      <c r="B426" s="41" t="s">
        <v>41</v>
      </c>
      <c r="C426" s="41" t="s">
        <v>23</v>
      </c>
      <c r="D426" s="41" t="s">
        <v>42</v>
      </c>
      <c r="E426" s="41" t="s">
        <v>25</v>
      </c>
      <c r="F426" s="41" t="s">
        <v>25</v>
      </c>
      <c r="G426" s="41" t="s">
        <v>25</v>
      </c>
      <c r="H426" s="41" t="s">
        <v>25</v>
      </c>
      <c r="I426" s="60">
        <v>44409</v>
      </c>
      <c r="J426" s="61">
        <f>EFEITO!$J$426*EFEITO!$Y$272</f>
        <v>0</v>
      </c>
      <c r="K426" s="61">
        <f ca="1">EFEITO!$L$426*EFEITO!$Z$272</f>
        <v>892204.83053398726</v>
      </c>
      <c r="L426" s="61">
        <f>EFEITO!$N$426*EFEITO!$AA$272</f>
        <v>307205.130466056</v>
      </c>
      <c r="M426" s="61">
        <f>$J$426-EFEITO!$K$426*EFEITO!$Y$426</f>
        <v>0</v>
      </c>
      <c r="N426" s="61">
        <f ca="1">$K$426-EFEITO!$M$426*EFEITO!$Z$426</f>
        <v>53532.289832039271</v>
      </c>
      <c r="O426" s="61">
        <f>$L$426-EFEITO!$O$426*EFEITO!$AA$426</f>
        <v>18432.307827963377</v>
      </c>
      <c r="P426" s="45"/>
      <c r="Q426" s="45"/>
      <c r="R426" s="45"/>
      <c r="S426" s="45"/>
      <c r="T426" s="45"/>
      <c r="U426" s="45"/>
      <c r="V426" s="45"/>
      <c r="W426" s="45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1.25" customHeight="1" x14ac:dyDescent="0.2">
      <c r="A427" s="41" t="s">
        <v>27</v>
      </c>
      <c r="B427" s="41" t="s">
        <v>41</v>
      </c>
      <c r="C427" s="41" t="s">
        <v>23</v>
      </c>
      <c r="D427" s="41" t="s">
        <v>42</v>
      </c>
      <c r="E427" s="41" t="s">
        <v>25</v>
      </c>
      <c r="F427" s="41" t="s">
        <v>25</v>
      </c>
      <c r="G427" s="41" t="s">
        <v>25</v>
      </c>
      <c r="H427" s="41" t="s">
        <v>25</v>
      </c>
      <c r="I427" s="60">
        <v>44409</v>
      </c>
      <c r="J427" s="61">
        <f>EFEITO!$J$427*EFEITO!$Y$272</f>
        <v>0</v>
      </c>
      <c r="K427" s="61">
        <f ca="1">EFEITO!$L$427*EFEITO!$Z$272</f>
        <v>-5247.5987928809072</v>
      </c>
      <c r="L427" s="61">
        <f>EFEITO!$N$427*EFEITO!$AA$272</f>
        <v>-1806.8600579484159</v>
      </c>
      <c r="M427" s="61">
        <f>$J$427-EFEITO!$K$427*EFEITO!$Y$427</f>
        <v>0</v>
      </c>
      <c r="N427" s="61">
        <f ca="1">$K$427-EFEITO!$M$427*EFEITO!$Z$427</f>
        <v>-314.85592757285485</v>
      </c>
      <c r="O427" s="61">
        <f>$L$427-EFEITO!$O$427*EFEITO!$AA$427</f>
        <v>-108.41160347690493</v>
      </c>
      <c r="P427" s="45"/>
      <c r="Q427" s="45"/>
      <c r="R427" s="45"/>
      <c r="S427" s="45"/>
      <c r="T427" s="45"/>
      <c r="U427" s="45"/>
      <c r="V427" s="45"/>
      <c r="W427" s="45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1.25" customHeight="1" x14ac:dyDescent="0.2">
      <c r="A428" s="41" t="s">
        <v>21</v>
      </c>
      <c r="B428" s="41" t="s">
        <v>41</v>
      </c>
      <c r="C428" s="41" t="s">
        <v>23</v>
      </c>
      <c r="D428" s="41" t="s">
        <v>42</v>
      </c>
      <c r="E428" s="41" t="s">
        <v>25</v>
      </c>
      <c r="F428" s="41" t="s">
        <v>25</v>
      </c>
      <c r="G428" s="41" t="s">
        <v>25</v>
      </c>
      <c r="H428" s="41" t="s">
        <v>25</v>
      </c>
      <c r="I428" s="60">
        <v>44440</v>
      </c>
      <c r="J428" s="61">
        <f>EFEITO!$J$428*EFEITO!$Y$272</f>
        <v>0</v>
      </c>
      <c r="K428" s="61">
        <f ca="1">EFEITO!$L$428*EFEITO!$Z$272</f>
        <v>905393.47580304032</v>
      </c>
      <c r="L428" s="61">
        <f>EFEITO!$N$428*EFEITO!$AA$272</f>
        <v>311746.26199985977</v>
      </c>
      <c r="M428" s="61">
        <f>$J$428-EFEITO!$K$428*EFEITO!$Y$428</f>
        <v>0</v>
      </c>
      <c r="N428" s="61">
        <f ca="1">$K$428-EFEITO!$M$428*EFEITO!$Z$428</f>
        <v>54323.608548182528</v>
      </c>
      <c r="O428" s="61">
        <f>$L$428-EFEITO!$O$428*EFEITO!$AA$428</f>
        <v>18704.775719991594</v>
      </c>
      <c r="P428" s="45"/>
      <c r="Q428" s="45"/>
      <c r="R428" s="45"/>
      <c r="S428" s="45"/>
      <c r="T428" s="45"/>
      <c r="U428" s="45"/>
      <c r="V428" s="45"/>
      <c r="W428" s="45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1.25" customHeight="1" x14ac:dyDescent="0.2">
      <c r="A429" s="41" t="s">
        <v>27</v>
      </c>
      <c r="B429" s="41" t="s">
        <v>41</v>
      </c>
      <c r="C429" s="41" t="s">
        <v>23</v>
      </c>
      <c r="D429" s="41" t="s">
        <v>42</v>
      </c>
      <c r="E429" s="41" t="s">
        <v>25</v>
      </c>
      <c r="F429" s="41" t="s">
        <v>25</v>
      </c>
      <c r="G429" s="41" t="s">
        <v>25</v>
      </c>
      <c r="H429" s="41" t="s">
        <v>25</v>
      </c>
      <c r="I429" s="60">
        <v>44440</v>
      </c>
      <c r="J429" s="61">
        <f>EFEITO!$J$429*EFEITO!$Y$272</f>
        <v>0</v>
      </c>
      <c r="K429" s="61">
        <f ca="1">EFEITO!$L$429*EFEITO!$Z$272</f>
        <v>-3668.5236992006867</v>
      </c>
      <c r="L429" s="61">
        <f>EFEITO!$N$429*EFEITO!$AA$272</f>
        <v>-1263.150862965244</v>
      </c>
      <c r="M429" s="61">
        <f>$J$429-EFEITO!$K$429*EFEITO!$Y$429</f>
        <v>0</v>
      </c>
      <c r="N429" s="61">
        <f ca="1">$K$429-EFEITO!$M$429*EFEITO!$Z$429</f>
        <v>-220.11142195204138</v>
      </c>
      <c r="O429" s="61">
        <f>$L$429-EFEITO!$O$429*EFEITO!$AA$429</f>
        <v>-75.789051777914665</v>
      </c>
      <c r="P429" s="45"/>
      <c r="Q429" s="45"/>
      <c r="R429" s="45"/>
      <c r="S429" s="45"/>
      <c r="T429" s="45"/>
      <c r="U429" s="45"/>
      <c r="V429" s="45"/>
      <c r="W429" s="45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1.25" customHeight="1" x14ac:dyDescent="0.2">
      <c r="A430" s="41" t="s">
        <v>28</v>
      </c>
      <c r="B430" s="41" t="s">
        <v>41</v>
      </c>
      <c r="C430" s="41" t="s">
        <v>23</v>
      </c>
      <c r="D430" s="41" t="s">
        <v>42</v>
      </c>
      <c r="E430" s="41" t="s">
        <v>25</v>
      </c>
      <c r="F430" s="41" t="s">
        <v>25</v>
      </c>
      <c r="G430" s="41" t="s">
        <v>25</v>
      </c>
      <c r="H430" s="41" t="s">
        <v>25</v>
      </c>
      <c r="I430" s="60">
        <v>44440</v>
      </c>
      <c r="J430" s="61">
        <f>EFEITO!$J$430*EFEITO!$Y$272</f>
        <v>0</v>
      </c>
      <c r="K430" s="61">
        <f ca="1">EFEITO!$L$430*EFEITO!$Z$272</f>
        <v>44844.933417882276</v>
      </c>
      <c r="L430" s="61">
        <f>EFEITO!$N$430*EFEITO!$AA$272</f>
        <v>15441.065941255649</v>
      </c>
      <c r="M430" s="61">
        <f>$J$430-EFEITO!$K$430*EFEITO!$Y$430</f>
        <v>0</v>
      </c>
      <c r="N430" s="61">
        <f ca="1">$K$430-EFEITO!$M$430*EFEITO!$Z$430</f>
        <v>2690.6960050729394</v>
      </c>
      <c r="O430" s="61">
        <f>$L$430-EFEITO!$O$430*EFEITO!$AA$430</f>
        <v>926.46395647533973</v>
      </c>
      <c r="P430" s="45"/>
      <c r="Q430" s="45"/>
      <c r="R430" s="45"/>
      <c r="S430" s="45"/>
      <c r="T430" s="45"/>
      <c r="U430" s="45"/>
      <c r="V430" s="45"/>
      <c r="W430" s="45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1.25" customHeight="1" x14ac:dyDescent="0.2">
      <c r="A431" s="41" t="s">
        <v>21</v>
      </c>
      <c r="B431" s="41" t="s">
        <v>41</v>
      </c>
      <c r="C431" s="41" t="s">
        <v>23</v>
      </c>
      <c r="D431" s="41" t="s">
        <v>42</v>
      </c>
      <c r="E431" s="41" t="s">
        <v>25</v>
      </c>
      <c r="F431" s="41" t="s">
        <v>25</v>
      </c>
      <c r="G431" s="41" t="s">
        <v>25</v>
      </c>
      <c r="H431" s="41" t="s">
        <v>25</v>
      </c>
      <c r="I431" s="60">
        <v>44470</v>
      </c>
      <c r="J431" s="61">
        <f>EFEITO!$J$431*EFEITO!$Y$272</f>
        <v>0</v>
      </c>
      <c r="K431" s="61">
        <f ca="1">EFEITO!$L$431*EFEITO!$Z$272</f>
        <v>894055.07723630744</v>
      </c>
      <c r="L431" s="61">
        <f>EFEITO!$N$431*EFEITO!$AA$272</f>
        <v>307842.20982286741</v>
      </c>
      <c r="M431" s="61">
        <f>$J$431-EFEITO!$K$431*EFEITO!$Y$431</f>
        <v>0</v>
      </c>
      <c r="N431" s="61">
        <f ca="1">$K$431-EFEITO!$M$431*EFEITO!$Z$431</f>
        <v>53643.304634178407</v>
      </c>
      <c r="O431" s="61">
        <f>$L$431-EFEITO!$O$431*EFEITO!$AA$431</f>
        <v>18470.532589372015</v>
      </c>
      <c r="P431" s="45"/>
      <c r="Q431" s="45"/>
      <c r="R431" s="45"/>
      <c r="S431" s="45"/>
      <c r="T431" s="45"/>
      <c r="U431" s="45"/>
      <c r="V431" s="45"/>
      <c r="W431" s="45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1.25" customHeight="1" x14ac:dyDescent="0.2">
      <c r="A432" s="41" t="s">
        <v>27</v>
      </c>
      <c r="B432" s="41" t="s">
        <v>41</v>
      </c>
      <c r="C432" s="41" t="s">
        <v>23</v>
      </c>
      <c r="D432" s="41" t="s">
        <v>42</v>
      </c>
      <c r="E432" s="41" t="s">
        <v>25</v>
      </c>
      <c r="F432" s="41" t="s">
        <v>25</v>
      </c>
      <c r="G432" s="41" t="s">
        <v>25</v>
      </c>
      <c r="H432" s="41" t="s">
        <v>25</v>
      </c>
      <c r="I432" s="60">
        <v>44470</v>
      </c>
      <c r="J432" s="61">
        <f>EFEITO!$J$432*EFEITO!$Y$272</f>
        <v>0</v>
      </c>
      <c r="K432" s="61">
        <f ca="1">EFEITO!$L$432*EFEITO!$Z$272</f>
        <v>-3716.4782573601724</v>
      </c>
      <c r="L432" s="61">
        <f>EFEITO!$N$432*EFEITO!$AA$272</f>
        <v>-1279.6626389517176</v>
      </c>
      <c r="M432" s="61">
        <f>$J$432-EFEITO!$K$432*EFEITO!$Y$432</f>
        <v>0</v>
      </c>
      <c r="N432" s="61">
        <f ca="1">$K$432-EFEITO!$M$432*EFEITO!$Z$432</f>
        <v>-222.98869544161062</v>
      </c>
      <c r="O432" s="61">
        <f>$L$432-EFEITO!$O$432*EFEITO!$AA$432</f>
        <v>-76.779758337102976</v>
      </c>
      <c r="P432" s="45"/>
      <c r="Q432" s="45"/>
      <c r="R432" s="45"/>
      <c r="S432" s="45"/>
      <c r="T432" s="45"/>
      <c r="U432" s="45"/>
      <c r="V432" s="45"/>
      <c r="W432" s="45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1.25" customHeight="1" x14ac:dyDescent="0.2">
      <c r="A433" s="41" t="s">
        <v>28</v>
      </c>
      <c r="B433" s="41" t="s">
        <v>41</v>
      </c>
      <c r="C433" s="41" t="s">
        <v>23</v>
      </c>
      <c r="D433" s="41" t="s">
        <v>42</v>
      </c>
      <c r="E433" s="41" t="s">
        <v>25</v>
      </c>
      <c r="F433" s="41" t="s">
        <v>25</v>
      </c>
      <c r="G433" s="41" t="s">
        <v>25</v>
      </c>
      <c r="H433" s="41" t="s">
        <v>25</v>
      </c>
      <c r="I433" s="60">
        <v>44470</v>
      </c>
      <c r="J433" s="61">
        <f>EFEITO!$J$433*EFEITO!$Y$272</f>
        <v>0</v>
      </c>
      <c r="K433" s="61">
        <f ca="1">EFEITO!$L$433*EFEITO!$Z$272</f>
        <v>51500.911912899523</v>
      </c>
      <c r="L433" s="61">
        <f>EFEITO!$N$433*EFEITO!$AA$272</f>
        <v>17732.861134425861</v>
      </c>
      <c r="M433" s="61">
        <f>$J$433-EFEITO!$K$433*EFEITO!$Y$433</f>
        <v>0</v>
      </c>
      <c r="N433" s="61">
        <f ca="1">$K$433-EFEITO!$M$433*EFEITO!$Z$433</f>
        <v>3090.0547147739708</v>
      </c>
      <c r="O433" s="61">
        <f>$L$433-EFEITO!$O$433*EFEITO!$AA$433</f>
        <v>1063.9716680655511</v>
      </c>
      <c r="P433" s="45"/>
      <c r="Q433" s="45"/>
      <c r="R433" s="45"/>
      <c r="S433" s="45"/>
      <c r="T433" s="45"/>
      <c r="U433" s="45"/>
      <c r="V433" s="45"/>
      <c r="W433" s="45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1.25" customHeight="1" x14ac:dyDescent="0.2">
      <c r="A434" s="41" t="s">
        <v>21</v>
      </c>
      <c r="B434" s="41" t="s">
        <v>41</v>
      </c>
      <c r="C434" s="41" t="s">
        <v>23</v>
      </c>
      <c r="D434" s="41" t="s">
        <v>42</v>
      </c>
      <c r="E434" s="41" t="s">
        <v>25</v>
      </c>
      <c r="F434" s="41" t="s">
        <v>25</v>
      </c>
      <c r="G434" s="41" t="s">
        <v>25</v>
      </c>
      <c r="H434" s="41" t="s">
        <v>25</v>
      </c>
      <c r="I434" s="60">
        <v>44501</v>
      </c>
      <c r="J434" s="61">
        <f>EFEITO!$J$434*EFEITO!$Y$272</f>
        <v>0</v>
      </c>
      <c r="K434" s="61">
        <f ca="1">EFEITO!$L$434*EFEITO!$Z$272</f>
        <v>945687.29329654842</v>
      </c>
      <c r="L434" s="61">
        <f>EFEITO!$N$434*EFEITO!$AA$272</f>
        <v>325620.28177249432</v>
      </c>
      <c r="M434" s="61">
        <f>$J$434-EFEITO!$K$434*EFEITO!$Y$434</f>
        <v>0</v>
      </c>
      <c r="N434" s="61">
        <f ca="1">$K$434-EFEITO!$M$434*EFEITO!$Z$434</f>
        <v>56741.237597792875</v>
      </c>
      <c r="O434" s="61">
        <f>$L$434-EFEITO!$O$434*EFEITO!$AA$434</f>
        <v>19537.21690634964</v>
      </c>
      <c r="P434" s="45"/>
      <c r="Q434" s="45"/>
      <c r="R434" s="45"/>
      <c r="S434" s="45"/>
      <c r="T434" s="45"/>
      <c r="U434" s="45"/>
      <c r="V434" s="45"/>
      <c r="W434" s="45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1.25" customHeight="1" x14ac:dyDescent="0.2">
      <c r="A435" s="41" t="s">
        <v>27</v>
      </c>
      <c r="B435" s="41" t="s">
        <v>41</v>
      </c>
      <c r="C435" s="41" t="s">
        <v>23</v>
      </c>
      <c r="D435" s="41" t="s">
        <v>42</v>
      </c>
      <c r="E435" s="41" t="s">
        <v>25</v>
      </c>
      <c r="F435" s="41" t="s">
        <v>25</v>
      </c>
      <c r="G435" s="41" t="s">
        <v>25</v>
      </c>
      <c r="H435" s="41" t="s">
        <v>25</v>
      </c>
      <c r="I435" s="60">
        <v>44501</v>
      </c>
      <c r="J435" s="61">
        <f>EFEITO!$J$435*EFEITO!$Y$272</f>
        <v>0</v>
      </c>
      <c r="K435" s="61">
        <f ca="1">EFEITO!$L$435*EFEITO!$Z$272</f>
        <v>-1487.1621905412057</v>
      </c>
      <c r="L435" s="61">
        <f>EFEITO!$N$435*EFEITO!$AA$272</f>
        <v>-512.06162434243072</v>
      </c>
      <c r="M435" s="61">
        <f>$J$435-EFEITO!$K$435*EFEITO!$Y$435</f>
        <v>0</v>
      </c>
      <c r="N435" s="61">
        <f ca="1">$K$435-EFEITO!$M$435*EFEITO!$Z$435</f>
        <v>-89.229731432472363</v>
      </c>
      <c r="O435" s="61">
        <f>$L$435-EFEITO!$O$435*EFEITO!$AA$435</f>
        <v>-30.723697460545793</v>
      </c>
      <c r="P435" s="45"/>
      <c r="Q435" s="45"/>
      <c r="R435" s="45"/>
      <c r="S435" s="45"/>
      <c r="T435" s="45"/>
      <c r="U435" s="45"/>
      <c r="V435" s="45"/>
      <c r="W435" s="45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1.25" customHeight="1" x14ac:dyDescent="0.2">
      <c r="A436" s="41" t="s">
        <v>28</v>
      </c>
      <c r="B436" s="41" t="s">
        <v>41</v>
      </c>
      <c r="C436" s="41" t="s">
        <v>23</v>
      </c>
      <c r="D436" s="41" t="s">
        <v>42</v>
      </c>
      <c r="E436" s="41" t="s">
        <v>25</v>
      </c>
      <c r="F436" s="41" t="s">
        <v>25</v>
      </c>
      <c r="G436" s="41" t="s">
        <v>25</v>
      </c>
      <c r="H436" s="41" t="s">
        <v>25</v>
      </c>
      <c r="I436" s="60">
        <v>44501</v>
      </c>
      <c r="J436" s="61">
        <f>EFEITO!$J$436*EFEITO!$Y$272</f>
        <v>0</v>
      </c>
      <c r="K436" s="61">
        <f ca="1">EFEITO!$L$436*EFEITO!$Z$272</f>
        <v>34145.928959942648</v>
      </c>
      <c r="L436" s="61">
        <f>EFEITO!$N$436*EFEITO!$AA$272</f>
        <v>11757.170777416302</v>
      </c>
      <c r="M436" s="61">
        <f>$J$436-EFEITO!$K$436*EFEITO!$Y$436</f>
        <v>0</v>
      </c>
      <c r="N436" s="61">
        <f ca="1">$K$436-EFEITO!$M$436*EFEITO!$Z$436</f>
        <v>2048.7557375965625</v>
      </c>
      <c r="O436" s="61">
        <f>$L$436-EFEITO!$O$436*EFEITO!$AA$436</f>
        <v>705.43024664497716</v>
      </c>
      <c r="P436" s="45"/>
      <c r="Q436" s="45"/>
      <c r="R436" s="45"/>
      <c r="S436" s="45"/>
      <c r="T436" s="45"/>
      <c r="U436" s="45"/>
      <c r="V436" s="45"/>
      <c r="W436" s="45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1.25" customHeight="1" x14ac:dyDescent="0.2">
      <c r="A437" s="41" t="s">
        <v>21</v>
      </c>
      <c r="B437" s="41" t="s">
        <v>41</v>
      </c>
      <c r="C437" s="41" t="s">
        <v>23</v>
      </c>
      <c r="D437" s="41" t="s">
        <v>42</v>
      </c>
      <c r="E437" s="41" t="s">
        <v>25</v>
      </c>
      <c r="F437" s="41" t="s">
        <v>25</v>
      </c>
      <c r="G437" s="41" t="s">
        <v>25</v>
      </c>
      <c r="H437" s="41" t="s">
        <v>25</v>
      </c>
      <c r="I437" s="60">
        <v>44531</v>
      </c>
      <c r="J437" s="61">
        <f>EFEITO!$J$437*EFEITO!$Y$272</f>
        <v>0</v>
      </c>
      <c r="K437" s="61">
        <f ca="1">EFEITO!$L$437*EFEITO!$Z$272</f>
        <v>980533.7013381779</v>
      </c>
      <c r="L437" s="61">
        <f>EFEITO!$N$437*EFEITO!$AA$272</f>
        <v>337618.64242057019</v>
      </c>
      <c r="M437" s="61">
        <f>$J$437-EFEITO!$K$437*EFEITO!$Y$437</f>
        <v>0</v>
      </c>
      <c r="N437" s="61">
        <f ca="1">$K$437-EFEITO!$M$437*EFEITO!$Z$437</f>
        <v>58832.022080290713</v>
      </c>
      <c r="O437" s="61">
        <f>$L$437-EFEITO!$O$437*EFEITO!$AA$437</f>
        <v>20257.118545234203</v>
      </c>
      <c r="P437" s="45"/>
      <c r="Q437" s="45"/>
      <c r="R437" s="45"/>
      <c r="S437" s="45"/>
      <c r="T437" s="45"/>
      <c r="U437" s="45"/>
      <c r="V437" s="45"/>
      <c r="W437" s="45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1.25" customHeight="1" x14ac:dyDescent="0.2">
      <c r="A438" s="41" t="s">
        <v>27</v>
      </c>
      <c r="B438" s="41" t="s">
        <v>41</v>
      </c>
      <c r="C438" s="41" t="s">
        <v>23</v>
      </c>
      <c r="D438" s="41" t="s">
        <v>42</v>
      </c>
      <c r="E438" s="41" t="s">
        <v>25</v>
      </c>
      <c r="F438" s="41" t="s">
        <v>25</v>
      </c>
      <c r="G438" s="41" t="s">
        <v>25</v>
      </c>
      <c r="H438" s="41" t="s">
        <v>25</v>
      </c>
      <c r="I438" s="60">
        <v>44531</v>
      </c>
      <c r="J438" s="61">
        <f>EFEITO!$J$438*EFEITO!$Y$272</f>
        <v>0</v>
      </c>
      <c r="K438" s="61">
        <f ca="1">EFEITO!$L$438*EFEITO!$Z$272</f>
        <v>-3584.6032224215855</v>
      </c>
      <c r="L438" s="61">
        <f>EFEITO!$N$438*EFEITO!$AA$272</f>
        <v>-1234.2552549889147</v>
      </c>
      <c r="M438" s="61">
        <f>$J$438-EFEITO!$K$438*EFEITO!$Y$438</f>
        <v>0</v>
      </c>
      <c r="N438" s="61">
        <f ca="1">$K$438-EFEITO!$M$438*EFEITO!$Z$438</f>
        <v>-215.076193345295</v>
      </c>
      <c r="O438" s="61">
        <f>$L$438-EFEITO!$O$438*EFEITO!$AA$438</f>
        <v>-74.055315299334779</v>
      </c>
      <c r="P438" s="45"/>
      <c r="Q438" s="45"/>
      <c r="R438" s="45"/>
      <c r="S438" s="45"/>
      <c r="T438" s="45"/>
      <c r="U438" s="45"/>
      <c r="V438" s="45"/>
      <c r="W438" s="45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1.25" customHeight="1" x14ac:dyDescent="0.2">
      <c r="A439" s="41" t="s">
        <v>28</v>
      </c>
      <c r="B439" s="41" t="s">
        <v>41</v>
      </c>
      <c r="C439" s="41" t="s">
        <v>23</v>
      </c>
      <c r="D439" s="41" t="s">
        <v>42</v>
      </c>
      <c r="E439" s="41" t="s">
        <v>25</v>
      </c>
      <c r="F439" s="41" t="s">
        <v>25</v>
      </c>
      <c r="G439" s="41" t="s">
        <v>25</v>
      </c>
      <c r="H439" s="41" t="s">
        <v>25</v>
      </c>
      <c r="I439" s="60">
        <v>44531</v>
      </c>
      <c r="J439" s="61">
        <f>EFEITO!$J$439*EFEITO!$Y$272</f>
        <v>0</v>
      </c>
      <c r="K439" s="61">
        <f ca="1">EFEITO!$L$439*EFEITO!$Z$272</f>
        <v>58170.591710248045</v>
      </c>
      <c r="L439" s="61">
        <f>EFEITO!$N$439*EFEITO!$AA$272</f>
        <v>20029.37397787792</v>
      </c>
      <c r="M439" s="61">
        <f>$J$439-EFEITO!$K$439*EFEITO!$Y$439</f>
        <v>0</v>
      </c>
      <c r="N439" s="61">
        <f ca="1">$K$439-EFEITO!$M$439*EFEITO!$Z$439</f>
        <v>3490.2355026148871</v>
      </c>
      <c r="O439" s="61">
        <f>$L$439-EFEITO!$O$439*EFEITO!$AA$439</f>
        <v>1201.7624386726748</v>
      </c>
      <c r="P439" s="45"/>
      <c r="Q439" s="45"/>
      <c r="R439" s="45"/>
      <c r="S439" s="45"/>
      <c r="T439" s="45"/>
      <c r="U439" s="45"/>
      <c r="V439" s="45"/>
      <c r="W439" s="45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1.25" customHeight="1" x14ac:dyDescent="0.2">
      <c r="A440" s="41" t="s">
        <v>21</v>
      </c>
      <c r="B440" s="41" t="s">
        <v>41</v>
      </c>
      <c r="C440" s="41" t="s">
        <v>23</v>
      </c>
      <c r="D440" s="41" t="s">
        <v>42</v>
      </c>
      <c r="E440" s="41" t="s">
        <v>25</v>
      </c>
      <c r="F440" s="41" t="s">
        <v>25</v>
      </c>
      <c r="G440" s="41" t="s">
        <v>25</v>
      </c>
      <c r="H440" s="41" t="s">
        <v>25</v>
      </c>
      <c r="I440" s="60">
        <v>44562</v>
      </c>
      <c r="J440" s="61">
        <f>EFEITO!$J$440*EFEITO!$Y$272</f>
        <v>0</v>
      </c>
      <c r="K440" s="61">
        <f ca="1">EFEITO!$L$440*EFEITO!$Z$272</f>
        <v>1089139.357817471</v>
      </c>
      <c r="L440" s="61">
        <f>EFEITO!$N$440*EFEITO!$AA$272</f>
        <v>375013.88365469844</v>
      </c>
      <c r="M440" s="61">
        <f>$J$440-EFEITO!$K$440*EFEITO!$Y$440</f>
        <v>0</v>
      </c>
      <c r="N440" s="61">
        <f ca="1">$K$440-EFEITO!$M$440*EFEITO!$Z$440</f>
        <v>65348.361469048192</v>
      </c>
      <c r="O440" s="61">
        <f>$L$440-EFEITO!$O$440*EFEITO!$AA$440</f>
        <v>22500.833019281912</v>
      </c>
      <c r="P440" s="45"/>
      <c r="Q440" s="45"/>
      <c r="R440" s="45"/>
      <c r="S440" s="45"/>
      <c r="T440" s="45"/>
      <c r="U440" s="45"/>
      <c r="V440" s="45"/>
      <c r="W440" s="45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1.25" customHeight="1" x14ac:dyDescent="0.2">
      <c r="A441" s="41" t="s">
        <v>27</v>
      </c>
      <c r="B441" s="41" t="s">
        <v>41</v>
      </c>
      <c r="C441" s="41" t="s">
        <v>23</v>
      </c>
      <c r="D441" s="41" t="s">
        <v>42</v>
      </c>
      <c r="E441" s="41" t="s">
        <v>25</v>
      </c>
      <c r="F441" s="41" t="s">
        <v>25</v>
      </c>
      <c r="G441" s="41" t="s">
        <v>25</v>
      </c>
      <c r="H441" s="41" t="s">
        <v>25</v>
      </c>
      <c r="I441" s="60">
        <v>44562</v>
      </c>
      <c r="J441" s="61">
        <f>EFEITO!$J$441*EFEITO!$Y$272</f>
        <v>0</v>
      </c>
      <c r="K441" s="61">
        <f ca="1">EFEITO!$L$441*EFEITO!$Z$272</f>
        <v>-4944.4574788012987</v>
      </c>
      <c r="L441" s="61">
        <f>EFEITO!$N$441*EFEITO!$AA$272</f>
        <v>-1702.4820454624924</v>
      </c>
      <c r="M441" s="61">
        <f>$J$441-EFEITO!$K$441*EFEITO!$Y$441</f>
        <v>0</v>
      </c>
      <c r="N441" s="61">
        <f ca="1">$K$441-EFEITO!$M$441*EFEITO!$Z$441</f>
        <v>-296.66744872807794</v>
      </c>
      <c r="O441" s="61">
        <f>$L$441-EFEITO!$O$441*EFEITO!$AA$441</f>
        <v>-102.14892272774955</v>
      </c>
      <c r="P441" s="45"/>
      <c r="Q441" s="45"/>
      <c r="R441" s="45"/>
      <c r="S441" s="45"/>
      <c r="T441" s="45"/>
      <c r="U441" s="45"/>
      <c r="V441" s="45"/>
      <c r="W441" s="45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1.25" customHeight="1" x14ac:dyDescent="0.2">
      <c r="A442" s="41" t="s">
        <v>28</v>
      </c>
      <c r="B442" s="41" t="s">
        <v>41</v>
      </c>
      <c r="C442" s="41" t="s">
        <v>23</v>
      </c>
      <c r="D442" s="41" t="s">
        <v>42</v>
      </c>
      <c r="E442" s="41" t="s">
        <v>25</v>
      </c>
      <c r="F442" s="41" t="s">
        <v>25</v>
      </c>
      <c r="G442" s="41" t="s">
        <v>25</v>
      </c>
      <c r="H442" s="41" t="s">
        <v>25</v>
      </c>
      <c r="I442" s="60">
        <v>44562</v>
      </c>
      <c r="J442" s="61">
        <f>EFEITO!$J$442*EFEITO!$Y$272</f>
        <v>0</v>
      </c>
      <c r="K442" s="61">
        <f ca="1">EFEITO!$L$442*EFEITO!$Z$272</f>
        <v>38549.75588425545</v>
      </c>
      <c r="L442" s="61">
        <f>EFEITO!$N$442*EFEITO!$AA$272</f>
        <v>13273.502205507477</v>
      </c>
      <c r="M442" s="61">
        <f>$J$442-EFEITO!$K$442*EFEITO!$Y$442</f>
        <v>0</v>
      </c>
      <c r="N442" s="61">
        <f ca="1">$K$442-EFEITO!$M$442*EFEITO!$Z$442</f>
        <v>2312.9853530553228</v>
      </c>
      <c r="O442" s="61">
        <f>$L$442-EFEITO!$O$442*EFEITO!$AA$442</f>
        <v>796.4101323304476</v>
      </c>
      <c r="P442" s="45"/>
      <c r="Q442" s="45"/>
      <c r="R442" s="45"/>
      <c r="S442" s="45"/>
      <c r="T442" s="45"/>
      <c r="U442" s="45"/>
      <c r="V442" s="45"/>
      <c r="W442" s="45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1.25" customHeight="1" x14ac:dyDescent="0.2">
      <c r="A443" s="41" t="s">
        <v>21</v>
      </c>
      <c r="B443" s="41" t="s">
        <v>41</v>
      </c>
      <c r="C443" s="41" t="s">
        <v>23</v>
      </c>
      <c r="D443" s="41" t="s">
        <v>42</v>
      </c>
      <c r="E443" s="41" t="s">
        <v>25</v>
      </c>
      <c r="F443" s="41" t="s">
        <v>25</v>
      </c>
      <c r="G443" s="41" t="s">
        <v>25</v>
      </c>
      <c r="H443" s="41" t="s">
        <v>25</v>
      </c>
      <c r="I443" s="60">
        <v>44593</v>
      </c>
      <c r="J443" s="61">
        <f>EFEITO!$J$443*EFEITO!$Y$272</f>
        <v>0</v>
      </c>
      <c r="K443" s="61">
        <f ca="1">EFEITO!$L$443*EFEITO!$Z$272</f>
        <v>1080110.1995811565</v>
      </c>
      <c r="L443" s="61">
        <f>EFEITO!$N$443*EFEITO!$AA$272</f>
        <v>371904.95211895951</v>
      </c>
      <c r="M443" s="61">
        <f>$J$443-EFEITO!$K$443*EFEITO!$Y$443</f>
        <v>0</v>
      </c>
      <c r="N443" s="61">
        <f ca="1">$K$443-EFEITO!$M$443*EFEITO!$Z$443</f>
        <v>64806.611974869506</v>
      </c>
      <c r="O443" s="61">
        <f>$L$443-EFEITO!$O$443*EFEITO!$AA$443</f>
        <v>22314.297127137543</v>
      </c>
      <c r="P443" s="45"/>
      <c r="Q443" s="45"/>
      <c r="R443" s="45"/>
      <c r="S443" s="45"/>
      <c r="T443" s="45"/>
      <c r="U443" s="45"/>
      <c r="V443" s="45"/>
      <c r="W443" s="45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1.25" customHeight="1" x14ac:dyDescent="0.2">
      <c r="A444" s="41" t="s">
        <v>27</v>
      </c>
      <c r="B444" s="41" t="s">
        <v>41</v>
      </c>
      <c r="C444" s="41" t="s">
        <v>23</v>
      </c>
      <c r="D444" s="41" t="s">
        <v>42</v>
      </c>
      <c r="E444" s="41" t="s">
        <v>25</v>
      </c>
      <c r="F444" s="41" t="s">
        <v>25</v>
      </c>
      <c r="G444" s="41" t="s">
        <v>25</v>
      </c>
      <c r="H444" s="41" t="s">
        <v>25</v>
      </c>
      <c r="I444" s="60">
        <v>44593</v>
      </c>
      <c r="J444" s="61">
        <f>EFEITO!$J$444*EFEITO!$Y$272</f>
        <v>0</v>
      </c>
      <c r="K444" s="61">
        <f ca="1">EFEITO!$L$444*EFEITO!$Z$272</f>
        <v>-1978.6964116759384</v>
      </c>
      <c r="L444" s="61">
        <f>EFEITO!$N$444*EFEITO!$AA$272</f>
        <v>-681.30732820378705</v>
      </c>
      <c r="M444" s="61">
        <f>$J$444-EFEITO!$K$444*EFEITO!$Y$444</f>
        <v>0</v>
      </c>
      <c r="N444" s="61">
        <f ca="1">$K$444-EFEITO!$M$444*EFEITO!$Z$444</f>
        <v>-118.72178470055633</v>
      </c>
      <c r="O444" s="61">
        <f>$L$444-EFEITO!$O$444*EFEITO!$AA$444</f>
        <v>-40.878439692227289</v>
      </c>
      <c r="P444" s="45"/>
      <c r="Q444" s="45"/>
      <c r="R444" s="45"/>
      <c r="S444" s="45"/>
      <c r="T444" s="45"/>
      <c r="U444" s="45"/>
      <c r="V444" s="45"/>
      <c r="W444" s="45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1.25" customHeight="1" x14ac:dyDescent="0.2">
      <c r="A445" s="41" t="s">
        <v>28</v>
      </c>
      <c r="B445" s="41" t="s">
        <v>41</v>
      </c>
      <c r="C445" s="41" t="s">
        <v>23</v>
      </c>
      <c r="D445" s="41" t="s">
        <v>42</v>
      </c>
      <c r="E445" s="41" t="s">
        <v>25</v>
      </c>
      <c r="F445" s="41" t="s">
        <v>25</v>
      </c>
      <c r="G445" s="41" t="s">
        <v>25</v>
      </c>
      <c r="H445" s="41" t="s">
        <v>25</v>
      </c>
      <c r="I445" s="60">
        <v>44593</v>
      </c>
      <c r="J445" s="61">
        <f>EFEITO!$J$445*EFEITO!$Y$272</f>
        <v>0</v>
      </c>
      <c r="K445" s="61">
        <f ca="1">EFEITO!$L$445*EFEITO!$Z$272</f>
        <v>50819.272121918257</v>
      </c>
      <c r="L445" s="61">
        <f>EFEITO!$N$445*EFEITO!$AA$272</f>
        <v>17498.158032903841</v>
      </c>
      <c r="M445" s="61">
        <f>$J$445-EFEITO!$K$445*EFEITO!$Y$445</f>
        <v>0</v>
      </c>
      <c r="N445" s="61">
        <f ca="1">$K$445-EFEITO!$M$445*EFEITO!$Z$445</f>
        <v>3049.1563273150969</v>
      </c>
      <c r="O445" s="61">
        <f>$L$445-EFEITO!$O$445*EFEITO!$AA$445</f>
        <v>1049.8894819742309</v>
      </c>
      <c r="P445" s="45"/>
      <c r="Q445" s="45"/>
      <c r="R445" s="45"/>
      <c r="S445" s="45"/>
      <c r="T445" s="45"/>
      <c r="U445" s="45"/>
      <c r="V445" s="45"/>
      <c r="W445" s="45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1.25" customHeight="1" x14ac:dyDescent="0.2">
      <c r="A446" s="41" t="s">
        <v>21</v>
      </c>
      <c r="B446" s="41" t="s">
        <v>41</v>
      </c>
      <c r="C446" s="41" t="s">
        <v>23</v>
      </c>
      <c r="D446" s="41" t="s">
        <v>42</v>
      </c>
      <c r="E446" s="41" t="s">
        <v>25</v>
      </c>
      <c r="F446" s="41" t="s">
        <v>25</v>
      </c>
      <c r="G446" s="41" t="s">
        <v>25</v>
      </c>
      <c r="H446" s="41" t="s">
        <v>25</v>
      </c>
      <c r="I446" s="60">
        <v>44621</v>
      </c>
      <c r="J446" s="61">
        <f>EFEITO!$J$446*EFEITO!$Y$272</f>
        <v>0</v>
      </c>
      <c r="K446" s="61">
        <f ca="1">EFEITO!$L$446*EFEITO!$Z$272</f>
        <v>1010674.2829166092</v>
      </c>
      <c r="L446" s="61">
        <f>EFEITO!$N$446*EFEITO!$AA$272</f>
        <v>347996.68676559249</v>
      </c>
      <c r="M446" s="61">
        <f>$J$446-EFEITO!$K$446*EFEITO!$Y$446</f>
        <v>0</v>
      </c>
      <c r="N446" s="61">
        <f ca="1">$K$446-EFEITO!$M$446*EFEITO!$Z$446</f>
        <v>60640.456974996603</v>
      </c>
      <c r="O446" s="61">
        <f>$L$446-EFEITO!$O$446*EFEITO!$AA$446</f>
        <v>20879.801205935539</v>
      </c>
      <c r="P446" s="45"/>
      <c r="Q446" s="45"/>
      <c r="R446" s="45"/>
      <c r="S446" s="45"/>
      <c r="T446" s="45"/>
      <c r="U446" s="45"/>
      <c r="V446" s="45"/>
      <c r="W446" s="45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1.25" customHeight="1" x14ac:dyDescent="0.2">
      <c r="A447" s="41" t="s">
        <v>27</v>
      </c>
      <c r="B447" s="41" t="s">
        <v>41</v>
      </c>
      <c r="C447" s="41" t="s">
        <v>23</v>
      </c>
      <c r="D447" s="41" t="s">
        <v>42</v>
      </c>
      <c r="E447" s="41" t="s">
        <v>25</v>
      </c>
      <c r="F447" s="41" t="s">
        <v>25</v>
      </c>
      <c r="G447" s="41" t="s">
        <v>25</v>
      </c>
      <c r="H447" s="41" t="s">
        <v>25</v>
      </c>
      <c r="I447" s="60">
        <v>44621</v>
      </c>
      <c r="J447" s="61">
        <f>EFEITO!$J$447*EFEITO!$Y$272</f>
        <v>0</v>
      </c>
      <c r="K447" s="61">
        <f ca="1">EFEITO!$L$447*EFEITO!$Z$272</f>
        <v>-547.48120565413296</v>
      </c>
      <c r="L447" s="61">
        <f>EFEITO!$N$447*EFEITO!$AA$272</f>
        <v>-188.50944251224226</v>
      </c>
      <c r="M447" s="61">
        <f>$J$447-EFEITO!$K$447*EFEITO!$Y$447</f>
        <v>0</v>
      </c>
      <c r="N447" s="61">
        <f ca="1">$K$447-EFEITO!$M$447*EFEITO!$Z$447</f>
        <v>-32.848872339248032</v>
      </c>
      <c r="O447" s="61">
        <f>$L$447-EFEITO!$O$447*EFEITO!$AA$447</f>
        <v>-11.310566550734535</v>
      </c>
      <c r="P447" s="45"/>
      <c r="Q447" s="45"/>
      <c r="R447" s="45"/>
      <c r="S447" s="45"/>
      <c r="T447" s="45"/>
      <c r="U447" s="45"/>
      <c r="V447" s="45"/>
      <c r="W447" s="45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1.25" customHeight="1" x14ac:dyDescent="0.2">
      <c r="A448" s="41" t="s">
        <v>28</v>
      </c>
      <c r="B448" s="41" t="s">
        <v>41</v>
      </c>
      <c r="C448" s="41" t="s">
        <v>23</v>
      </c>
      <c r="D448" s="41" t="s">
        <v>42</v>
      </c>
      <c r="E448" s="41" t="s">
        <v>25</v>
      </c>
      <c r="F448" s="41" t="s">
        <v>25</v>
      </c>
      <c r="G448" s="41" t="s">
        <v>25</v>
      </c>
      <c r="H448" s="41" t="s">
        <v>25</v>
      </c>
      <c r="I448" s="60">
        <v>44621</v>
      </c>
      <c r="J448" s="61">
        <f>EFEITO!$J$448*EFEITO!$Y$272</f>
        <v>0</v>
      </c>
      <c r="K448" s="61">
        <f ca="1">EFEITO!$L$448*EFEITO!$Z$272</f>
        <v>70415.559781233969</v>
      </c>
      <c r="L448" s="61">
        <f>EFEITO!$N$448*EFEITO!$AA$272</f>
        <v>24245.577348519302</v>
      </c>
      <c r="M448" s="61">
        <f>$J$448-EFEITO!$K$448*EFEITO!$Y$448</f>
        <v>0</v>
      </c>
      <c r="N448" s="61">
        <f ca="1">$K$448-EFEITO!$M$448*EFEITO!$Z$448</f>
        <v>4224.9335868740454</v>
      </c>
      <c r="O448" s="61">
        <f>$L$448-EFEITO!$O$448*EFEITO!$AA$448</f>
        <v>1454.7346409111597</v>
      </c>
      <c r="P448" s="45"/>
      <c r="Q448" s="45"/>
      <c r="R448" s="45"/>
      <c r="S448" s="45"/>
      <c r="T448" s="45"/>
      <c r="U448" s="45"/>
      <c r="V448" s="45"/>
      <c r="W448" s="45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1.25" customHeight="1" x14ac:dyDescent="0.2">
      <c r="A449" s="41" t="s">
        <v>21</v>
      </c>
      <c r="B449" s="41" t="s">
        <v>41</v>
      </c>
      <c r="C449" s="41" t="s">
        <v>23</v>
      </c>
      <c r="D449" s="41" t="s">
        <v>42</v>
      </c>
      <c r="E449" s="41" t="s">
        <v>25</v>
      </c>
      <c r="F449" s="41" t="s">
        <v>25</v>
      </c>
      <c r="G449" s="41" t="s">
        <v>25</v>
      </c>
      <c r="H449" s="41" t="s">
        <v>25</v>
      </c>
      <c r="I449" s="60">
        <v>44652</v>
      </c>
      <c r="J449" s="61">
        <f>EFEITO!$J$449*EFEITO!$Y$272</f>
        <v>0</v>
      </c>
      <c r="K449" s="61">
        <f ca="1">EFEITO!$L$449*EFEITO!$Z$272</f>
        <v>916212.36665637861</v>
      </c>
      <c r="L449" s="61">
        <f>EFEITO!$N$449*EFEITO!$AA$272</f>
        <v>315471.43660366529</v>
      </c>
      <c r="M449" s="61">
        <f>$J$449-EFEITO!$K$449*EFEITO!$Y$449</f>
        <v>0</v>
      </c>
      <c r="N449" s="61">
        <f ca="1">$K$449-EFEITO!$M$449*EFEITO!$Z$449</f>
        <v>54972.741999382735</v>
      </c>
      <c r="O449" s="61">
        <f>$L$449-EFEITO!$O$449*EFEITO!$AA$449</f>
        <v>18928.286196219909</v>
      </c>
      <c r="P449" s="45"/>
      <c r="Q449" s="45"/>
      <c r="R449" s="45"/>
      <c r="S449" s="45"/>
      <c r="T449" s="45"/>
      <c r="U449" s="45"/>
      <c r="V449" s="45"/>
      <c r="W449" s="45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1.25" customHeight="1" x14ac:dyDescent="0.2">
      <c r="A450" s="41" t="s">
        <v>27</v>
      </c>
      <c r="B450" s="41" t="s">
        <v>41</v>
      </c>
      <c r="C450" s="41" t="s">
        <v>23</v>
      </c>
      <c r="D450" s="41" t="s">
        <v>42</v>
      </c>
      <c r="E450" s="41" t="s">
        <v>25</v>
      </c>
      <c r="F450" s="41" t="s">
        <v>25</v>
      </c>
      <c r="G450" s="41" t="s">
        <v>25</v>
      </c>
      <c r="H450" s="41" t="s">
        <v>25</v>
      </c>
      <c r="I450" s="60">
        <v>44652</v>
      </c>
      <c r="J450" s="61">
        <f>EFEITO!$J$450*EFEITO!$Y$272</f>
        <v>0</v>
      </c>
      <c r="K450" s="61">
        <f ca="1">EFEITO!$L$450*EFEITO!$Z$272</f>
        <v>-436.72901180960554</v>
      </c>
      <c r="L450" s="61">
        <f>EFEITO!$N$450*EFEITO!$AA$272</f>
        <v>-150.37510273395759</v>
      </c>
      <c r="M450" s="61">
        <f>$J$450-EFEITO!$K$450*EFEITO!$Y$450</f>
        <v>0</v>
      </c>
      <c r="N450" s="61">
        <f ca="1">$K$450-EFEITO!$M$450*EFEITO!$Z$450</f>
        <v>-26.203740708576333</v>
      </c>
      <c r="O450" s="61">
        <f>$L$450-EFEITO!$O$450*EFEITO!$AA$450</f>
        <v>-9.022506164037452</v>
      </c>
      <c r="P450" s="45"/>
      <c r="Q450" s="45"/>
      <c r="R450" s="45"/>
      <c r="S450" s="45"/>
      <c r="T450" s="45"/>
      <c r="U450" s="45"/>
      <c r="V450" s="45"/>
      <c r="W450" s="45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1.25" customHeight="1" x14ac:dyDescent="0.2">
      <c r="A451" s="41" t="s">
        <v>28</v>
      </c>
      <c r="B451" s="41" t="s">
        <v>41</v>
      </c>
      <c r="C451" s="41" t="s">
        <v>23</v>
      </c>
      <c r="D451" s="41" t="s">
        <v>42</v>
      </c>
      <c r="E451" s="41" t="s">
        <v>25</v>
      </c>
      <c r="F451" s="41" t="s">
        <v>25</v>
      </c>
      <c r="G451" s="41" t="s">
        <v>25</v>
      </c>
      <c r="H451" s="41" t="s">
        <v>25</v>
      </c>
      <c r="I451" s="60">
        <v>44652</v>
      </c>
      <c r="J451" s="61">
        <f>EFEITO!$J$451*EFEITO!$Y$272</f>
        <v>0</v>
      </c>
      <c r="K451" s="61">
        <f ca="1">EFEITO!$L$451*EFEITO!$Z$272</f>
        <v>55300.739759441654</v>
      </c>
      <c r="L451" s="61">
        <f>EFEITO!$N$451*EFEITO!$AA$272</f>
        <v>19041.222812592161</v>
      </c>
      <c r="M451" s="61">
        <f>$J$451-EFEITO!$K$451*EFEITO!$Y$451</f>
        <v>0</v>
      </c>
      <c r="N451" s="61">
        <f ca="1">$K$451-EFEITO!$M$451*EFEITO!$Z$451</f>
        <v>3318.0443855664998</v>
      </c>
      <c r="O451" s="61">
        <f>$L$451-EFEITO!$O$451*EFEITO!$AA$451</f>
        <v>1142.4733687555272</v>
      </c>
      <c r="P451" s="45"/>
      <c r="Q451" s="45"/>
      <c r="R451" s="45"/>
      <c r="S451" s="45"/>
      <c r="T451" s="45"/>
      <c r="U451" s="45"/>
      <c r="V451" s="45"/>
      <c r="W451" s="45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1.25" customHeight="1" x14ac:dyDescent="0.2">
      <c r="A452" s="41" t="s">
        <v>21</v>
      </c>
      <c r="B452" s="41" t="s">
        <v>41</v>
      </c>
      <c r="C452" s="41" t="s">
        <v>23</v>
      </c>
      <c r="D452" s="41" t="s">
        <v>42</v>
      </c>
      <c r="E452" s="41" t="s">
        <v>25</v>
      </c>
      <c r="F452" s="41" t="s">
        <v>25</v>
      </c>
      <c r="G452" s="41" t="s">
        <v>25</v>
      </c>
      <c r="H452" s="41" t="s">
        <v>25</v>
      </c>
      <c r="I452" s="60">
        <v>44682</v>
      </c>
      <c r="J452" s="61">
        <f>EFEITO!$J$452*EFEITO!$Y$272</f>
        <v>0</v>
      </c>
      <c r="K452" s="61">
        <f ca="1">EFEITO!$L$452*EFEITO!$Z$272</f>
        <v>852287.22796699218</v>
      </c>
      <c r="L452" s="61">
        <f>EFEITO!$N$452*EFEITO!$AA$272</f>
        <v>293460.64950741048</v>
      </c>
      <c r="M452" s="61">
        <f>$J$452-EFEITO!$K$452*EFEITO!$Y$452</f>
        <v>0</v>
      </c>
      <c r="N452" s="61">
        <f ca="1">$K$452-EFEITO!$M$452*EFEITO!$Z$452</f>
        <v>51137.233678019606</v>
      </c>
      <c r="O452" s="61">
        <f>$L$452-EFEITO!$O$452*EFEITO!$AA$452</f>
        <v>17607.638970444619</v>
      </c>
      <c r="P452" s="45"/>
      <c r="Q452" s="45"/>
      <c r="R452" s="45"/>
      <c r="S452" s="45"/>
      <c r="T452" s="45"/>
      <c r="U452" s="45"/>
      <c r="V452" s="45"/>
      <c r="W452" s="45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1.25" customHeight="1" x14ac:dyDescent="0.2">
      <c r="A453" s="41" t="s">
        <v>27</v>
      </c>
      <c r="B453" s="41" t="s">
        <v>41</v>
      </c>
      <c r="C453" s="41" t="s">
        <v>23</v>
      </c>
      <c r="D453" s="41" t="s">
        <v>42</v>
      </c>
      <c r="E453" s="41" t="s">
        <v>25</v>
      </c>
      <c r="F453" s="41" t="s">
        <v>25</v>
      </c>
      <c r="G453" s="41" t="s">
        <v>25</v>
      </c>
      <c r="H453" s="41" t="s">
        <v>25</v>
      </c>
      <c r="I453" s="60">
        <v>44682</v>
      </c>
      <c r="J453" s="61">
        <f>EFEITO!$J$453*EFEITO!$Y$272</f>
        <v>0</v>
      </c>
      <c r="K453" s="61">
        <f ca="1">EFEITO!$L$453*EFEITO!$Z$272</f>
        <v>-3628.5615674011146</v>
      </c>
      <c r="L453" s="61">
        <f>EFEITO!$N$453*EFEITO!$AA$272</f>
        <v>-1249.3910496431822</v>
      </c>
      <c r="M453" s="61">
        <f>$J$453-EFEITO!$K$453*EFEITO!$Y$453</f>
        <v>0</v>
      </c>
      <c r="N453" s="61">
        <f ca="1">$K$453-EFEITO!$M$453*EFEITO!$Z$453</f>
        <v>-217.71369404406687</v>
      </c>
      <c r="O453" s="61">
        <f>$L$453-EFEITO!$O$453*EFEITO!$AA$453</f>
        <v>-74.963462978590769</v>
      </c>
      <c r="P453" s="45"/>
      <c r="Q453" s="45"/>
      <c r="R453" s="45"/>
      <c r="S453" s="45"/>
      <c r="T453" s="45"/>
      <c r="U453" s="45"/>
      <c r="V453" s="45"/>
      <c r="W453" s="45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1.25" customHeight="1" x14ac:dyDescent="0.2">
      <c r="A454" s="41" t="s">
        <v>28</v>
      </c>
      <c r="B454" s="41" t="s">
        <v>41</v>
      </c>
      <c r="C454" s="41" t="s">
        <v>23</v>
      </c>
      <c r="D454" s="41" t="s">
        <v>42</v>
      </c>
      <c r="E454" s="41" t="s">
        <v>25</v>
      </c>
      <c r="F454" s="41" t="s">
        <v>25</v>
      </c>
      <c r="G454" s="41" t="s">
        <v>25</v>
      </c>
      <c r="H454" s="41" t="s">
        <v>25</v>
      </c>
      <c r="I454" s="60">
        <v>44682</v>
      </c>
      <c r="J454" s="61">
        <f>EFEITO!$J$454*EFEITO!$Y$272</f>
        <v>0</v>
      </c>
      <c r="K454" s="61">
        <f ca="1">EFEITO!$L$454*EFEITO!$Z$272</f>
        <v>94449.356733093562</v>
      </c>
      <c r="L454" s="61">
        <f>EFEITO!$N$454*EFEITO!$AA$272</f>
        <v>32520.925649168821</v>
      </c>
      <c r="M454" s="61">
        <f>$J$454-EFEITO!$K$454*EFEITO!$Y$454</f>
        <v>0</v>
      </c>
      <c r="N454" s="61">
        <f ca="1">$K$454-EFEITO!$M$454*EFEITO!$Z$454</f>
        <v>5666.9614039856242</v>
      </c>
      <c r="O454" s="61">
        <f>$L$454-EFEITO!$O$454*EFEITO!$AA$454</f>
        <v>1951.2555389501285</v>
      </c>
      <c r="P454" s="45"/>
      <c r="Q454" s="45"/>
      <c r="R454" s="45"/>
      <c r="S454" s="45"/>
      <c r="T454" s="45"/>
      <c r="U454" s="45"/>
      <c r="V454" s="45"/>
      <c r="W454" s="45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1.25" customHeight="1" x14ac:dyDescent="0.2">
      <c r="A455" s="41" t="s">
        <v>21</v>
      </c>
      <c r="B455" s="41" t="s">
        <v>41</v>
      </c>
      <c r="C455" s="41" t="s">
        <v>23</v>
      </c>
      <c r="D455" s="41" t="s">
        <v>42</v>
      </c>
      <c r="E455" s="41" t="s">
        <v>25</v>
      </c>
      <c r="F455" s="41" t="s">
        <v>25</v>
      </c>
      <c r="G455" s="41" t="s">
        <v>25</v>
      </c>
      <c r="H455" s="41" t="s">
        <v>25</v>
      </c>
      <c r="I455" s="60">
        <v>44713</v>
      </c>
      <c r="J455" s="61">
        <f>EFEITO!$J$455*EFEITO!$Y$272</f>
        <v>0</v>
      </c>
      <c r="K455" s="61">
        <f ca="1">EFEITO!$L$455*EFEITO!$Z$272</f>
        <v>849190.16275252542</v>
      </c>
      <c r="L455" s="61">
        <f>EFEITO!$N$455*EFEITO!$AA$272</f>
        <v>292394.26397495077</v>
      </c>
      <c r="M455" s="61">
        <f>$J$455-EFEITO!$K$455*EFEITO!$Y$455</f>
        <v>0</v>
      </c>
      <c r="N455" s="61">
        <f ca="1">$K$455-EFEITO!$M$455*EFEITO!$Z$455</f>
        <v>50951.409765151562</v>
      </c>
      <c r="O455" s="61">
        <f>$L$455-EFEITO!$O$455*EFEITO!$AA$455</f>
        <v>17543.655838497041</v>
      </c>
      <c r="P455" s="45"/>
      <c r="Q455" s="45"/>
      <c r="R455" s="45"/>
      <c r="S455" s="45"/>
      <c r="T455" s="45"/>
      <c r="U455" s="45"/>
      <c r="V455" s="45"/>
      <c r="W455" s="45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1.25" customHeight="1" x14ac:dyDescent="0.2">
      <c r="A456" s="41" t="s">
        <v>27</v>
      </c>
      <c r="B456" s="41" t="s">
        <v>41</v>
      </c>
      <c r="C456" s="41" t="s">
        <v>23</v>
      </c>
      <c r="D456" s="41" t="s">
        <v>42</v>
      </c>
      <c r="E456" s="41" t="s">
        <v>25</v>
      </c>
      <c r="F456" s="41" t="s">
        <v>25</v>
      </c>
      <c r="G456" s="41" t="s">
        <v>25</v>
      </c>
      <c r="H456" s="41" t="s">
        <v>25</v>
      </c>
      <c r="I456" s="60">
        <v>44713</v>
      </c>
      <c r="J456" s="61">
        <f>EFEITO!$J$456*EFEITO!$Y$272</f>
        <v>0</v>
      </c>
      <c r="K456" s="61">
        <f ca="1">EFEITO!$L$456*EFEITO!$Z$272</f>
        <v>-230.63858924324268</v>
      </c>
      <c r="L456" s="61">
        <f>EFEITO!$N$456*EFEITO!$AA$272</f>
        <v>-79.41377974446911</v>
      </c>
      <c r="M456" s="61">
        <f>$J$456-EFEITO!$K$456*EFEITO!$Y$456</f>
        <v>0</v>
      </c>
      <c r="N456" s="61">
        <f ca="1">$K$456-EFEITO!$M$456*EFEITO!$Z$456</f>
        <v>-13.838315354594556</v>
      </c>
      <c r="O456" s="61">
        <f>$L$456-EFEITO!$O$456*EFEITO!$AA$456</f>
        <v>-4.7648267846681449</v>
      </c>
      <c r="P456" s="45"/>
      <c r="Q456" s="45"/>
      <c r="R456" s="45"/>
      <c r="S456" s="45"/>
      <c r="T456" s="45"/>
      <c r="U456" s="45"/>
      <c r="V456" s="45"/>
      <c r="W456" s="45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1.25" customHeight="1" x14ac:dyDescent="0.2">
      <c r="A457" s="41" t="s">
        <v>28</v>
      </c>
      <c r="B457" s="41" t="s">
        <v>41</v>
      </c>
      <c r="C457" s="41" t="s">
        <v>23</v>
      </c>
      <c r="D457" s="41" t="s">
        <v>42</v>
      </c>
      <c r="E457" s="41" t="s">
        <v>25</v>
      </c>
      <c r="F457" s="41" t="s">
        <v>25</v>
      </c>
      <c r="G457" s="41" t="s">
        <v>25</v>
      </c>
      <c r="H457" s="41" t="s">
        <v>25</v>
      </c>
      <c r="I457" s="60">
        <v>44713</v>
      </c>
      <c r="J457" s="61">
        <f>EFEITO!$J$457*EFEITO!$Y$272</f>
        <v>0</v>
      </c>
      <c r="K457" s="61">
        <f ca="1">EFEITO!$L$457*EFEITO!$Z$272</f>
        <v>124302.78185016505</v>
      </c>
      <c r="L457" s="61">
        <f>EFEITO!$N$457*EFEITO!$AA$272</f>
        <v>42800.095907033974</v>
      </c>
      <c r="M457" s="61">
        <f>$J$457-EFEITO!$K$457*EFEITO!$Y$457</f>
        <v>0</v>
      </c>
      <c r="N457" s="61">
        <f ca="1">$K$457-EFEITO!$M$457*EFEITO!$Z$457</f>
        <v>7458.1669110099028</v>
      </c>
      <c r="O457" s="61">
        <f>$L$457-EFEITO!$O$457*EFEITO!$AA$457</f>
        <v>2568.0057544220399</v>
      </c>
      <c r="P457" s="45"/>
      <c r="Q457" s="45"/>
      <c r="R457" s="45"/>
      <c r="S457" s="45"/>
      <c r="T457" s="45"/>
      <c r="U457" s="45"/>
      <c r="V457" s="45"/>
      <c r="W457" s="45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1.25" customHeight="1" x14ac:dyDescent="0.2">
      <c r="A458" s="41" t="s">
        <v>21</v>
      </c>
      <c r="B458" s="41" t="s">
        <v>33</v>
      </c>
      <c r="C458" s="41" t="s">
        <v>23</v>
      </c>
      <c r="D458" s="41" t="s">
        <v>40</v>
      </c>
      <c r="E458" s="41" t="s">
        <v>25</v>
      </c>
      <c r="F458" s="41" t="s">
        <v>25</v>
      </c>
      <c r="G458" s="41" t="s">
        <v>25</v>
      </c>
      <c r="H458" s="41" t="s">
        <v>25</v>
      </c>
      <c r="I458" s="60">
        <v>44378</v>
      </c>
      <c r="J458" s="61">
        <f>EFEITO!$J$458*EFEITO!$Y$458</f>
        <v>0</v>
      </c>
      <c r="K458" s="61">
        <f ca="1">EFEITO!$L$458*EFEITO!$Z$458</f>
        <v>67056.457159681391</v>
      </c>
      <c r="L458" s="61">
        <f>EFEITO!$N$458*EFEITO!$AA$458</f>
        <v>23088.966754419162</v>
      </c>
      <c r="M458" s="61">
        <f>$J$458-EFEITO!$K$458*EFEITO!$Y$458</f>
        <v>0</v>
      </c>
      <c r="N458" s="61">
        <f ca="1">$K$458-EFEITO!$M$458*EFEITO!$Z$458</f>
        <v>0</v>
      </c>
      <c r="O458" s="61">
        <f>$L$458-EFEITO!$O$458*EFEITO!$AA$458</f>
        <v>0</v>
      </c>
      <c r="P458" s="45"/>
      <c r="Q458" s="45"/>
      <c r="R458" s="45"/>
      <c r="S458" s="45"/>
      <c r="T458" s="45"/>
      <c r="U458" s="45"/>
      <c r="V458" s="45"/>
      <c r="W458" s="45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1.25" customHeight="1" x14ac:dyDescent="0.2">
      <c r="A459" s="41" t="s">
        <v>28</v>
      </c>
      <c r="B459" s="41" t="s">
        <v>33</v>
      </c>
      <c r="C459" s="41" t="s">
        <v>23</v>
      </c>
      <c r="D459" s="41" t="s">
        <v>40</v>
      </c>
      <c r="E459" s="41" t="s">
        <v>25</v>
      </c>
      <c r="F459" s="41" t="s">
        <v>25</v>
      </c>
      <c r="G459" s="41" t="s">
        <v>25</v>
      </c>
      <c r="H459" s="41" t="s">
        <v>25</v>
      </c>
      <c r="I459" s="60">
        <v>44378</v>
      </c>
      <c r="J459" s="61">
        <f>EFEITO!$J$459*EFEITO!$Y$459</f>
        <v>0</v>
      </c>
      <c r="K459" s="61">
        <f ca="1">EFEITO!$L$459*EFEITO!$Z$459</f>
        <v>7058.454250998645</v>
      </c>
      <c r="L459" s="61">
        <f>EFEITO!$N$459*EFEITO!$AA$459</f>
        <v>2430.376170199545</v>
      </c>
      <c r="M459" s="61">
        <f>$J$459-EFEITO!$K$459*EFEITO!$Y$459</f>
        <v>0</v>
      </c>
      <c r="N459" s="61">
        <f ca="1">$K$459-EFEITO!$M$459*EFEITO!$Z$459</f>
        <v>0</v>
      </c>
      <c r="O459" s="61">
        <f>$L$459-EFEITO!$O$459*EFEITO!$AA$459</f>
        <v>0</v>
      </c>
      <c r="P459" s="45"/>
      <c r="Q459" s="45"/>
      <c r="R459" s="45"/>
      <c r="S459" s="45"/>
      <c r="T459" s="45"/>
      <c r="U459" s="45"/>
      <c r="V459" s="45"/>
      <c r="W459" s="45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1.25" customHeight="1" x14ac:dyDescent="0.2">
      <c r="A460" s="41" t="s">
        <v>21</v>
      </c>
      <c r="B460" s="41" t="s">
        <v>33</v>
      </c>
      <c r="C460" s="41" t="s">
        <v>23</v>
      </c>
      <c r="D460" s="41" t="s">
        <v>40</v>
      </c>
      <c r="E460" s="41" t="s">
        <v>25</v>
      </c>
      <c r="F460" s="41" t="s">
        <v>25</v>
      </c>
      <c r="G460" s="41" t="s">
        <v>25</v>
      </c>
      <c r="H460" s="41" t="s">
        <v>25</v>
      </c>
      <c r="I460" s="60">
        <v>44409</v>
      </c>
      <c r="J460" s="61">
        <f>EFEITO!$J$460*EFEITO!$Y$460</f>
        <v>0</v>
      </c>
      <c r="K460" s="61">
        <f ca="1">EFEITO!$L$460*EFEITO!$Z$460</f>
        <v>68470.5457377891</v>
      </c>
      <c r="L460" s="61">
        <f>EFEITO!$N$460*EFEITO!$AA$460</f>
        <v>23575.867577258396</v>
      </c>
      <c r="M460" s="61">
        <f>$J$460-EFEITO!$K$460*EFEITO!$Y$460</f>
        <v>0</v>
      </c>
      <c r="N460" s="61">
        <f ca="1">$K$460-EFEITO!$M$460*EFEITO!$Z$460</f>
        <v>0</v>
      </c>
      <c r="O460" s="61">
        <f>$L$460-EFEITO!$O$460*EFEITO!$AA$460</f>
        <v>0</v>
      </c>
      <c r="P460" s="45"/>
      <c r="Q460" s="45"/>
      <c r="R460" s="45"/>
      <c r="S460" s="45"/>
      <c r="T460" s="45"/>
      <c r="U460" s="45"/>
      <c r="V460" s="45"/>
      <c r="W460" s="45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1.25" customHeight="1" x14ac:dyDescent="0.2">
      <c r="A461" s="41" t="s">
        <v>21</v>
      </c>
      <c r="B461" s="41" t="s">
        <v>33</v>
      </c>
      <c r="C461" s="41" t="s">
        <v>23</v>
      </c>
      <c r="D461" s="41" t="s">
        <v>40</v>
      </c>
      <c r="E461" s="41" t="s">
        <v>25</v>
      </c>
      <c r="F461" s="41" t="s">
        <v>25</v>
      </c>
      <c r="G461" s="41" t="s">
        <v>25</v>
      </c>
      <c r="H461" s="41" t="s">
        <v>25</v>
      </c>
      <c r="I461" s="60">
        <v>44440</v>
      </c>
      <c r="J461" s="61">
        <f>EFEITO!$J$461*EFEITO!$Y$461</f>
        <v>0</v>
      </c>
      <c r="K461" s="61">
        <f ca="1">EFEITO!$L$461*EFEITO!$Z$461</f>
        <v>66449.032756327899</v>
      </c>
      <c r="L461" s="61">
        <f>EFEITO!$N$461*EFEITO!$AA$461</f>
        <v>22879.817591923827</v>
      </c>
      <c r="M461" s="61">
        <f>$J$461-EFEITO!$K$461*EFEITO!$Y$461</f>
        <v>0</v>
      </c>
      <c r="N461" s="61">
        <f ca="1">$K$461-EFEITO!$M$461*EFEITO!$Z$461</f>
        <v>0</v>
      </c>
      <c r="O461" s="61">
        <f>$L$461-EFEITO!$O$461*EFEITO!$AA$461</f>
        <v>0</v>
      </c>
      <c r="P461" s="45"/>
      <c r="Q461" s="45"/>
      <c r="R461" s="45"/>
      <c r="S461" s="45"/>
      <c r="T461" s="45"/>
      <c r="U461" s="45"/>
      <c r="V461" s="45"/>
      <c r="W461" s="45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1.25" customHeight="1" x14ac:dyDescent="0.2">
      <c r="A462" s="41" t="s">
        <v>28</v>
      </c>
      <c r="B462" s="41" t="s">
        <v>33</v>
      </c>
      <c r="C462" s="41" t="s">
        <v>23</v>
      </c>
      <c r="D462" s="41" t="s">
        <v>40</v>
      </c>
      <c r="E462" s="41" t="s">
        <v>25</v>
      </c>
      <c r="F462" s="41" t="s">
        <v>25</v>
      </c>
      <c r="G462" s="41" t="s">
        <v>25</v>
      </c>
      <c r="H462" s="41" t="s">
        <v>25</v>
      </c>
      <c r="I462" s="60">
        <v>44440</v>
      </c>
      <c r="J462" s="61">
        <f>EFEITO!$J$462*EFEITO!$Y$462</f>
        <v>0</v>
      </c>
      <c r="K462" s="61">
        <f ca="1">EFEITO!$L$462*EFEITO!$Z$462</f>
        <v>7031.0516463360809</v>
      </c>
      <c r="L462" s="61">
        <f>EFEITO!$N$462*EFEITO!$AA$462</f>
        <v>2420.9408696358455</v>
      </c>
      <c r="M462" s="61">
        <f>$J$462-EFEITO!$K$462*EFEITO!$Y$462</f>
        <v>0</v>
      </c>
      <c r="N462" s="61">
        <f ca="1">$K$462-EFEITO!$M$462*EFEITO!$Z$462</f>
        <v>0</v>
      </c>
      <c r="O462" s="61">
        <f>$L$462-EFEITO!$O$462*EFEITO!$AA$462</f>
        <v>0</v>
      </c>
      <c r="P462" s="45"/>
      <c r="Q462" s="45"/>
      <c r="R462" s="45"/>
      <c r="S462" s="45"/>
      <c r="T462" s="45"/>
      <c r="U462" s="45"/>
      <c r="V462" s="45"/>
      <c r="W462" s="45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1.25" customHeight="1" x14ac:dyDescent="0.2">
      <c r="A463" s="41" t="s">
        <v>21</v>
      </c>
      <c r="B463" s="41" t="s">
        <v>33</v>
      </c>
      <c r="C463" s="41" t="s">
        <v>23</v>
      </c>
      <c r="D463" s="41" t="s">
        <v>40</v>
      </c>
      <c r="E463" s="41" t="s">
        <v>25</v>
      </c>
      <c r="F463" s="41" t="s">
        <v>25</v>
      </c>
      <c r="G463" s="41" t="s">
        <v>25</v>
      </c>
      <c r="H463" s="41" t="s">
        <v>25</v>
      </c>
      <c r="I463" s="60">
        <v>44470</v>
      </c>
      <c r="J463" s="61">
        <f>EFEITO!$J$463*EFEITO!$Y$463</f>
        <v>0</v>
      </c>
      <c r="K463" s="61">
        <f ca="1">EFEITO!$L$463*EFEITO!$Z$463</f>
        <v>68556.749764956738</v>
      </c>
      <c r="L463" s="61">
        <f>EFEITO!$N$463*EFEITO!$AA$463</f>
        <v>23605.549460281698</v>
      </c>
      <c r="M463" s="61">
        <f>$J$463-EFEITO!$K$463*EFEITO!$Y$463</f>
        <v>0</v>
      </c>
      <c r="N463" s="61">
        <f ca="1">$K$463-EFEITO!$M$463*EFEITO!$Z$463</f>
        <v>0</v>
      </c>
      <c r="O463" s="61">
        <f>$L$463-EFEITO!$O$463*EFEITO!$AA$463</f>
        <v>0</v>
      </c>
      <c r="P463" s="45"/>
      <c r="Q463" s="45"/>
      <c r="R463" s="45"/>
      <c r="S463" s="45"/>
      <c r="T463" s="45"/>
      <c r="U463" s="45"/>
      <c r="V463" s="45"/>
      <c r="W463" s="45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1.25" customHeight="1" x14ac:dyDescent="0.2">
      <c r="A464" s="41" t="s">
        <v>27</v>
      </c>
      <c r="B464" s="41" t="s">
        <v>33</v>
      </c>
      <c r="C464" s="41" t="s">
        <v>23</v>
      </c>
      <c r="D464" s="41" t="s">
        <v>40</v>
      </c>
      <c r="E464" s="41" t="s">
        <v>25</v>
      </c>
      <c r="F464" s="41" t="s">
        <v>25</v>
      </c>
      <c r="G464" s="41" t="s">
        <v>25</v>
      </c>
      <c r="H464" s="41" t="s">
        <v>25</v>
      </c>
      <c r="I464" s="60">
        <v>44470</v>
      </c>
      <c r="J464" s="61">
        <f>EFEITO!$J$464*EFEITO!$Y$464</f>
        <v>0</v>
      </c>
      <c r="K464" s="61">
        <f ca="1">EFEITO!$L$464*EFEITO!$Z$464</f>
        <v>-149.00166285268895</v>
      </c>
      <c r="L464" s="61">
        <f>EFEITO!$N$464*EFEITO!$AA$464</f>
        <v>-51.30444681511495</v>
      </c>
      <c r="M464" s="61">
        <f>$J$464-EFEITO!$K$464*EFEITO!$Y$464</f>
        <v>0</v>
      </c>
      <c r="N464" s="61">
        <f ca="1">$K$464-EFEITO!$M$464*EFEITO!$Z$464</f>
        <v>0</v>
      </c>
      <c r="O464" s="61">
        <f>$L$464-EFEITO!$O$464*EFEITO!$AA$464</f>
        <v>0</v>
      </c>
      <c r="P464" s="45"/>
      <c r="Q464" s="45"/>
      <c r="R464" s="45"/>
      <c r="S464" s="45"/>
      <c r="T464" s="45"/>
      <c r="U464" s="45"/>
      <c r="V464" s="45"/>
      <c r="W464" s="45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1.25" customHeight="1" x14ac:dyDescent="0.2">
      <c r="A465" s="41" t="s">
        <v>28</v>
      </c>
      <c r="B465" s="41" t="s">
        <v>33</v>
      </c>
      <c r="C465" s="41" t="s">
        <v>23</v>
      </c>
      <c r="D465" s="41" t="s">
        <v>40</v>
      </c>
      <c r="E465" s="41" t="s">
        <v>25</v>
      </c>
      <c r="F465" s="41" t="s">
        <v>25</v>
      </c>
      <c r="G465" s="41" t="s">
        <v>25</v>
      </c>
      <c r="H465" s="41" t="s">
        <v>25</v>
      </c>
      <c r="I465" s="60">
        <v>44470</v>
      </c>
      <c r="J465" s="61">
        <f>EFEITO!$J$465*EFEITO!$Y$465</f>
        <v>0</v>
      </c>
      <c r="K465" s="61">
        <f ca="1">EFEITO!$L$465*EFEITO!$Z$465</f>
        <v>4317.6228971451592</v>
      </c>
      <c r="L465" s="61">
        <f>EFEITO!$N$465*EFEITO!$AA$465</f>
        <v>1486.649545067871</v>
      </c>
      <c r="M465" s="61">
        <f>$J$465-EFEITO!$K$465*EFEITO!$Y$465</f>
        <v>0</v>
      </c>
      <c r="N465" s="61">
        <f ca="1">$K$465-EFEITO!$M$465*EFEITO!$Z$465</f>
        <v>0</v>
      </c>
      <c r="O465" s="61">
        <f>$L$465-EFEITO!$O$465*EFEITO!$AA$465</f>
        <v>0</v>
      </c>
      <c r="P465" s="45"/>
      <c r="Q465" s="45"/>
      <c r="R465" s="45"/>
      <c r="S465" s="45"/>
      <c r="T465" s="45"/>
      <c r="U465" s="45"/>
      <c r="V465" s="45"/>
      <c r="W465" s="45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1.25" customHeight="1" x14ac:dyDescent="0.2">
      <c r="A466" s="41" t="s">
        <v>28</v>
      </c>
      <c r="B466" s="41" t="s">
        <v>33</v>
      </c>
      <c r="C466" s="41" t="s">
        <v>23</v>
      </c>
      <c r="D466" s="41" t="s">
        <v>40</v>
      </c>
      <c r="E466" s="41" t="s">
        <v>25</v>
      </c>
      <c r="F466" s="41" t="s">
        <v>25</v>
      </c>
      <c r="G466" s="41" t="s">
        <v>25</v>
      </c>
      <c r="H466" s="41" t="s">
        <v>25</v>
      </c>
      <c r="I466" s="60">
        <v>44470</v>
      </c>
      <c r="J466" s="61">
        <f>EFEITO!$J$466*EFEITO!$Y$466</f>
        <v>0</v>
      </c>
      <c r="K466" s="61">
        <f ca="1">EFEITO!$L$466*EFEITO!$Z$466</f>
        <v>-1190.871527627238</v>
      </c>
      <c r="L466" s="61">
        <f>EFEITO!$N$466*EFEITO!$AA$466</f>
        <v>-410.04243699743205</v>
      </c>
      <c r="M466" s="61">
        <f>$J$466-EFEITO!$K$466*EFEITO!$Y$466</f>
        <v>0</v>
      </c>
      <c r="N466" s="61">
        <f ca="1">$K$466-EFEITO!$M$466*EFEITO!$Z$466</f>
        <v>0</v>
      </c>
      <c r="O466" s="61">
        <f>$L$466-EFEITO!$O$466*EFEITO!$AA$466</f>
        <v>0</v>
      </c>
      <c r="P466" s="45"/>
      <c r="Q466" s="45"/>
      <c r="R466" s="45"/>
      <c r="S466" s="45"/>
      <c r="T466" s="45"/>
      <c r="U466" s="45"/>
      <c r="V466" s="45"/>
      <c r="W466" s="45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1.25" customHeight="1" x14ac:dyDescent="0.2">
      <c r="A467" s="41" t="s">
        <v>21</v>
      </c>
      <c r="B467" s="41" t="s">
        <v>33</v>
      </c>
      <c r="C467" s="41" t="s">
        <v>23</v>
      </c>
      <c r="D467" s="41" t="s">
        <v>40</v>
      </c>
      <c r="E467" s="41" t="s">
        <v>25</v>
      </c>
      <c r="F467" s="41" t="s">
        <v>25</v>
      </c>
      <c r="G467" s="41" t="s">
        <v>25</v>
      </c>
      <c r="H467" s="41" t="s">
        <v>25</v>
      </c>
      <c r="I467" s="60">
        <v>44501</v>
      </c>
      <c r="J467" s="61">
        <f>EFEITO!$J$467*EFEITO!$Y$467</f>
        <v>0</v>
      </c>
      <c r="K467" s="61">
        <f ca="1">EFEITO!$L$467*EFEITO!$Z$467</f>
        <v>74913.583159074347</v>
      </c>
      <c r="L467" s="61">
        <f>EFEITO!$N$467*EFEITO!$AA$467</f>
        <v>25794.342622298194</v>
      </c>
      <c r="M467" s="61">
        <f>$J$467-EFEITO!$K$467*EFEITO!$Y$467</f>
        <v>0</v>
      </c>
      <c r="N467" s="61">
        <f ca="1">$K$467-EFEITO!$M$467*EFEITO!$Z$467</f>
        <v>0</v>
      </c>
      <c r="O467" s="61">
        <f>$L$467-EFEITO!$O$467*EFEITO!$AA$467</f>
        <v>0</v>
      </c>
      <c r="P467" s="45"/>
      <c r="Q467" s="45"/>
      <c r="R467" s="45"/>
      <c r="S467" s="45"/>
      <c r="T467" s="45"/>
      <c r="U467" s="45"/>
      <c r="V467" s="45"/>
      <c r="W467" s="45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1.25" customHeight="1" x14ac:dyDescent="0.2">
      <c r="A468" s="41" t="s">
        <v>28</v>
      </c>
      <c r="B468" s="41" t="s">
        <v>33</v>
      </c>
      <c r="C468" s="41" t="s">
        <v>23</v>
      </c>
      <c r="D468" s="41" t="s">
        <v>40</v>
      </c>
      <c r="E468" s="41" t="s">
        <v>25</v>
      </c>
      <c r="F468" s="41" t="s">
        <v>25</v>
      </c>
      <c r="G468" s="41" t="s">
        <v>25</v>
      </c>
      <c r="H468" s="41" t="s">
        <v>25</v>
      </c>
      <c r="I468" s="60">
        <v>44501</v>
      </c>
      <c r="J468" s="61">
        <f>EFEITO!$J$468*EFEITO!$Y$468</f>
        <v>0</v>
      </c>
      <c r="K468" s="61">
        <f ca="1">EFEITO!$L$468*EFEITO!$Z$468</f>
        <v>1451.196271921591</v>
      </c>
      <c r="L468" s="61">
        <f>EFEITO!$N$468*EFEITO!$AA$468</f>
        <v>499.67779235257541</v>
      </c>
      <c r="M468" s="61">
        <f>$J$468-EFEITO!$K$468*EFEITO!$Y$468</f>
        <v>0</v>
      </c>
      <c r="N468" s="61">
        <f ca="1">$K$468-EFEITO!$M$468*EFEITO!$Z$468</f>
        <v>0</v>
      </c>
      <c r="O468" s="61">
        <f>$L$468-EFEITO!$O$468*EFEITO!$AA$468</f>
        <v>0</v>
      </c>
      <c r="P468" s="45"/>
      <c r="Q468" s="45"/>
      <c r="R468" s="45"/>
      <c r="S468" s="45"/>
      <c r="T468" s="45"/>
      <c r="U468" s="45"/>
      <c r="V468" s="45"/>
      <c r="W468" s="45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1.25" customHeight="1" x14ac:dyDescent="0.2">
      <c r="A469" s="41" t="s">
        <v>21</v>
      </c>
      <c r="B469" s="41" t="s">
        <v>33</v>
      </c>
      <c r="C469" s="41" t="s">
        <v>23</v>
      </c>
      <c r="D469" s="41" t="s">
        <v>40</v>
      </c>
      <c r="E469" s="41" t="s">
        <v>25</v>
      </c>
      <c r="F469" s="41" t="s">
        <v>25</v>
      </c>
      <c r="G469" s="41" t="s">
        <v>25</v>
      </c>
      <c r="H469" s="41" t="s">
        <v>25</v>
      </c>
      <c r="I469" s="60">
        <v>44531</v>
      </c>
      <c r="J469" s="61">
        <f>EFEITO!$J$469*EFEITO!$Y$469</f>
        <v>0</v>
      </c>
      <c r="K469" s="61">
        <f ca="1">EFEITO!$L$469*EFEITO!$Z$469</f>
        <v>96813.402272836785</v>
      </c>
      <c r="L469" s="61">
        <f>EFEITO!$N$469*EFEITO!$AA$469</f>
        <v>33334.916891549627</v>
      </c>
      <c r="M469" s="61">
        <f>$J$469-EFEITO!$K$469*EFEITO!$Y$469</f>
        <v>0</v>
      </c>
      <c r="N469" s="61">
        <f ca="1">$K$469-EFEITO!$M$469*EFEITO!$Z$469</f>
        <v>0</v>
      </c>
      <c r="O469" s="61">
        <f>$L$469-EFEITO!$O$469*EFEITO!$AA$469</f>
        <v>0</v>
      </c>
      <c r="P469" s="45"/>
      <c r="Q469" s="45"/>
      <c r="R469" s="45"/>
      <c r="S469" s="45"/>
      <c r="T469" s="45"/>
      <c r="U469" s="45"/>
      <c r="V469" s="45"/>
      <c r="W469" s="45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1.25" customHeight="1" x14ac:dyDescent="0.2">
      <c r="A470" s="41" t="s">
        <v>27</v>
      </c>
      <c r="B470" s="41" t="s">
        <v>33</v>
      </c>
      <c r="C470" s="41" t="s">
        <v>23</v>
      </c>
      <c r="D470" s="41" t="s">
        <v>40</v>
      </c>
      <c r="E470" s="41" t="s">
        <v>25</v>
      </c>
      <c r="F470" s="41" t="s">
        <v>25</v>
      </c>
      <c r="G470" s="41" t="s">
        <v>25</v>
      </c>
      <c r="H470" s="41" t="s">
        <v>25</v>
      </c>
      <c r="I470" s="60">
        <v>44531</v>
      </c>
      <c r="J470" s="61">
        <f>EFEITO!$J$470*EFEITO!$Y$470</f>
        <v>0</v>
      </c>
      <c r="K470" s="61">
        <f ca="1">EFEITO!$L$470*EFEITO!$Z$470</f>
        <v>-238.63101560315701</v>
      </c>
      <c r="L470" s="61">
        <f>EFEITO!$N$470*EFEITO!$AA$470</f>
        <v>-82.1657424088814</v>
      </c>
      <c r="M470" s="61">
        <f>$J$470-EFEITO!$K$470*EFEITO!$Y$470</f>
        <v>0</v>
      </c>
      <c r="N470" s="61">
        <f ca="1">$K$470-EFEITO!$M$470*EFEITO!$Z$470</f>
        <v>0</v>
      </c>
      <c r="O470" s="61">
        <f>$L$470-EFEITO!$O$470*EFEITO!$AA$470</f>
        <v>0</v>
      </c>
      <c r="P470" s="45"/>
      <c r="Q470" s="45"/>
      <c r="R470" s="45"/>
      <c r="S470" s="45"/>
      <c r="T470" s="45"/>
      <c r="U470" s="45"/>
      <c r="V470" s="45"/>
      <c r="W470" s="45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1.25" customHeight="1" x14ac:dyDescent="0.2">
      <c r="A471" s="41" t="s">
        <v>28</v>
      </c>
      <c r="B471" s="41" t="s">
        <v>33</v>
      </c>
      <c r="C471" s="41" t="s">
        <v>23</v>
      </c>
      <c r="D471" s="41" t="s">
        <v>40</v>
      </c>
      <c r="E471" s="41" t="s">
        <v>25</v>
      </c>
      <c r="F471" s="41" t="s">
        <v>25</v>
      </c>
      <c r="G471" s="41" t="s">
        <v>25</v>
      </c>
      <c r="H471" s="41" t="s">
        <v>25</v>
      </c>
      <c r="I471" s="60">
        <v>44531</v>
      </c>
      <c r="J471" s="61">
        <f>EFEITO!$J$471*EFEITO!$Y$471</f>
        <v>0</v>
      </c>
      <c r="K471" s="61">
        <f ca="1">EFEITO!$L$471*EFEITO!$Z$471</f>
        <v>2279.554175367</v>
      </c>
      <c r="L471" s="61">
        <f>EFEITO!$N$471*EFEITO!$AA$471</f>
        <v>784.89906564273554</v>
      </c>
      <c r="M471" s="61">
        <f>$J$471-EFEITO!$K$471*EFEITO!$Y$471</f>
        <v>0</v>
      </c>
      <c r="N471" s="61">
        <f ca="1">$K$471-EFEITO!$M$471*EFEITO!$Z$471</f>
        <v>0</v>
      </c>
      <c r="O471" s="61">
        <f>$L$471-EFEITO!$O$471*EFEITO!$AA$471</f>
        <v>0</v>
      </c>
      <c r="P471" s="45"/>
      <c r="Q471" s="45"/>
      <c r="R471" s="45"/>
      <c r="S471" s="45"/>
      <c r="T471" s="45"/>
      <c r="U471" s="45"/>
      <c r="V471" s="45"/>
      <c r="W471" s="45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1.25" customHeight="1" x14ac:dyDescent="0.2">
      <c r="A472" s="41" t="s">
        <v>21</v>
      </c>
      <c r="B472" s="41" t="s">
        <v>33</v>
      </c>
      <c r="C472" s="41" t="s">
        <v>23</v>
      </c>
      <c r="D472" s="41" t="s">
        <v>40</v>
      </c>
      <c r="E472" s="41" t="s">
        <v>25</v>
      </c>
      <c r="F472" s="41" t="s">
        <v>25</v>
      </c>
      <c r="G472" s="41" t="s">
        <v>25</v>
      </c>
      <c r="H472" s="41" t="s">
        <v>25</v>
      </c>
      <c r="I472" s="60">
        <v>44562</v>
      </c>
      <c r="J472" s="61">
        <f>EFEITO!$J$472*EFEITO!$Y$472</f>
        <v>0</v>
      </c>
      <c r="K472" s="61">
        <f ca="1">EFEITO!$L$472*EFEITO!$Z$472</f>
        <v>93157.438100773114</v>
      </c>
      <c r="L472" s="61">
        <f>EFEITO!$N$472*EFEITO!$AA$472</f>
        <v>32076.090541342746</v>
      </c>
      <c r="M472" s="61">
        <f>$J$472-EFEITO!$K$472*EFEITO!$Y$472</f>
        <v>0</v>
      </c>
      <c r="N472" s="61">
        <f ca="1">$K$472-EFEITO!$M$472*EFEITO!$Z$472</f>
        <v>0</v>
      </c>
      <c r="O472" s="61">
        <f>$L$472-EFEITO!$O$472*EFEITO!$AA$472</f>
        <v>0</v>
      </c>
      <c r="P472" s="45"/>
      <c r="Q472" s="45"/>
      <c r="R472" s="45"/>
      <c r="S472" s="45"/>
      <c r="T472" s="45"/>
      <c r="U472" s="45"/>
      <c r="V472" s="45"/>
      <c r="W472" s="45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1.25" customHeight="1" x14ac:dyDescent="0.2">
      <c r="A473" s="41" t="s">
        <v>27</v>
      </c>
      <c r="B473" s="41" t="s">
        <v>33</v>
      </c>
      <c r="C473" s="41" t="s">
        <v>23</v>
      </c>
      <c r="D473" s="41" t="s">
        <v>40</v>
      </c>
      <c r="E473" s="41" t="s">
        <v>25</v>
      </c>
      <c r="F473" s="41" t="s">
        <v>25</v>
      </c>
      <c r="G473" s="41" t="s">
        <v>25</v>
      </c>
      <c r="H473" s="41" t="s">
        <v>25</v>
      </c>
      <c r="I473" s="60">
        <v>44562</v>
      </c>
      <c r="J473" s="61">
        <f>EFEITO!$J$473*EFEITO!$Y$473</f>
        <v>0</v>
      </c>
      <c r="K473" s="61">
        <f ca="1">EFEITO!$L$473*EFEITO!$Z$473</f>
        <v>971.65069032673023</v>
      </c>
      <c r="L473" s="61">
        <f>EFEITO!$N$473*EFEITO!$AA$473</f>
        <v>334.5600324878377</v>
      </c>
      <c r="M473" s="61">
        <f>$J$473-EFEITO!$K$473*EFEITO!$Y$473</f>
        <v>0</v>
      </c>
      <c r="N473" s="61">
        <f ca="1">$K$473-EFEITO!$M$473*EFEITO!$Z$473</f>
        <v>0</v>
      </c>
      <c r="O473" s="61">
        <f>$L$473-EFEITO!$O$473*EFEITO!$AA$473</f>
        <v>0</v>
      </c>
      <c r="P473" s="45"/>
      <c r="Q473" s="45"/>
      <c r="R473" s="45"/>
      <c r="S473" s="45"/>
      <c r="T473" s="45"/>
      <c r="U473" s="45"/>
      <c r="V473" s="45"/>
      <c r="W473" s="45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1.25" customHeight="1" x14ac:dyDescent="0.2">
      <c r="A474" s="41" t="s">
        <v>28</v>
      </c>
      <c r="B474" s="41" t="s">
        <v>33</v>
      </c>
      <c r="C474" s="41" t="s">
        <v>23</v>
      </c>
      <c r="D474" s="41" t="s">
        <v>40</v>
      </c>
      <c r="E474" s="41" t="s">
        <v>25</v>
      </c>
      <c r="F474" s="41" t="s">
        <v>25</v>
      </c>
      <c r="G474" s="41" t="s">
        <v>25</v>
      </c>
      <c r="H474" s="41" t="s">
        <v>25</v>
      </c>
      <c r="I474" s="60">
        <v>44562</v>
      </c>
      <c r="J474" s="61">
        <f>EFEITO!$J$474*EFEITO!$Y$474</f>
        <v>0</v>
      </c>
      <c r="K474" s="61">
        <f ca="1">EFEITO!$L$474*EFEITO!$Z$474</f>
        <v>4456.9194708465238</v>
      </c>
      <c r="L474" s="61">
        <f>EFEITO!$N$474*EFEITO!$AA$474</f>
        <v>1534.6123229333425</v>
      </c>
      <c r="M474" s="61">
        <f>$J$474-EFEITO!$K$474*EFEITO!$Y$474</f>
        <v>0</v>
      </c>
      <c r="N474" s="61">
        <f ca="1">$K$474-EFEITO!$M$474*EFEITO!$Z$474</f>
        <v>0</v>
      </c>
      <c r="O474" s="61">
        <f>$L$474-EFEITO!$O$474*EFEITO!$AA$474</f>
        <v>0</v>
      </c>
      <c r="P474" s="45"/>
      <c r="Q474" s="45"/>
      <c r="R474" s="45"/>
      <c r="S474" s="45"/>
      <c r="T474" s="45"/>
      <c r="U474" s="45"/>
      <c r="V474" s="45"/>
      <c r="W474" s="45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1.25" customHeight="1" x14ac:dyDescent="0.2">
      <c r="A475" s="41" t="s">
        <v>21</v>
      </c>
      <c r="B475" s="41" t="s">
        <v>33</v>
      </c>
      <c r="C475" s="41" t="s">
        <v>23</v>
      </c>
      <c r="D475" s="41" t="s">
        <v>40</v>
      </c>
      <c r="E475" s="41" t="s">
        <v>25</v>
      </c>
      <c r="F475" s="41" t="s">
        <v>25</v>
      </c>
      <c r="G475" s="41" t="s">
        <v>25</v>
      </c>
      <c r="H475" s="41" t="s">
        <v>25</v>
      </c>
      <c r="I475" s="60">
        <v>44593</v>
      </c>
      <c r="J475" s="61">
        <f>EFEITO!$J$475*EFEITO!$Y$475</f>
        <v>0</v>
      </c>
      <c r="K475" s="61">
        <f ca="1">EFEITO!$L$475*EFEITO!$Z$475</f>
        <v>76336.235051139098</v>
      </c>
      <c r="L475" s="61">
        <f>EFEITO!$N$475*EFEITO!$AA$475</f>
        <v>26284.191976563583</v>
      </c>
      <c r="M475" s="61">
        <f>$J$475-EFEITO!$K$475*EFEITO!$Y$475</f>
        <v>0</v>
      </c>
      <c r="N475" s="61">
        <f ca="1">$K$475-EFEITO!$M$475*EFEITO!$Z$475</f>
        <v>0</v>
      </c>
      <c r="O475" s="61">
        <f>$L$475-EFEITO!$O$475*EFEITO!$AA$475</f>
        <v>0</v>
      </c>
      <c r="P475" s="45"/>
      <c r="Q475" s="45"/>
      <c r="R475" s="45"/>
      <c r="S475" s="45"/>
      <c r="T475" s="45"/>
      <c r="U475" s="45"/>
      <c r="V475" s="45"/>
      <c r="W475" s="45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1.25" customHeight="1" x14ac:dyDescent="0.2">
      <c r="A476" s="41" t="s">
        <v>28</v>
      </c>
      <c r="B476" s="41" t="s">
        <v>33</v>
      </c>
      <c r="C476" s="41" t="s">
        <v>23</v>
      </c>
      <c r="D476" s="41" t="s">
        <v>40</v>
      </c>
      <c r="E476" s="41" t="s">
        <v>25</v>
      </c>
      <c r="F476" s="41" t="s">
        <v>25</v>
      </c>
      <c r="G476" s="41" t="s">
        <v>25</v>
      </c>
      <c r="H476" s="41" t="s">
        <v>25</v>
      </c>
      <c r="I476" s="60">
        <v>44593</v>
      </c>
      <c r="J476" s="61">
        <f>EFEITO!$J$476*EFEITO!$Y$476</f>
        <v>0</v>
      </c>
      <c r="K476" s="61">
        <f ca="1">EFEITO!$L$476*EFEITO!$Z$476</f>
        <v>4085.8425327076429</v>
      </c>
      <c r="L476" s="61">
        <f>EFEITO!$N$476*EFEITO!$AA$476</f>
        <v>1406.8426277999145</v>
      </c>
      <c r="M476" s="61">
        <f>$J$476-EFEITO!$K$476*EFEITO!$Y$476</f>
        <v>0</v>
      </c>
      <c r="N476" s="61">
        <f ca="1">$K$476-EFEITO!$M$476*EFEITO!$Z$476</f>
        <v>0</v>
      </c>
      <c r="O476" s="61">
        <f>$L$476-EFEITO!$O$476*EFEITO!$AA$476</f>
        <v>0</v>
      </c>
      <c r="P476" s="45"/>
      <c r="Q476" s="45"/>
      <c r="R476" s="45"/>
      <c r="S476" s="45"/>
      <c r="T476" s="45"/>
      <c r="U476" s="45"/>
      <c r="V476" s="45"/>
      <c r="W476" s="45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1.25" customHeight="1" x14ac:dyDescent="0.2">
      <c r="A477" s="41" t="s">
        <v>21</v>
      </c>
      <c r="B477" s="41" t="s">
        <v>33</v>
      </c>
      <c r="C477" s="41" t="s">
        <v>23</v>
      </c>
      <c r="D477" s="41" t="s">
        <v>40</v>
      </c>
      <c r="E477" s="41" t="s">
        <v>25</v>
      </c>
      <c r="F477" s="41" t="s">
        <v>25</v>
      </c>
      <c r="G477" s="41" t="s">
        <v>25</v>
      </c>
      <c r="H477" s="41" t="s">
        <v>25</v>
      </c>
      <c r="I477" s="60">
        <v>44621</v>
      </c>
      <c r="J477" s="61">
        <f>EFEITO!$J$477*EFEITO!$Y$477</f>
        <v>0</v>
      </c>
      <c r="K477" s="61">
        <f ca="1">EFEITO!$L$477*EFEITO!$Z$477</f>
        <v>68839.91001313657</v>
      </c>
      <c r="L477" s="61">
        <f>EFEITO!$N$477*EFEITO!$AA$477</f>
        <v>23703.047566106594</v>
      </c>
      <c r="M477" s="61">
        <f>$J$477-EFEITO!$K$477*EFEITO!$Y$477</f>
        <v>0</v>
      </c>
      <c r="N477" s="61">
        <f ca="1">$K$477-EFEITO!$M$477*EFEITO!$Z$477</f>
        <v>0</v>
      </c>
      <c r="O477" s="61">
        <f>$L$477-EFEITO!$O$477*EFEITO!$AA$477</f>
        <v>0</v>
      </c>
      <c r="P477" s="45"/>
      <c r="Q477" s="45"/>
      <c r="R477" s="45"/>
      <c r="S477" s="45"/>
      <c r="T477" s="45"/>
      <c r="U477" s="45"/>
      <c r="V477" s="45"/>
      <c r="W477" s="45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1.25" customHeight="1" x14ac:dyDescent="0.2">
      <c r="A478" s="41" t="s">
        <v>28</v>
      </c>
      <c r="B478" s="41" t="s">
        <v>33</v>
      </c>
      <c r="C478" s="41" t="s">
        <v>23</v>
      </c>
      <c r="D478" s="41" t="s">
        <v>40</v>
      </c>
      <c r="E478" s="41" t="s">
        <v>25</v>
      </c>
      <c r="F478" s="41" t="s">
        <v>25</v>
      </c>
      <c r="G478" s="41" t="s">
        <v>25</v>
      </c>
      <c r="H478" s="41" t="s">
        <v>25</v>
      </c>
      <c r="I478" s="60">
        <v>44621</v>
      </c>
      <c r="J478" s="61">
        <f>EFEITO!$J$478*EFEITO!$Y$478</f>
        <v>0</v>
      </c>
      <c r="K478" s="61">
        <f ca="1">EFEITO!$L$478*EFEITO!$Z$478</f>
        <v>3141.5944470434761</v>
      </c>
      <c r="L478" s="61">
        <f>EFEITO!$N$478*EFEITO!$AA$478</f>
        <v>1081.7178958757761</v>
      </c>
      <c r="M478" s="61">
        <f>$J$478-EFEITO!$K$478*EFEITO!$Y$478</f>
        <v>0</v>
      </c>
      <c r="N478" s="61">
        <f ca="1">$K$478-EFEITO!$M$478*EFEITO!$Z$478</f>
        <v>0</v>
      </c>
      <c r="O478" s="61">
        <f>$L$478-EFEITO!$O$478*EFEITO!$AA$478</f>
        <v>0</v>
      </c>
      <c r="P478" s="45"/>
      <c r="Q478" s="45"/>
      <c r="R478" s="45"/>
      <c r="S478" s="45"/>
      <c r="T478" s="45"/>
      <c r="U478" s="45"/>
      <c r="V478" s="45"/>
      <c r="W478" s="45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1.25" customHeight="1" x14ac:dyDescent="0.2">
      <c r="A479" s="41" t="s">
        <v>21</v>
      </c>
      <c r="B479" s="41" t="s">
        <v>33</v>
      </c>
      <c r="C479" s="41" t="s">
        <v>23</v>
      </c>
      <c r="D479" s="41" t="s">
        <v>40</v>
      </c>
      <c r="E479" s="41" t="s">
        <v>25</v>
      </c>
      <c r="F479" s="41" t="s">
        <v>25</v>
      </c>
      <c r="G479" s="41" t="s">
        <v>25</v>
      </c>
      <c r="H479" s="41" t="s">
        <v>25</v>
      </c>
      <c r="I479" s="60">
        <v>44652</v>
      </c>
      <c r="J479" s="61">
        <f>EFEITO!$J$479*EFEITO!$Y$479</f>
        <v>0</v>
      </c>
      <c r="K479" s="61">
        <f ca="1">EFEITO!$L$479*EFEITO!$Z$479</f>
        <v>71541.350122787611</v>
      </c>
      <c r="L479" s="61">
        <f>EFEITO!$N$479*EFEITO!$AA$479</f>
        <v>24633.210946677948</v>
      </c>
      <c r="M479" s="61">
        <f>$J$479-EFEITO!$K$479*EFEITO!$Y$479</f>
        <v>0</v>
      </c>
      <c r="N479" s="61">
        <f ca="1">$K$479-EFEITO!$M$479*EFEITO!$Z$479</f>
        <v>0</v>
      </c>
      <c r="O479" s="61">
        <f>$L$479-EFEITO!$O$479*EFEITO!$AA$479</f>
        <v>0</v>
      </c>
      <c r="P479" s="45"/>
      <c r="Q479" s="45"/>
      <c r="R479" s="45"/>
      <c r="S479" s="45"/>
      <c r="T479" s="45"/>
      <c r="U479" s="45"/>
      <c r="V479" s="45"/>
      <c r="W479" s="45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1.25" customHeight="1" x14ac:dyDescent="0.2">
      <c r="A480" s="41" t="s">
        <v>28</v>
      </c>
      <c r="B480" s="41" t="s">
        <v>33</v>
      </c>
      <c r="C480" s="41" t="s">
        <v>23</v>
      </c>
      <c r="D480" s="41" t="s">
        <v>40</v>
      </c>
      <c r="E480" s="41" t="s">
        <v>25</v>
      </c>
      <c r="F480" s="41" t="s">
        <v>25</v>
      </c>
      <c r="G480" s="41" t="s">
        <v>25</v>
      </c>
      <c r="H480" s="41" t="s">
        <v>25</v>
      </c>
      <c r="I480" s="60">
        <v>44652</v>
      </c>
      <c r="J480" s="61">
        <f>EFEITO!$J$480*EFEITO!$Y$480</f>
        <v>0</v>
      </c>
      <c r="K480" s="61">
        <f ca="1">EFEITO!$L$480*EFEITO!$Z$480</f>
        <v>4495.168939854685</v>
      </c>
      <c r="L480" s="61">
        <f>EFEITO!$N$480*EFEITO!$AA$480</f>
        <v>1547.7824299701726</v>
      </c>
      <c r="M480" s="61">
        <f>$J$480-EFEITO!$K$480*EFEITO!$Y$480</f>
        <v>0</v>
      </c>
      <c r="N480" s="61">
        <f ca="1">$K$480-EFEITO!$M$480*EFEITO!$Z$480</f>
        <v>0</v>
      </c>
      <c r="O480" s="61">
        <f>$L$480-EFEITO!$O$480*EFEITO!$AA$480</f>
        <v>0</v>
      </c>
      <c r="P480" s="45"/>
      <c r="Q480" s="45"/>
      <c r="R480" s="45"/>
      <c r="S480" s="45"/>
      <c r="T480" s="45"/>
      <c r="U480" s="45"/>
      <c r="V480" s="45"/>
      <c r="W480" s="45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1.25" customHeight="1" x14ac:dyDescent="0.2">
      <c r="A481" s="41" t="s">
        <v>21</v>
      </c>
      <c r="B481" s="41" t="s">
        <v>33</v>
      </c>
      <c r="C481" s="41" t="s">
        <v>23</v>
      </c>
      <c r="D481" s="41" t="s">
        <v>40</v>
      </c>
      <c r="E481" s="41" t="s">
        <v>25</v>
      </c>
      <c r="F481" s="41" t="s">
        <v>25</v>
      </c>
      <c r="G481" s="41" t="s">
        <v>25</v>
      </c>
      <c r="H481" s="41" t="s">
        <v>25</v>
      </c>
      <c r="I481" s="60">
        <v>44682</v>
      </c>
      <c r="J481" s="61">
        <f>EFEITO!$J$481*EFEITO!$Y$481</f>
        <v>0</v>
      </c>
      <c r="K481" s="61">
        <f ca="1">EFEITO!$L$481*EFEITO!$Z$481</f>
        <v>74485.988348818908</v>
      </c>
      <c r="L481" s="61">
        <f>EFEITO!$N$481*EFEITO!$AA$481</f>
        <v>25647.112619752133</v>
      </c>
      <c r="M481" s="61">
        <f>$J$481-EFEITO!$K$481*EFEITO!$Y$481</f>
        <v>0</v>
      </c>
      <c r="N481" s="61">
        <f ca="1">$K$481-EFEITO!$M$481*EFEITO!$Z$481</f>
        <v>0</v>
      </c>
      <c r="O481" s="61">
        <f>$L$481-EFEITO!$O$481*EFEITO!$AA$481</f>
        <v>0</v>
      </c>
      <c r="P481" s="45"/>
      <c r="Q481" s="45"/>
      <c r="R481" s="45"/>
      <c r="S481" s="45"/>
      <c r="T481" s="45"/>
      <c r="U481" s="45"/>
      <c r="V481" s="45"/>
      <c r="W481" s="45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1.25" customHeight="1" x14ac:dyDescent="0.2">
      <c r="A482" s="41" t="s">
        <v>28</v>
      </c>
      <c r="B482" s="41" t="s">
        <v>33</v>
      </c>
      <c r="C482" s="41" t="s">
        <v>23</v>
      </c>
      <c r="D482" s="41" t="s">
        <v>40</v>
      </c>
      <c r="E482" s="41" t="s">
        <v>25</v>
      </c>
      <c r="F482" s="41" t="s">
        <v>25</v>
      </c>
      <c r="G482" s="41" t="s">
        <v>25</v>
      </c>
      <c r="H482" s="41" t="s">
        <v>25</v>
      </c>
      <c r="I482" s="60">
        <v>44682</v>
      </c>
      <c r="J482" s="61">
        <f>EFEITO!$J$482*EFEITO!$Y$482</f>
        <v>0</v>
      </c>
      <c r="K482" s="61">
        <f ca="1">EFEITO!$L$482*EFEITO!$Z$482</f>
        <v>6061.1136188007613</v>
      </c>
      <c r="L482" s="61">
        <f>EFEITO!$N$482*EFEITO!$AA$482</f>
        <v>2086.9705434332391</v>
      </c>
      <c r="M482" s="61">
        <f>$J$482-EFEITO!$K$482*EFEITO!$Y$482</f>
        <v>0</v>
      </c>
      <c r="N482" s="61">
        <f ca="1">$K$482-EFEITO!$M$482*EFEITO!$Z$482</f>
        <v>0</v>
      </c>
      <c r="O482" s="61">
        <f>$L$482-EFEITO!$O$482*EFEITO!$AA$482</f>
        <v>0</v>
      </c>
      <c r="P482" s="45"/>
      <c r="Q482" s="45"/>
      <c r="R482" s="45"/>
      <c r="S482" s="45"/>
      <c r="T482" s="45"/>
      <c r="U482" s="45"/>
      <c r="V482" s="45"/>
      <c r="W482" s="45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1.25" customHeight="1" x14ac:dyDescent="0.2">
      <c r="A483" s="41" t="s">
        <v>21</v>
      </c>
      <c r="B483" s="41" t="s">
        <v>33</v>
      </c>
      <c r="C483" s="41" t="s">
        <v>23</v>
      </c>
      <c r="D483" s="41" t="s">
        <v>40</v>
      </c>
      <c r="E483" s="41" t="s">
        <v>25</v>
      </c>
      <c r="F483" s="41" t="s">
        <v>25</v>
      </c>
      <c r="G483" s="41" t="s">
        <v>25</v>
      </c>
      <c r="H483" s="41" t="s">
        <v>25</v>
      </c>
      <c r="I483" s="60">
        <v>44713</v>
      </c>
      <c r="J483" s="61">
        <f>EFEITO!$J$483*EFEITO!$Y$483</f>
        <v>0</v>
      </c>
      <c r="K483" s="61">
        <f ca="1">EFEITO!$L$483*EFEITO!$Z$483</f>
        <v>74535.65556976982</v>
      </c>
      <c r="L483" s="61">
        <f>EFEITO!$N$483*EFEITO!$AA$483</f>
        <v>25664.214102023841</v>
      </c>
      <c r="M483" s="61">
        <f>$J$483-EFEITO!$K$483*EFEITO!$Y$483</f>
        <v>0</v>
      </c>
      <c r="N483" s="61">
        <f ca="1">$K$483-EFEITO!$M$483*EFEITO!$Z$483</f>
        <v>0</v>
      </c>
      <c r="O483" s="61">
        <f>$L$483-EFEITO!$O$483*EFEITO!$AA$483</f>
        <v>0</v>
      </c>
      <c r="P483" s="45"/>
      <c r="Q483" s="45"/>
      <c r="R483" s="45"/>
      <c r="S483" s="45"/>
      <c r="T483" s="45"/>
      <c r="U483" s="45"/>
      <c r="V483" s="45"/>
      <c r="W483" s="45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 ht="11.25" customHeight="1" x14ac:dyDescent="0.2">
      <c r="A484" s="41" t="s">
        <v>28</v>
      </c>
      <c r="B484" s="41" t="s">
        <v>33</v>
      </c>
      <c r="C484" s="41" t="s">
        <v>23</v>
      </c>
      <c r="D484" s="41" t="s">
        <v>40</v>
      </c>
      <c r="E484" s="41" t="s">
        <v>25</v>
      </c>
      <c r="F484" s="41" t="s">
        <v>25</v>
      </c>
      <c r="G484" s="41" t="s">
        <v>25</v>
      </c>
      <c r="H484" s="41" t="s">
        <v>25</v>
      </c>
      <c r="I484" s="60">
        <v>44713</v>
      </c>
      <c r="J484" s="61">
        <f>EFEITO!$J$484*EFEITO!$Y$484</f>
        <v>0</v>
      </c>
      <c r="K484" s="61">
        <f ca="1">EFEITO!$L$484*EFEITO!$Z$484</f>
        <v>16854.314530267951</v>
      </c>
      <c r="L484" s="61">
        <f>EFEITO!$N$484*EFEITO!$AA$484</f>
        <v>5803.2995529603004</v>
      </c>
      <c r="M484" s="61">
        <f>$J$484-EFEITO!$K$484*EFEITO!$Y$484</f>
        <v>0</v>
      </c>
      <c r="N484" s="61">
        <f ca="1">$K$484-EFEITO!$M$484*EFEITO!$Z$484</f>
        <v>0</v>
      </c>
      <c r="O484" s="61">
        <f>$L$484-EFEITO!$O$484*EFEITO!$AA$484</f>
        <v>0</v>
      </c>
      <c r="P484" s="45"/>
      <c r="Q484" s="45"/>
      <c r="R484" s="45"/>
      <c r="S484" s="45"/>
      <c r="T484" s="45"/>
      <c r="U484" s="45"/>
      <c r="V484" s="45"/>
      <c r="W484" s="45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 ht="11.25" customHeight="1" x14ac:dyDescent="0.2">
      <c r="A485" s="41" t="s">
        <v>21</v>
      </c>
      <c r="B485" s="41" t="s">
        <v>33</v>
      </c>
      <c r="C485" s="41" t="s">
        <v>23</v>
      </c>
      <c r="D485" s="41" t="s">
        <v>34</v>
      </c>
      <c r="E485" s="41" t="s">
        <v>25</v>
      </c>
      <c r="F485" s="41" t="s">
        <v>25</v>
      </c>
      <c r="G485" s="41" t="s">
        <v>25</v>
      </c>
      <c r="H485" s="41" t="s">
        <v>25</v>
      </c>
      <c r="I485" s="60">
        <v>44378</v>
      </c>
      <c r="J485" s="61">
        <f>EFEITO!$J$485*EFEITO!$Y$485</f>
        <v>0</v>
      </c>
      <c r="K485" s="61">
        <f ca="1">EFEITO!$L$485*EFEITO!$Z$485</f>
        <v>23144.924963117683</v>
      </c>
      <c r="L485" s="61">
        <f>EFEITO!$N$485*EFEITO!$AA$485</f>
        <v>7969.2907386145216</v>
      </c>
      <c r="M485" s="61">
        <f>$J$485-EFEITO!$K$485*EFEITO!$Y$485</f>
        <v>0</v>
      </c>
      <c r="N485" s="61">
        <f ca="1">$K$485-EFEITO!$M$485*EFEITO!$Z$485</f>
        <v>0</v>
      </c>
      <c r="O485" s="61">
        <f>$L$485-EFEITO!$O$485*EFEITO!$AA$485</f>
        <v>0</v>
      </c>
      <c r="P485" s="45"/>
      <c r="Q485" s="45"/>
      <c r="R485" s="45"/>
      <c r="S485" s="45"/>
      <c r="T485" s="45"/>
      <c r="U485" s="45"/>
      <c r="V485" s="45"/>
      <c r="W485" s="45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 ht="11.25" customHeight="1" x14ac:dyDescent="0.2">
      <c r="A486" s="41" t="s">
        <v>28</v>
      </c>
      <c r="B486" s="41" t="s">
        <v>33</v>
      </c>
      <c r="C486" s="41" t="s">
        <v>23</v>
      </c>
      <c r="D486" s="41" t="s">
        <v>34</v>
      </c>
      <c r="E486" s="41" t="s">
        <v>25</v>
      </c>
      <c r="F486" s="41" t="s">
        <v>25</v>
      </c>
      <c r="G486" s="41" t="s">
        <v>25</v>
      </c>
      <c r="H486" s="41" t="s">
        <v>25</v>
      </c>
      <c r="I486" s="60">
        <v>44378</v>
      </c>
      <c r="J486" s="61">
        <f>EFEITO!$J$486*EFEITO!$Y$486</f>
        <v>0</v>
      </c>
      <c r="K486" s="61">
        <f ca="1">EFEITO!$L$486*EFEITO!$Z$486</f>
        <v>5263.5836456007364</v>
      </c>
      <c r="L486" s="61">
        <f>EFEITO!$N$486*EFEITO!$AA$486</f>
        <v>1812.3639832772408</v>
      </c>
      <c r="M486" s="61">
        <f>$J$486-EFEITO!$K$486*EFEITO!$Y$486</f>
        <v>0</v>
      </c>
      <c r="N486" s="61">
        <f ca="1">$K$486-EFEITO!$M$486*EFEITO!$Z$486</f>
        <v>0</v>
      </c>
      <c r="O486" s="61">
        <f>$L$486-EFEITO!$O$486*EFEITO!$AA$486</f>
        <v>0</v>
      </c>
      <c r="P486" s="45"/>
      <c r="Q486" s="45"/>
      <c r="R486" s="45"/>
      <c r="S486" s="45"/>
      <c r="T486" s="45"/>
      <c r="U486" s="45"/>
      <c r="V486" s="45"/>
      <c r="W486" s="45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ht="11.25" customHeight="1" x14ac:dyDescent="0.2">
      <c r="A487" s="41" t="s">
        <v>21</v>
      </c>
      <c r="B487" s="41" t="s">
        <v>33</v>
      </c>
      <c r="C487" s="41" t="s">
        <v>23</v>
      </c>
      <c r="D487" s="41" t="s">
        <v>34</v>
      </c>
      <c r="E487" s="41" t="s">
        <v>25</v>
      </c>
      <c r="F487" s="41" t="s">
        <v>25</v>
      </c>
      <c r="G487" s="41" t="s">
        <v>25</v>
      </c>
      <c r="H487" s="41" t="s">
        <v>25</v>
      </c>
      <c r="I487" s="60">
        <v>44409</v>
      </c>
      <c r="J487" s="61">
        <f>EFEITO!$J$487*EFEITO!$Y$487</f>
        <v>0</v>
      </c>
      <c r="K487" s="61">
        <f ca="1">EFEITO!$L$487*EFEITO!$Z$487</f>
        <v>21118.273993282259</v>
      </c>
      <c r="L487" s="61">
        <f>EFEITO!$N$487*EFEITO!$AA$487</f>
        <v>7271.4716344242606</v>
      </c>
      <c r="M487" s="61">
        <f>$J$487-EFEITO!$K$487*EFEITO!$Y$487</f>
        <v>0</v>
      </c>
      <c r="N487" s="61">
        <f ca="1">$K$487-EFEITO!$M$487*EFEITO!$Z$487</f>
        <v>0</v>
      </c>
      <c r="O487" s="61">
        <f>$L$487-EFEITO!$O$487*EFEITO!$AA$487</f>
        <v>0</v>
      </c>
      <c r="P487" s="45"/>
      <c r="Q487" s="45"/>
      <c r="R487" s="45"/>
      <c r="S487" s="45"/>
      <c r="T487" s="45"/>
      <c r="U487" s="45"/>
      <c r="V487" s="45"/>
      <c r="W487" s="45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 ht="11.25" customHeight="1" x14ac:dyDescent="0.2">
      <c r="A488" s="41" t="s">
        <v>21</v>
      </c>
      <c r="B488" s="41" t="s">
        <v>33</v>
      </c>
      <c r="C488" s="41" t="s">
        <v>23</v>
      </c>
      <c r="D488" s="41" t="s">
        <v>34</v>
      </c>
      <c r="E488" s="41" t="s">
        <v>25</v>
      </c>
      <c r="F488" s="41" t="s">
        <v>25</v>
      </c>
      <c r="G488" s="41" t="s">
        <v>25</v>
      </c>
      <c r="H488" s="41" t="s">
        <v>25</v>
      </c>
      <c r="I488" s="60">
        <v>44440</v>
      </c>
      <c r="J488" s="61">
        <f>EFEITO!$J$488*EFEITO!$Y$488</f>
        <v>0</v>
      </c>
      <c r="K488" s="61">
        <f ca="1">EFEITO!$L$488*EFEITO!$Z$488</f>
        <v>19391.909899540762</v>
      </c>
      <c r="L488" s="61">
        <f>EFEITO!$N$488*EFEITO!$AA$488</f>
        <v>6677.0476989112058</v>
      </c>
      <c r="M488" s="61">
        <f>$J$488-EFEITO!$K$488*EFEITO!$Y$488</f>
        <v>0</v>
      </c>
      <c r="N488" s="61">
        <f ca="1">$K$488-EFEITO!$M$488*EFEITO!$Z$488</f>
        <v>0</v>
      </c>
      <c r="O488" s="61">
        <f>$L$488-EFEITO!$O$488*EFEITO!$AA$488</f>
        <v>0</v>
      </c>
      <c r="P488" s="45"/>
      <c r="Q488" s="45"/>
      <c r="R488" s="45"/>
      <c r="S488" s="45"/>
      <c r="T488" s="45"/>
      <c r="U488" s="45"/>
      <c r="V488" s="45"/>
      <c r="W488" s="45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 ht="11.25" customHeight="1" x14ac:dyDescent="0.2">
      <c r="A489" s="41" t="s">
        <v>28</v>
      </c>
      <c r="B489" s="41" t="s">
        <v>33</v>
      </c>
      <c r="C489" s="41" t="s">
        <v>23</v>
      </c>
      <c r="D489" s="41" t="s">
        <v>34</v>
      </c>
      <c r="E489" s="41" t="s">
        <v>25</v>
      </c>
      <c r="F489" s="41" t="s">
        <v>25</v>
      </c>
      <c r="G489" s="41" t="s">
        <v>25</v>
      </c>
      <c r="H489" s="41" t="s">
        <v>25</v>
      </c>
      <c r="I489" s="60">
        <v>44440</v>
      </c>
      <c r="J489" s="61">
        <f>EFEITO!$J$489*EFEITO!$Y$489</f>
        <v>0</v>
      </c>
      <c r="K489" s="61">
        <f ca="1">EFEITO!$L$489*EFEITO!$Z$489</f>
        <v>1780.59841546949</v>
      </c>
      <c r="L489" s="61">
        <f>EFEITO!$N$489*EFEITO!$AA$489</f>
        <v>613.09796787871085</v>
      </c>
      <c r="M489" s="61">
        <f>$J$489-EFEITO!$K$489*EFEITO!$Y$489</f>
        <v>0</v>
      </c>
      <c r="N489" s="61">
        <f ca="1">$K$489-EFEITO!$M$489*EFEITO!$Z$489</f>
        <v>0</v>
      </c>
      <c r="O489" s="61">
        <f>$L$489-EFEITO!$O$489*EFEITO!$AA$489</f>
        <v>0</v>
      </c>
      <c r="P489" s="45"/>
      <c r="Q489" s="45"/>
      <c r="R489" s="45"/>
      <c r="S489" s="45"/>
      <c r="T489" s="45"/>
      <c r="U489" s="45"/>
      <c r="V489" s="45"/>
      <c r="W489" s="45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 ht="11.25" customHeight="1" x14ac:dyDescent="0.2">
      <c r="A490" s="41" t="s">
        <v>21</v>
      </c>
      <c r="B490" s="41" t="s">
        <v>33</v>
      </c>
      <c r="C490" s="41" t="s">
        <v>23</v>
      </c>
      <c r="D490" s="41" t="s">
        <v>34</v>
      </c>
      <c r="E490" s="41" t="s">
        <v>25</v>
      </c>
      <c r="F490" s="41" t="s">
        <v>25</v>
      </c>
      <c r="G490" s="41" t="s">
        <v>25</v>
      </c>
      <c r="H490" s="41" t="s">
        <v>25</v>
      </c>
      <c r="I490" s="60">
        <v>44470</v>
      </c>
      <c r="J490" s="61">
        <f>EFEITO!$J$490*EFEITO!$Y$490</f>
        <v>0</v>
      </c>
      <c r="K490" s="61">
        <f ca="1">EFEITO!$L$490*EFEITO!$Z$490</f>
        <v>24480.231052820516</v>
      </c>
      <c r="L490" s="61">
        <f>EFEITO!$N$490*EFEITO!$AA$490</f>
        <v>8429.0650723331182</v>
      </c>
      <c r="M490" s="61">
        <f>$J$490-EFEITO!$K$490*EFEITO!$Y$490</f>
        <v>0</v>
      </c>
      <c r="N490" s="61">
        <f ca="1">$K$490-EFEITO!$M$490*EFEITO!$Z$490</f>
        <v>0</v>
      </c>
      <c r="O490" s="61">
        <f>$L$490-EFEITO!$O$490*EFEITO!$AA$490</f>
        <v>0</v>
      </c>
      <c r="P490" s="45"/>
      <c r="Q490" s="45"/>
      <c r="R490" s="45"/>
      <c r="S490" s="45"/>
      <c r="T490" s="45"/>
      <c r="U490" s="45"/>
      <c r="V490" s="45"/>
      <c r="W490" s="45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ht="11.25" customHeight="1" x14ac:dyDescent="0.2">
      <c r="A491" s="41" t="s">
        <v>28</v>
      </c>
      <c r="B491" s="41" t="s">
        <v>33</v>
      </c>
      <c r="C491" s="41" t="s">
        <v>23</v>
      </c>
      <c r="D491" s="41" t="s">
        <v>34</v>
      </c>
      <c r="E491" s="41" t="s">
        <v>25</v>
      </c>
      <c r="F491" s="41" t="s">
        <v>25</v>
      </c>
      <c r="G491" s="41" t="s">
        <v>25</v>
      </c>
      <c r="H491" s="41" t="s">
        <v>25</v>
      </c>
      <c r="I491" s="60">
        <v>44470</v>
      </c>
      <c r="J491" s="61">
        <f>EFEITO!$J$491*EFEITO!$Y$491</f>
        <v>0</v>
      </c>
      <c r="K491" s="61">
        <f ca="1">EFEITO!$L$491*EFEITO!$Z$491</f>
        <v>2037.4978341810224</v>
      </c>
      <c r="L491" s="61">
        <f>EFEITO!$N$491*EFEITO!$AA$491</f>
        <v>701.55391066339166</v>
      </c>
      <c r="M491" s="61">
        <f>$J$491-EFEITO!$K$491*EFEITO!$Y$491</f>
        <v>0</v>
      </c>
      <c r="N491" s="61">
        <f ca="1">$K$491-EFEITO!$M$491*EFEITO!$Z$491</f>
        <v>0</v>
      </c>
      <c r="O491" s="61">
        <f>$L$491-EFEITO!$O$491*EFEITO!$AA$491</f>
        <v>0</v>
      </c>
      <c r="P491" s="45"/>
      <c r="Q491" s="45"/>
      <c r="R491" s="45"/>
      <c r="S491" s="45"/>
      <c r="T491" s="45"/>
      <c r="U491" s="45"/>
      <c r="V491" s="45"/>
      <c r="W491" s="45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ht="11.25" customHeight="1" x14ac:dyDescent="0.2">
      <c r="A492" s="41" t="s">
        <v>21</v>
      </c>
      <c r="B492" s="41" t="s">
        <v>33</v>
      </c>
      <c r="C492" s="41" t="s">
        <v>23</v>
      </c>
      <c r="D492" s="41" t="s">
        <v>34</v>
      </c>
      <c r="E492" s="41" t="s">
        <v>25</v>
      </c>
      <c r="F492" s="41" t="s">
        <v>25</v>
      </c>
      <c r="G492" s="41" t="s">
        <v>25</v>
      </c>
      <c r="H492" s="41" t="s">
        <v>25</v>
      </c>
      <c r="I492" s="60">
        <v>44501</v>
      </c>
      <c r="J492" s="61">
        <f>EFEITO!$J$492*EFEITO!$Y$492</f>
        <v>0</v>
      </c>
      <c r="K492" s="61">
        <f ca="1">EFEITO!$L$492*EFEITO!$Z$492</f>
        <v>23281.937986430497</v>
      </c>
      <c r="L492" s="61">
        <f>EFEITO!$N$492*EFEITO!$AA$492</f>
        <v>8016.4672414330171</v>
      </c>
      <c r="M492" s="61">
        <f>$J$492-EFEITO!$K$492*EFEITO!$Y$492</f>
        <v>0</v>
      </c>
      <c r="N492" s="61">
        <f ca="1">$K$492-EFEITO!$M$492*EFEITO!$Z$492</f>
        <v>0</v>
      </c>
      <c r="O492" s="61">
        <f>$L$492-EFEITO!$O$492*EFEITO!$AA$492</f>
        <v>0</v>
      </c>
      <c r="P492" s="45"/>
      <c r="Q492" s="45"/>
      <c r="R492" s="45"/>
      <c r="S492" s="45"/>
      <c r="T492" s="45"/>
      <c r="U492" s="45"/>
      <c r="V492" s="45"/>
      <c r="W492" s="45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ht="11.25" customHeight="1" x14ac:dyDescent="0.2">
      <c r="A493" s="41" t="s">
        <v>28</v>
      </c>
      <c r="B493" s="41" t="s">
        <v>33</v>
      </c>
      <c r="C493" s="41" t="s">
        <v>23</v>
      </c>
      <c r="D493" s="41" t="s">
        <v>34</v>
      </c>
      <c r="E493" s="41" t="s">
        <v>25</v>
      </c>
      <c r="F493" s="41" t="s">
        <v>25</v>
      </c>
      <c r="G493" s="41" t="s">
        <v>25</v>
      </c>
      <c r="H493" s="41" t="s">
        <v>25</v>
      </c>
      <c r="I493" s="60">
        <v>44501</v>
      </c>
      <c r="J493" s="61">
        <f>EFEITO!$J$493*EFEITO!$Y$493</f>
        <v>0</v>
      </c>
      <c r="K493" s="61">
        <f ca="1">EFEITO!$L$493*EFEITO!$Z$493</f>
        <v>3799.256958945</v>
      </c>
      <c r="L493" s="61">
        <f>EFEITO!$N$493*EFEITO!$AA$493</f>
        <v>1308.1651094045592</v>
      </c>
      <c r="M493" s="61">
        <f>$J$493-EFEITO!$K$493*EFEITO!$Y$493</f>
        <v>0</v>
      </c>
      <c r="N493" s="61">
        <f ca="1">$K$493-EFEITO!$M$493*EFEITO!$Z$493</f>
        <v>0</v>
      </c>
      <c r="O493" s="61">
        <f>$L$493-EFEITO!$O$493*EFEITO!$AA$493</f>
        <v>0</v>
      </c>
      <c r="P493" s="45"/>
      <c r="Q493" s="45"/>
      <c r="R493" s="45"/>
      <c r="S493" s="45"/>
      <c r="T493" s="45"/>
      <c r="U493" s="45"/>
      <c r="V493" s="45"/>
      <c r="W493" s="45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ht="11.25" customHeight="1" x14ac:dyDescent="0.2">
      <c r="A494" s="41" t="s">
        <v>21</v>
      </c>
      <c r="B494" s="41" t="s">
        <v>33</v>
      </c>
      <c r="C494" s="41" t="s">
        <v>23</v>
      </c>
      <c r="D494" s="41" t="s">
        <v>34</v>
      </c>
      <c r="E494" s="41" t="s">
        <v>25</v>
      </c>
      <c r="F494" s="41" t="s">
        <v>25</v>
      </c>
      <c r="G494" s="41" t="s">
        <v>25</v>
      </c>
      <c r="H494" s="41" t="s">
        <v>25</v>
      </c>
      <c r="I494" s="60">
        <v>44531</v>
      </c>
      <c r="J494" s="61">
        <f>EFEITO!$J$494*EFEITO!$Y$494</f>
        <v>0</v>
      </c>
      <c r="K494" s="61">
        <f ca="1">EFEITO!$L$494*EFEITO!$Z$494</f>
        <v>24335.225603147785</v>
      </c>
      <c r="L494" s="61">
        <f>EFEITO!$N$494*EFEITO!$AA$494</f>
        <v>8379.1366068502102</v>
      </c>
      <c r="M494" s="61">
        <f>$J$494-EFEITO!$K$494*EFEITO!$Y$494</f>
        <v>0</v>
      </c>
      <c r="N494" s="61">
        <f ca="1">$K$494-EFEITO!$M$494*EFEITO!$Z$494</f>
        <v>0</v>
      </c>
      <c r="O494" s="61">
        <f>$L$494-EFEITO!$O$494*EFEITO!$AA$494</f>
        <v>0</v>
      </c>
      <c r="P494" s="45"/>
      <c r="Q494" s="45"/>
      <c r="R494" s="45"/>
      <c r="S494" s="45"/>
      <c r="T494" s="45"/>
      <c r="U494" s="45"/>
      <c r="V494" s="45"/>
      <c r="W494" s="45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ht="11.25" customHeight="1" x14ac:dyDescent="0.2">
      <c r="A495" s="41" t="s">
        <v>28</v>
      </c>
      <c r="B495" s="41" t="s">
        <v>33</v>
      </c>
      <c r="C495" s="41" t="s">
        <v>23</v>
      </c>
      <c r="D495" s="41" t="s">
        <v>34</v>
      </c>
      <c r="E495" s="41" t="s">
        <v>25</v>
      </c>
      <c r="F495" s="41" t="s">
        <v>25</v>
      </c>
      <c r="G495" s="41" t="s">
        <v>25</v>
      </c>
      <c r="H495" s="41" t="s">
        <v>25</v>
      </c>
      <c r="I495" s="60">
        <v>44531</v>
      </c>
      <c r="J495" s="61">
        <f>EFEITO!$J$495*EFEITO!$Y$495</f>
        <v>0</v>
      </c>
      <c r="K495" s="61">
        <f ca="1">EFEITO!$L$495*EFEITO!$Z$495</f>
        <v>2322.370745152255</v>
      </c>
      <c r="L495" s="61">
        <f>EFEITO!$N$495*EFEITO!$AA$495</f>
        <v>799.64172277351565</v>
      </c>
      <c r="M495" s="61">
        <f>$J$495-EFEITO!$K$495*EFEITO!$Y$495</f>
        <v>0</v>
      </c>
      <c r="N495" s="61">
        <f ca="1">$K$495-EFEITO!$M$495*EFEITO!$Z$495</f>
        <v>0</v>
      </c>
      <c r="O495" s="61">
        <f>$L$495-EFEITO!$O$495*EFEITO!$AA$495</f>
        <v>0</v>
      </c>
      <c r="P495" s="45"/>
      <c r="Q495" s="45"/>
      <c r="R495" s="45"/>
      <c r="S495" s="45"/>
      <c r="T495" s="45"/>
      <c r="U495" s="45"/>
      <c r="V495" s="45"/>
      <c r="W495" s="45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ht="11.25" customHeight="1" x14ac:dyDescent="0.2">
      <c r="A496" s="41" t="s">
        <v>21</v>
      </c>
      <c r="B496" s="41" t="s">
        <v>33</v>
      </c>
      <c r="C496" s="41" t="s">
        <v>23</v>
      </c>
      <c r="D496" s="41" t="s">
        <v>34</v>
      </c>
      <c r="E496" s="41" t="s">
        <v>25</v>
      </c>
      <c r="F496" s="41" t="s">
        <v>25</v>
      </c>
      <c r="G496" s="41" t="s">
        <v>25</v>
      </c>
      <c r="H496" s="41" t="s">
        <v>25</v>
      </c>
      <c r="I496" s="60">
        <v>44562</v>
      </c>
      <c r="J496" s="61">
        <f>EFEITO!$J$496*EFEITO!$Y$496</f>
        <v>0</v>
      </c>
      <c r="K496" s="61">
        <f ca="1">EFEITO!$L$496*EFEITO!$Z$496</f>
        <v>19309.702085553068</v>
      </c>
      <c r="L496" s="61">
        <f>EFEITO!$N$496*EFEITO!$AA$496</f>
        <v>6648.7417972201065</v>
      </c>
      <c r="M496" s="61">
        <f>$J$496-EFEITO!$K$496*EFEITO!$Y$496</f>
        <v>0</v>
      </c>
      <c r="N496" s="61">
        <f ca="1">$K$496-EFEITO!$M$496*EFEITO!$Z$496</f>
        <v>0</v>
      </c>
      <c r="O496" s="61">
        <f>$L$496-EFEITO!$O$496*EFEITO!$AA$496</f>
        <v>0</v>
      </c>
      <c r="P496" s="45"/>
      <c r="Q496" s="45"/>
      <c r="R496" s="45"/>
      <c r="S496" s="45"/>
      <c r="T496" s="45"/>
      <c r="U496" s="45"/>
      <c r="V496" s="45"/>
      <c r="W496" s="45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ht="11.25" customHeight="1" x14ac:dyDescent="0.2">
      <c r="A497" s="41" t="s">
        <v>28</v>
      </c>
      <c r="B497" s="41" t="s">
        <v>33</v>
      </c>
      <c r="C497" s="41" t="s">
        <v>23</v>
      </c>
      <c r="D497" s="41" t="s">
        <v>34</v>
      </c>
      <c r="E497" s="41" t="s">
        <v>25</v>
      </c>
      <c r="F497" s="41" t="s">
        <v>25</v>
      </c>
      <c r="G497" s="41" t="s">
        <v>25</v>
      </c>
      <c r="H497" s="41" t="s">
        <v>25</v>
      </c>
      <c r="I497" s="60">
        <v>44562</v>
      </c>
      <c r="J497" s="61">
        <f>EFEITO!$J$497*EFEITO!$Y$497</f>
        <v>0</v>
      </c>
      <c r="K497" s="61">
        <f ca="1">EFEITO!$L$497*EFEITO!$Z$497</f>
        <v>2285.8339389355037</v>
      </c>
      <c r="L497" s="61">
        <f>EFEITO!$N$497*EFEITO!$AA$497</f>
        <v>787.06132202191657</v>
      </c>
      <c r="M497" s="61">
        <f>$J$497-EFEITO!$K$497*EFEITO!$Y$497</f>
        <v>0</v>
      </c>
      <c r="N497" s="61">
        <f ca="1">$K$497-EFEITO!$M$497*EFEITO!$Z$497</f>
        <v>0</v>
      </c>
      <c r="O497" s="61">
        <f>$L$497-EFEITO!$O$497*EFEITO!$AA$497</f>
        <v>0</v>
      </c>
      <c r="P497" s="45"/>
      <c r="Q497" s="45"/>
      <c r="R497" s="45"/>
      <c r="S497" s="45"/>
      <c r="T497" s="45"/>
      <c r="U497" s="45"/>
      <c r="V497" s="45"/>
      <c r="W497" s="45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ht="11.25" customHeight="1" x14ac:dyDescent="0.2">
      <c r="A498" s="41" t="s">
        <v>21</v>
      </c>
      <c r="B498" s="41" t="s">
        <v>33</v>
      </c>
      <c r="C498" s="41" t="s">
        <v>23</v>
      </c>
      <c r="D498" s="41" t="s">
        <v>34</v>
      </c>
      <c r="E498" s="41" t="s">
        <v>25</v>
      </c>
      <c r="F498" s="41" t="s">
        <v>25</v>
      </c>
      <c r="G498" s="41" t="s">
        <v>25</v>
      </c>
      <c r="H498" s="41" t="s">
        <v>25</v>
      </c>
      <c r="I498" s="60">
        <v>44593</v>
      </c>
      <c r="J498" s="61">
        <f>EFEITO!$J$498*EFEITO!$Y$498</f>
        <v>0</v>
      </c>
      <c r="K498" s="61">
        <f ca="1">EFEITO!$L$498*EFEITO!$Z$498</f>
        <v>25772.720572738097</v>
      </c>
      <c r="L498" s="61">
        <f>EFEITO!$N$498*EFEITO!$AA$498</f>
        <v>8874.0967489209361</v>
      </c>
      <c r="M498" s="61">
        <f>$J$498-EFEITO!$K$498*EFEITO!$Y$498</f>
        <v>0</v>
      </c>
      <c r="N498" s="61">
        <f ca="1">$K$498-EFEITO!$M$498*EFEITO!$Z$498</f>
        <v>0</v>
      </c>
      <c r="O498" s="61">
        <f>$L$498-EFEITO!$O$498*EFEITO!$AA$498</f>
        <v>0</v>
      </c>
      <c r="P498" s="45"/>
      <c r="Q498" s="45"/>
      <c r="R498" s="45"/>
      <c r="S498" s="45"/>
      <c r="T498" s="45"/>
      <c r="U498" s="45"/>
      <c r="V498" s="45"/>
      <c r="W498" s="45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ht="11.25" customHeight="1" x14ac:dyDescent="0.2">
      <c r="A499" s="41" t="s">
        <v>28</v>
      </c>
      <c r="B499" s="41" t="s">
        <v>33</v>
      </c>
      <c r="C499" s="41" t="s">
        <v>23</v>
      </c>
      <c r="D499" s="41" t="s">
        <v>34</v>
      </c>
      <c r="E499" s="41" t="s">
        <v>25</v>
      </c>
      <c r="F499" s="41" t="s">
        <v>25</v>
      </c>
      <c r="G499" s="41" t="s">
        <v>25</v>
      </c>
      <c r="H499" s="41" t="s">
        <v>25</v>
      </c>
      <c r="I499" s="60">
        <v>44593</v>
      </c>
      <c r="J499" s="61">
        <f>EFEITO!$J$499*EFEITO!$Y$499</f>
        <v>0</v>
      </c>
      <c r="K499" s="61">
        <f ca="1">EFEITO!$L$499*EFEITO!$Z$499</f>
        <v>3126.7513695179209</v>
      </c>
      <c r="L499" s="61">
        <f>EFEITO!$N$499*EFEITO!$AA$499</f>
        <v>1076.6071080704389</v>
      </c>
      <c r="M499" s="61">
        <f>$J$499-EFEITO!$K$499*EFEITO!$Y$499</f>
        <v>0</v>
      </c>
      <c r="N499" s="61">
        <f ca="1">$K$499-EFEITO!$M$499*EFEITO!$Z$499</f>
        <v>0</v>
      </c>
      <c r="O499" s="61">
        <f>$L$499-EFEITO!$O$499*EFEITO!$AA$499</f>
        <v>0</v>
      </c>
      <c r="P499" s="45"/>
      <c r="Q499" s="45"/>
      <c r="R499" s="45"/>
      <c r="S499" s="45"/>
      <c r="T499" s="45"/>
      <c r="U499" s="45"/>
      <c r="V499" s="45"/>
      <c r="W499" s="45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ht="11.25" customHeight="1" x14ac:dyDescent="0.2">
      <c r="A500" s="41" t="s">
        <v>21</v>
      </c>
      <c r="B500" s="41" t="s">
        <v>33</v>
      </c>
      <c r="C500" s="41" t="s">
        <v>23</v>
      </c>
      <c r="D500" s="41" t="s">
        <v>34</v>
      </c>
      <c r="E500" s="41" t="s">
        <v>25</v>
      </c>
      <c r="F500" s="41" t="s">
        <v>25</v>
      </c>
      <c r="G500" s="41" t="s">
        <v>25</v>
      </c>
      <c r="H500" s="41" t="s">
        <v>25</v>
      </c>
      <c r="I500" s="60">
        <v>44621</v>
      </c>
      <c r="J500" s="61">
        <f>EFEITO!$J$500*EFEITO!$Y$500</f>
        <v>0</v>
      </c>
      <c r="K500" s="61">
        <f ca="1">EFEITO!$L$500*EFEITO!$Z$500</f>
        <v>21378.598737576613</v>
      </c>
      <c r="L500" s="61">
        <f>EFEITO!$N$500*EFEITO!$AA$500</f>
        <v>7361.1069897794041</v>
      </c>
      <c r="M500" s="61">
        <f>$J$500-EFEITO!$K$500*EFEITO!$Y$500</f>
        <v>0</v>
      </c>
      <c r="N500" s="61">
        <f ca="1">$K$500-EFEITO!$M$500*EFEITO!$Z$500</f>
        <v>0</v>
      </c>
      <c r="O500" s="61">
        <f>$L$500-EFEITO!$O$500*EFEITO!$AA$500</f>
        <v>0</v>
      </c>
      <c r="P500" s="45"/>
      <c r="Q500" s="45"/>
      <c r="R500" s="45"/>
      <c r="S500" s="45"/>
      <c r="T500" s="45"/>
      <c r="U500" s="45"/>
      <c r="V500" s="45"/>
      <c r="W500" s="45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ht="11.25" customHeight="1" x14ac:dyDescent="0.2">
      <c r="A501" s="41" t="s">
        <v>28</v>
      </c>
      <c r="B501" s="41" t="s">
        <v>33</v>
      </c>
      <c r="C501" s="41" t="s">
        <v>23</v>
      </c>
      <c r="D501" s="41" t="s">
        <v>34</v>
      </c>
      <c r="E501" s="41" t="s">
        <v>25</v>
      </c>
      <c r="F501" s="41" t="s">
        <v>25</v>
      </c>
      <c r="G501" s="41" t="s">
        <v>25</v>
      </c>
      <c r="H501" s="41" t="s">
        <v>25</v>
      </c>
      <c r="I501" s="60">
        <v>44621</v>
      </c>
      <c r="J501" s="61">
        <f>EFEITO!$J$501*EFEITO!$Y$501</f>
        <v>0</v>
      </c>
      <c r="K501" s="61">
        <f ca="1">EFEITO!$L$501*EFEITO!$Z$501</f>
        <v>2513.0472025959261</v>
      </c>
      <c r="L501" s="61">
        <f>EFEITO!$N$501*EFEITO!$AA$501</f>
        <v>865.29568919592339</v>
      </c>
      <c r="M501" s="61">
        <f>$J$501-EFEITO!$K$501*EFEITO!$Y$501</f>
        <v>0</v>
      </c>
      <c r="N501" s="61">
        <f ca="1">$K$501-EFEITO!$M$501*EFEITO!$Z$501</f>
        <v>0</v>
      </c>
      <c r="O501" s="61">
        <f>$L$501-EFEITO!$O$501*EFEITO!$AA$501</f>
        <v>0</v>
      </c>
      <c r="P501" s="45"/>
      <c r="Q501" s="45"/>
      <c r="R501" s="45"/>
      <c r="S501" s="45"/>
      <c r="T501" s="45"/>
      <c r="U501" s="45"/>
      <c r="V501" s="45"/>
      <c r="W501" s="45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ht="11.25" customHeight="1" x14ac:dyDescent="0.2">
      <c r="A502" s="41" t="s">
        <v>21</v>
      </c>
      <c r="B502" s="41" t="s">
        <v>33</v>
      </c>
      <c r="C502" s="41" t="s">
        <v>23</v>
      </c>
      <c r="D502" s="41" t="s">
        <v>34</v>
      </c>
      <c r="E502" s="41" t="s">
        <v>25</v>
      </c>
      <c r="F502" s="41" t="s">
        <v>25</v>
      </c>
      <c r="G502" s="41" t="s">
        <v>25</v>
      </c>
      <c r="H502" s="41" t="s">
        <v>25</v>
      </c>
      <c r="I502" s="60">
        <v>44652</v>
      </c>
      <c r="J502" s="61">
        <f>EFEITO!$J$502*EFEITO!$Y$502</f>
        <v>0</v>
      </c>
      <c r="K502" s="61">
        <f ca="1">EFEITO!$L$502*EFEITO!$Z$502</f>
        <v>23011.337265387687</v>
      </c>
      <c r="L502" s="61">
        <f>EFEITO!$N$502*EFEITO!$AA$502</f>
        <v>7923.2936483664871</v>
      </c>
      <c r="M502" s="61">
        <f>$J$502-EFEITO!$K$502*EFEITO!$Y$502</f>
        <v>0</v>
      </c>
      <c r="N502" s="61">
        <f ca="1">$K$502-EFEITO!$M$502*EFEITO!$Z$502</f>
        <v>0</v>
      </c>
      <c r="O502" s="61">
        <f>$L$502-EFEITO!$O$502*EFEITO!$AA$502</f>
        <v>0</v>
      </c>
      <c r="P502" s="45"/>
      <c r="Q502" s="45"/>
      <c r="R502" s="45"/>
      <c r="S502" s="45"/>
      <c r="T502" s="45"/>
      <c r="U502" s="45"/>
      <c r="V502" s="45"/>
      <c r="W502" s="45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ht="11.25" customHeight="1" x14ac:dyDescent="0.2">
      <c r="A503" s="41" t="s">
        <v>28</v>
      </c>
      <c r="B503" s="41" t="s">
        <v>33</v>
      </c>
      <c r="C503" s="41" t="s">
        <v>23</v>
      </c>
      <c r="D503" s="41" t="s">
        <v>34</v>
      </c>
      <c r="E503" s="41" t="s">
        <v>25</v>
      </c>
      <c r="F503" s="41" t="s">
        <v>25</v>
      </c>
      <c r="G503" s="41" t="s">
        <v>25</v>
      </c>
      <c r="H503" s="41" t="s">
        <v>25</v>
      </c>
      <c r="I503" s="60">
        <v>44652</v>
      </c>
      <c r="J503" s="61">
        <f>EFEITO!$J$503*EFEITO!$Y$503</f>
        <v>0</v>
      </c>
      <c r="K503" s="61">
        <f ca="1">EFEITO!$L$503*EFEITO!$Z$503</f>
        <v>6888.9006346490323</v>
      </c>
      <c r="L503" s="61">
        <f>EFEITO!$N$503*EFEITO!$AA$503</f>
        <v>2371.9952479616554</v>
      </c>
      <c r="M503" s="61">
        <f>$J$503-EFEITO!$K$503*EFEITO!$Y$503</f>
        <v>0</v>
      </c>
      <c r="N503" s="61">
        <f ca="1">$K$503-EFEITO!$M$503*EFEITO!$Z$503</f>
        <v>0</v>
      </c>
      <c r="O503" s="61">
        <f>$L$503-EFEITO!$O$503*EFEITO!$AA$503</f>
        <v>0</v>
      </c>
      <c r="P503" s="45"/>
      <c r="Q503" s="45"/>
      <c r="R503" s="45"/>
      <c r="S503" s="45"/>
      <c r="T503" s="45"/>
      <c r="U503" s="45"/>
      <c r="V503" s="45"/>
      <c r="W503" s="45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t="11.25" customHeight="1" x14ac:dyDescent="0.2">
      <c r="A504" s="41" t="s">
        <v>28</v>
      </c>
      <c r="B504" s="41" t="s">
        <v>33</v>
      </c>
      <c r="C504" s="41" t="s">
        <v>23</v>
      </c>
      <c r="D504" s="41" t="s">
        <v>34</v>
      </c>
      <c r="E504" s="41" t="s">
        <v>25</v>
      </c>
      <c r="F504" s="41" t="s">
        <v>25</v>
      </c>
      <c r="G504" s="41" t="s">
        <v>25</v>
      </c>
      <c r="H504" s="41" t="s">
        <v>25</v>
      </c>
      <c r="I504" s="60">
        <v>44652</v>
      </c>
      <c r="J504" s="61">
        <f>EFEITO!$J$504*EFEITO!$Y$504</f>
        <v>0</v>
      </c>
      <c r="K504" s="61">
        <f ca="1">EFEITO!$L$504*EFEITO!$Z$504</f>
        <v>1788.0199542322675</v>
      </c>
      <c r="L504" s="61">
        <f>EFEITO!$N$504*EFEITO!$AA$504</f>
        <v>615.65336178137932</v>
      </c>
      <c r="M504" s="61">
        <f>$J$504-EFEITO!$K$504*EFEITO!$Y$504</f>
        <v>0</v>
      </c>
      <c r="N504" s="61">
        <f ca="1">$K$504-EFEITO!$M$504*EFEITO!$Z$504</f>
        <v>0</v>
      </c>
      <c r="O504" s="61">
        <f>$L$504-EFEITO!$O$504*EFEITO!$AA$504</f>
        <v>0</v>
      </c>
      <c r="P504" s="45"/>
      <c r="Q504" s="45"/>
      <c r="R504" s="45"/>
      <c r="S504" s="45"/>
      <c r="T504" s="45"/>
      <c r="U504" s="45"/>
      <c r="V504" s="45"/>
      <c r="W504" s="45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11.25" customHeight="1" x14ac:dyDescent="0.2">
      <c r="A505" s="41" t="s">
        <v>21</v>
      </c>
      <c r="B505" s="41" t="s">
        <v>33</v>
      </c>
      <c r="C505" s="41" t="s">
        <v>23</v>
      </c>
      <c r="D505" s="41" t="s">
        <v>34</v>
      </c>
      <c r="E505" s="41" t="s">
        <v>25</v>
      </c>
      <c r="F505" s="41" t="s">
        <v>25</v>
      </c>
      <c r="G505" s="41" t="s">
        <v>25</v>
      </c>
      <c r="H505" s="41" t="s">
        <v>25</v>
      </c>
      <c r="I505" s="60">
        <v>44682</v>
      </c>
      <c r="J505" s="61">
        <f>EFEITO!$J$505*EFEITO!$Y$505</f>
        <v>0</v>
      </c>
      <c r="K505" s="61">
        <f ca="1">EFEITO!$L$505*EFEITO!$Z$505</f>
        <v>20215.129814611937</v>
      </c>
      <c r="L505" s="61">
        <f>EFEITO!$N$505*EFEITO!$AA$505</f>
        <v>6960.499853345671</v>
      </c>
      <c r="M505" s="61">
        <f>$J$505-EFEITO!$K$505*EFEITO!$Y$505</f>
        <v>0</v>
      </c>
      <c r="N505" s="61">
        <f ca="1">$K$505-EFEITO!$M$505*EFEITO!$Z$505</f>
        <v>0</v>
      </c>
      <c r="O505" s="61">
        <f>$L$505-EFEITO!$O$505*EFEITO!$AA$505</f>
        <v>0</v>
      </c>
      <c r="P505" s="45"/>
      <c r="Q505" s="45"/>
      <c r="R505" s="45"/>
      <c r="S505" s="45"/>
      <c r="T505" s="45"/>
      <c r="U505" s="45"/>
      <c r="V505" s="45"/>
      <c r="W505" s="45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ht="11.25" customHeight="1" x14ac:dyDescent="0.2">
      <c r="A506" s="41" t="s">
        <v>28</v>
      </c>
      <c r="B506" s="41" t="s">
        <v>33</v>
      </c>
      <c r="C506" s="41" t="s">
        <v>23</v>
      </c>
      <c r="D506" s="41" t="s">
        <v>34</v>
      </c>
      <c r="E506" s="41" t="s">
        <v>25</v>
      </c>
      <c r="F506" s="41" t="s">
        <v>25</v>
      </c>
      <c r="G506" s="41" t="s">
        <v>25</v>
      </c>
      <c r="H506" s="41" t="s">
        <v>25</v>
      </c>
      <c r="I506" s="60">
        <v>44682</v>
      </c>
      <c r="J506" s="61">
        <f>EFEITO!$J$506*EFEITO!$Y$506</f>
        <v>0</v>
      </c>
      <c r="K506" s="61">
        <f ca="1">EFEITO!$L$506*EFEITO!$Z$506</f>
        <v>5931.5221342507211</v>
      </c>
      <c r="L506" s="61">
        <f>EFEITO!$N$506*EFEITO!$AA$506</f>
        <v>2042.3494345174111</v>
      </c>
      <c r="M506" s="61">
        <f>$J$506-EFEITO!$K$506*EFEITO!$Y$506</f>
        <v>0</v>
      </c>
      <c r="N506" s="61">
        <f ca="1">$K$506-EFEITO!$M$506*EFEITO!$Z$506</f>
        <v>0</v>
      </c>
      <c r="O506" s="61">
        <f>$L$506-EFEITO!$O$506*EFEITO!$AA$506</f>
        <v>0</v>
      </c>
      <c r="P506" s="45"/>
      <c r="Q506" s="45"/>
      <c r="R506" s="45"/>
      <c r="S506" s="45"/>
      <c r="T506" s="45"/>
      <c r="U506" s="45"/>
      <c r="V506" s="45"/>
      <c r="W506" s="45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ht="11.25" customHeight="1" x14ac:dyDescent="0.2">
      <c r="A507" s="41" t="s">
        <v>21</v>
      </c>
      <c r="B507" s="41" t="s">
        <v>33</v>
      </c>
      <c r="C507" s="41" t="s">
        <v>23</v>
      </c>
      <c r="D507" s="41" t="s">
        <v>34</v>
      </c>
      <c r="E507" s="41" t="s">
        <v>25</v>
      </c>
      <c r="F507" s="41" t="s">
        <v>25</v>
      </c>
      <c r="G507" s="41" t="s">
        <v>25</v>
      </c>
      <c r="H507" s="41" t="s">
        <v>25</v>
      </c>
      <c r="I507" s="60">
        <v>44713</v>
      </c>
      <c r="J507" s="61">
        <f>EFEITO!$J$507*EFEITO!$Y$507</f>
        <v>0</v>
      </c>
      <c r="K507" s="61">
        <f ca="1">EFEITO!$L$507*EFEITO!$Z$507</f>
        <v>21900.960888956728</v>
      </c>
      <c r="L507" s="61">
        <f>EFEITO!$N$507*EFEITO!$AA$507</f>
        <v>7540.967406774922</v>
      </c>
      <c r="M507" s="61">
        <f>$J$507-EFEITO!$K$507*EFEITO!$Y$507</f>
        <v>0</v>
      </c>
      <c r="N507" s="61">
        <f ca="1">$K$507-EFEITO!$M$507*EFEITO!$Z$507</f>
        <v>0</v>
      </c>
      <c r="O507" s="61">
        <f>$L$507-EFEITO!$O$507*EFEITO!$AA$507</f>
        <v>0</v>
      </c>
      <c r="P507" s="45"/>
      <c r="Q507" s="45"/>
      <c r="R507" s="45"/>
      <c r="S507" s="45"/>
      <c r="T507" s="45"/>
      <c r="U507" s="45"/>
      <c r="V507" s="45"/>
      <c r="W507" s="45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11.25" customHeight="1" x14ac:dyDescent="0.2">
      <c r="A508" s="41" t="s">
        <v>28</v>
      </c>
      <c r="B508" s="41" t="s">
        <v>33</v>
      </c>
      <c r="C508" s="41" t="s">
        <v>23</v>
      </c>
      <c r="D508" s="41" t="s">
        <v>34</v>
      </c>
      <c r="E508" s="41" t="s">
        <v>25</v>
      </c>
      <c r="F508" s="41" t="s">
        <v>25</v>
      </c>
      <c r="G508" s="41" t="s">
        <v>25</v>
      </c>
      <c r="H508" s="41" t="s">
        <v>25</v>
      </c>
      <c r="I508" s="60">
        <v>44713</v>
      </c>
      <c r="J508" s="61">
        <f>EFEITO!$J$508*EFEITO!$Y$508</f>
        <v>0</v>
      </c>
      <c r="K508" s="61">
        <f ca="1">EFEITO!$L$508*EFEITO!$Z$508</f>
        <v>6900.3183865917672</v>
      </c>
      <c r="L508" s="61">
        <f>EFEITO!$N$508*EFEITO!$AA$508</f>
        <v>2375.9266231965298</v>
      </c>
      <c r="M508" s="61">
        <f>$J$508-EFEITO!$K$508*EFEITO!$Y$508</f>
        <v>0</v>
      </c>
      <c r="N508" s="61">
        <f ca="1">$K$508-EFEITO!$M$508*EFEITO!$Z$508</f>
        <v>0</v>
      </c>
      <c r="O508" s="61">
        <f>$L$508-EFEITO!$O$508*EFEITO!$AA$508</f>
        <v>0</v>
      </c>
      <c r="P508" s="45"/>
      <c r="Q508" s="45"/>
      <c r="R508" s="45"/>
      <c r="S508" s="45"/>
      <c r="T508" s="45"/>
      <c r="U508" s="45"/>
      <c r="V508" s="45"/>
      <c r="W508" s="45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ht="11.25" customHeight="1" x14ac:dyDescent="0.2">
      <c r="A509" s="41" t="s">
        <v>21</v>
      </c>
      <c r="B509" s="41" t="s">
        <v>33</v>
      </c>
      <c r="C509" s="41" t="s">
        <v>23</v>
      </c>
      <c r="D509" s="41" t="s">
        <v>43</v>
      </c>
      <c r="E509" s="41" t="s">
        <v>25</v>
      </c>
      <c r="F509" s="41" t="s">
        <v>25</v>
      </c>
      <c r="G509" s="41" t="s">
        <v>25</v>
      </c>
      <c r="H509" s="41" t="s">
        <v>25</v>
      </c>
      <c r="I509" s="60">
        <v>44378</v>
      </c>
      <c r="J509" s="61">
        <f>EFEITO!$J$509*EFEITO!$Y$509</f>
        <v>0</v>
      </c>
      <c r="K509" s="61">
        <f ca="1">EFEITO!$L$509*EFEITO!$Z$509</f>
        <v>37872.683194051286</v>
      </c>
      <c r="L509" s="61">
        <f>EFEITO!$N$509*EFEITO!$AA$509</f>
        <v>13040.371654079408</v>
      </c>
      <c r="M509" s="61">
        <f>$J$509-EFEITO!$K$509*EFEITO!$Y$509</f>
        <v>0</v>
      </c>
      <c r="N509" s="61">
        <f ca="1">$K$509-EFEITO!$M$509*EFEITO!$Z$509</f>
        <v>0</v>
      </c>
      <c r="O509" s="61">
        <f>$L$509-EFEITO!$O$509*EFEITO!$AA$509</f>
        <v>0</v>
      </c>
      <c r="P509" s="45"/>
      <c r="Q509" s="45"/>
      <c r="R509" s="45"/>
      <c r="S509" s="45"/>
      <c r="T509" s="45"/>
      <c r="U509" s="45"/>
      <c r="V509" s="45"/>
      <c r="W509" s="45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ht="11.25" customHeight="1" x14ac:dyDescent="0.2">
      <c r="A510" s="41" t="s">
        <v>21</v>
      </c>
      <c r="B510" s="41" t="s">
        <v>33</v>
      </c>
      <c r="C510" s="41" t="s">
        <v>23</v>
      </c>
      <c r="D510" s="41" t="s">
        <v>43</v>
      </c>
      <c r="E510" s="41" t="s">
        <v>25</v>
      </c>
      <c r="F510" s="41" t="s">
        <v>25</v>
      </c>
      <c r="G510" s="41" t="s">
        <v>25</v>
      </c>
      <c r="H510" s="41" t="s">
        <v>25</v>
      </c>
      <c r="I510" s="60">
        <v>44409</v>
      </c>
      <c r="J510" s="61">
        <f>EFEITO!$J$510*EFEITO!$Y$510</f>
        <v>0</v>
      </c>
      <c r="K510" s="61">
        <f ca="1">EFEITO!$L$510*EFEITO!$Z$510</f>
        <v>33756.012731098257</v>
      </c>
      <c r="L510" s="61">
        <f>EFEITO!$N$510*EFEITO!$AA$510</f>
        <v>11622.914313145331</v>
      </c>
      <c r="M510" s="61">
        <f>$J$510-EFEITO!$K$510*EFEITO!$Y$510</f>
        <v>0</v>
      </c>
      <c r="N510" s="61">
        <f ca="1">$K$510-EFEITO!$M$510*EFEITO!$Z$510</f>
        <v>0</v>
      </c>
      <c r="O510" s="61">
        <f>$L$510-EFEITO!$O$510*EFEITO!$AA$510</f>
        <v>0</v>
      </c>
      <c r="P510" s="45"/>
      <c r="Q510" s="45"/>
      <c r="R510" s="45"/>
      <c r="S510" s="45"/>
      <c r="T510" s="45"/>
      <c r="U510" s="45"/>
      <c r="V510" s="45"/>
      <c r="W510" s="45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ht="11.25" customHeight="1" x14ac:dyDescent="0.2">
      <c r="A511" s="41" t="s">
        <v>21</v>
      </c>
      <c r="B511" s="41" t="s">
        <v>33</v>
      </c>
      <c r="C511" s="41" t="s">
        <v>23</v>
      </c>
      <c r="D511" s="41" t="s">
        <v>43</v>
      </c>
      <c r="E511" s="41" t="s">
        <v>25</v>
      </c>
      <c r="F511" s="41" t="s">
        <v>25</v>
      </c>
      <c r="G511" s="41" t="s">
        <v>25</v>
      </c>
      <c r="H511" s="41" t="s">
        <v>25</v>
      </c>
      <c r="I511" s="60">
        <v>44440</v>
      </c>
      <c r="J511" s="61">
        <f>EFEITO!$J$511*EFEITO!$Y$511</f>
        <v>0</v>
      </c>
      <c r="K511" s="61">
        <f ca="1">EFEITO!$L$511*EFEITO!$Z$511</f>
        <v>30070.933291580604</v>
      </c>
      <c r="L511" s="61">
        <f>EFEITO!$N$511*EFEITO!$AA$511</f>
        <v>10354.06295608952</v>
      </c>
      <c r="M511" s="61">
        <f>$J$511-EFEITO!$K$511*EFEITO!$Y$511</f>
        <v>0</v>
      </c>
      <c r="N511" s="61">
        <f ca="1">$K$511-EFEITO!$M$511*EFEITO!$Z$511</f>
        <v>0</v>
      </c>
      <c r="O511" s="61">
        <f>$L$511-EFEITO!$O$511*EFEITO!$AA$511</f>
        <v>0</v>
      </c>
      <c r="P511" s="45"/>
      <c r="Q511" s="45"/>
      <c r="R511" s="45"/>
      <c r="S511" s="45"/>
      <c r="T511" s="45"/>
      <c r="U511" s="45"/>
      <c r="V511" s="45"/>
      <c r="W511" s="45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 ht="11.25" customHeight="1" x14ac:dyDescent="0.2">
      <c r="A512" s="41" t="s">
        <v>21</v>
      </c>
      <c r="B512" s="41" t="s">
        <v>33</v>
      </c>
      <c r="C512" s="41" t="s">
        <v>23</v>
      </c>
      <c r="D512" s="41" t="s">
        <v>43</v>
      </c>
      <c r="E512" s="41" t="s">
        <v>25</v>
      </c>
      <c r="F512" s="41" t="s">
        <v>25</v>
      </c>
      <c r="G512" s="41" t="s">
        <v>25</v>
      </c>
      <c r="H512" s="41" t="s">
        <v>25</v>
      </c>
      <c r="I512" s="60">
        <v>44470</v>
      </c>
      <c r="J512" s="61">
        <f>EFEITO!$J$512*EFEITO!$Y$512</f>
        <v>0</v>
      </c>
      <c r="K512" s="61">
        <f ca="1">EFEITO!$L$512*EFEITO!$Z$512</f>
        <v>29339.055392051305</v>
      </c>
      <c r="L512" s="61">
        <f>EFEITO!$N$512*EFEITO!$AA$512</f>
        <v>10102.061803534052</v>
      </c>
      <c r="M512" s="61">
        <f>$J$512-EFEITO!$K$512*EFEITO!$Y$512</f>
        <v>0</v>
      </c>
      <c r="N512" s="61">
        <f ca="1">$K$512-EFEITO!$M$512*EFEITO!$Z$512</f>
        <v>0</v>
      </c>
      <c r="O512" s="61">
        <f>$L$512-EFEITO!$O$512*EFEITO!$AA$512</f>
        <v>0</v>
      </c>
      <c r="P512" s="45"/>
      <c r="Q512" s="45"/>
      <c r="R512" s="45"/>
      <c r="S512" s="45"/>
      <c r="T512" s="45"/>
      <c r="U512" s="45"/>
      <c r="V512" s="45"/>
      <c r="W512" s="45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 ht="11.25" customHeight="1" x14ac:dyDescent="0.2">
      <c r="A513" s="41" t="s">
        <v>21</v>
      </c>
      <c r="B513" s="41" t="s">
        <v>33</v>
      </c>
      <c r="C513" s="41" t="s">
        <v>23</v>
      </c>
      <c r="D513" s="41" t="s">
        <v>43</v>
      </c>
      <c r="E513" s="41" t="s">
        <v>25</v>
      </c>
      <c r="F513" s="41" t="s">
        <v>25</v>
      </c>
      <c r="G513" s="41" t="s">
        <v>25</v>
      </c>
      <c r="H513" s="41" t="s">
        <v>25</v>
      </c>
      <c r="I513" s="60">
        <v>44501</v>
      </c>
      <c r="J513" s="61">
        <f>EFEITO!$J$513*EFEITO!$Y$513</f>
        <v>0</v>
      </c>
      <c r="K513" s="61">
        <f ca="1">EFEITO!$L$513*EFEITO!$Z$513</f>
        <v>26568.53788314671</v>
      </c>
      <c r="L513" s="61">
        <f>EFEITO!$N$513*EFEITO!$AA$513</f>
        <v>9148.1136027917037</v>
      </c>
      <c r="M513" s="61">
        <f>$J$513-EFEITO!$K$513*EFEITO!$Y$513</f>
        <v>0</v>
      </c>
      <c r="N513" s="61">
        <f ca="1">$K$513-EFEITO!$M$513*EFEITO!$Z$513</f>
        <v>0</v>
      </c>
      <c r="O513" s="61">
        <f>$L$513-EFEITO!$O$513*EFEITO!$AA$513</f>
        <v>0</v>
      </c>
      <c r="P513" s="45"/>
      <c r="Q513" s="45"/>
      <c r="R513" s="45"/>
      <c r="S513" s="45"/>
      <c r="T513" s="45"/>
      <c r="U513" s="45"/>
      <c r="V513" s="45"/>
      <c r="W513" s="45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 ht="11.25" customHeight="1" x14ac:dyDescent="0.2">
      <c r="A514" s="41" t="s">
        <v>21</v>
      </c>
      <c r="B514" s="41" t="s">
        <v>33</v>
      </c>
      <c r="C514" s="41" t="s">
        <v>23</v>
      </c>
      <c r="D514" s="41" t="s">
        <v>43</v>
      </c>
      <c r="E514" s="41" t="s">
        <v>25</v>
      </c>
      <c r="F514" s="41" t="s">
        <v>25</v>
      </c>
      <c r="G514" s="41" t="s">
        <v>25</v>
      </c>
      <c r="H514" s="41" t="s">
        <v>25</v>
      </c>
      <c r="I514" s="60">
        <v>44531</v>
      </c>
      <c r="J514" s="61">
        <f>EFEITO!$J$514*EFEITO!$Y$514</f>
        <v>0</v>
      </c>
      <c r="K514" s="61">
        <f ca="1">EFEITO!$L$514*EFEITO!$Z$514</f>
        <v>33920.99924667077</v>
      </c>
      <c r="L514" s="61">
        <f>EFEITO!$N$514*EFEITO!$AA$514</f>
        <v>11679.722685289271</v>
      </c>
      <c r="M514" s="61">
        <f>$J$514-EFEITO!$K$514*EFEITO!$Y$514</f>
        <v>0</v>
      </c>
      <c r="N514" s="61">
        <f ca="1">$K$514-EFEITO!$M$514*EFEITO!$Z$514</f>
        <v>0</v>
      </c>
      <c r="O514" s="61">
        <f>$L$514-EFEITO!$O$514*EFEITO!$AA$514</f>
        <v>0</v>
      </c>
      <c r="P514" s="45"/>
      <c r="Q514" s="45"/>
      <c r="R514" s="45"/>
      <c r="S514" s="45"/>
      <c r="T514" s="45"/>
      <c r="U514" s="45"/>
      <c r="V514" s="45"/>
      <c r="W514" s="45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 ht="11.25" customHeight="1" x14ac:dyDescent="0.2">
      <c r="A515" s="41" t="s">
        <v>27</v>
      </c>
      <c r="B515" s="41" t="s">
        <v>33</v>
      </c>
      <c r="C515" s="41" t="s">
        <v>23</v>
      </c>
      <c r="D515" s="41" t="s">
        <v>43</v>
      </c>
      <c r="E515" s="41" t="s">
        <v>25</v>
      </c>
      <c r="F515" s="41" t="s">
        <v>25</v>
      </c>
      <c r="G515" s="41" t="s">
        <v>25</v>
      </c>
      <c r="H515" s="41" t="s">
        <v>25</v>
      </c>
      <c r="I515" s="60">
        <v>44531</v>
      </c>
      <c r="J515" s="61">
        <f>EFEITO!$J$515*EFEITO!$Y$515</f>
        <v>0</v>
      </c>
      <c r="K515" s="61">
        <f ca="1">EFEITO!$L$515*EFEITO!$Z$515</f>
        <v>-33.111480633930881</v>
      </c>
      <c r="L515" s="61">
        <f>EFEITO!$N$515*EFEITO!$AA$515</f>
        <v>-11.400988181136656</v>
      </c>
      <c r="M515" s="61">
        <f>$J$515-EFEITO!$K$515*EFEITO!$Y$515</f>
        <v>0</v>
      </c>
      <c r="N515" s="61">
        <f ca="1">$K$515-EFEITO!$M$515*EFEITO!$Z$515</f>
        <v>0</v>
      </c>
      <c r="O515" s="61">
        <f>$L$515-EFEITO!$O$515*EFEITO!$AA$515</f>
        <v>0</v>
      </c>
      <c r="P515" s="45"/>
      <c r="Q515" s="45"/>
      <c r="R515" s="45"/>
      <c r="S515" s="45"/>
      <c r="T515" s="45"/>
      <c r="U515" s="45"/>
      <c r="V515" s="45"/>
      <c r="W515" s="45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 ht="11.25" customHeight="1" x14ac:dyDescent="0.2">
      <c r="A516" s="41" t="s">
        <v>21</v>
      </c>
      <c r="B516" s="41" t="s">
        <v>33</v>
      </c>
      <c r="C516" s="41" t="s">
        <v>23</v>
      </c>
      <c r="D516" s="41" t="s">
        <v>43</v>
      </c>
      <c r="E516" s="41" t="s">
        <v>25</v>
      </c>
      <c r="F516" s="41" t="s">
        <v>25</v>
      </c>
      <c r="G516" s="41" t="s">
        <v>25</v>
      </c>
      <c r="H516" s="41" t="s">
        <v>25</v>
      </c>
      <c r="I516" s="60">
        <v>44562</v>
      </c>
      <c r="J516" s="61">
        <f>EFEITO!$J$516*EFEITO!$Y$516</f>
        <v>0</v>
      </c>
      <c r="K516" s="61">
        <f ca="1">EFEITO!$L$516*EFEITO!$Z$516</f>
        <v>33682.368231067616</v>
      </c>
      <c r="L516" s="61">
        <f>EFEITO!$N$516*EFEITO!$AA$516</f>
        <v>11597.55694288039</v>
      </c>
      <c r="M516" s="61">
        <f>$J$516-EFEITO!$K$516*EFEITO!$Y$516</f>
        <v>0</v>
      </c>
      <c r="N516" s="61">
        <f ca="1">$K$516-EFEITO!$M$516*EFEITO!$Z$516</f>
        <v>0</v>
      </c>
      <c r="O516" s="61">
        <f>$L$516-EFEITO!$O$516*EFEITO!$AA$516</f>
        <v>0</v>
      </c>
      <c r="P516" s="45"/>
      <c r="Q516" s="45"/>
      <c r="R516" s="45"/>
      <c r="S516" s="45"/>
      <c r="T516" s="45"/>
      <c r="U516" s="45"/>
      <c r="V516" s="45"/>
      <c r="W516" s="45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ht="11.25" customHeight="1" x14ac:dyDescent="0.2">
      <c r="A517" s="41" t="s">
        <v>21</v>
      </c>
      <c r="B517" s="41" t="s">
        <v>33</v>
      </c>
      <c r="C517" s="41" t="s">
        <v>23</v>
      </c>
      <c r="D517" s="41" t="s">
        <v>43</v>
      </c>
      <c r="E517" s="41" t="s">
        <v>25</v>
      </c>
      <c r="F517" s="41" t="s">
        <v>25</v>
      </c>
      <c r="G517" s="41" t="s">
        <v>25</v>
      </c>
      <c r="H517" s="41" t="s">
        <v>25</v>
      </c>
      <c r="I517" s="60">
        <v>44593</v>
      </c>
      <c r="J517" s="61">
        <f>EFEITO!$J$517*EFEITO!$Y$517</f>
        <v>0</v>
      </c>
      <c r="K517" s="61">
        <f ca="1">EFEITO!$L$517*EFEITO!$Z$517</f>
        <v>32167.232548266707</v>
      </c>
      <c r="L517" s="61">
        <f>EFEITO!$N$517*EFEITO!$AA$517</f>
        <v>11075.863449212515</v>
      </c>
      <c r="M517" s="61">
        <f>$J$517-EFEITO!$K$517*EFEITO!$Y$517</f>
        <v>0</v>
      </c>
      <c r="N517" s="61">
        <f ca="1">$K$517-EFEITO!$M$517*EFEITO!$Z$517</f>
        <v>0</v>
      </c>
      <c r="O517" s="61">
        <f>$L$517-EFEITO!$O$517*EFEITO!$AA$517</f>
        <v>0</v>
      </c>
      <c r="P517" s="45"/>
      <c r="Q517" s="45"/>
      <c r="R517" s="45"/>
      <c r="S517" s="45"/>
      <c r="T517" s="45"/>
      <c r="U517" s="45"/>
      <c r="V517" s="45"/>
      <c r="W517" s="45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ht="11.25" customHeight="1" x14ac:dyDescent="0.2">
      <c r="A518" s="41" t="s">
        <v>21</v>
      </c>
      <c r="B518" s="41" t="s">
        <v>33</v>
      </c>
      <c r="C518" s="41" t="s">
        <v>23</v>
      </c>
      <c r="D518" s="41" t="s">
        <v>43</v>
      </c>
      <c r="E518" s="41" t="s">
        <v>25</v>
      </c>
      <c r="F518" s="41" t="s">
        <v>25</v>
      </c>
      <c r="G518" s="41" t="s">
        <v>25</v>
      </c>
      <c r="H518" s="41" t="s">
        <v>25</v>
      </c>
      <c r="I518" s="60">
        <v>44621</v>
      </c>
      <c r="J518" s="61">
        <f>EFEITO!$J$518*EFEITO!$Y$518</f>
        <v>0</v>
      </c>
      <c r="K518" s="61">
        <f ca="1">EFEITO!$L$518*EFEITO!$Z$518</f>
        <v>34594.646611292126</v>
      </c>
      <c r="L518" s="61">
        <f>EFEITO!$N$518*EFEITO!$AA$518</f>
        <v>11911.673824146879</v>
      </c>
      <c r="M518" s="61">
        <f>$J$518-EFEITO!$K$518*EFEITO!$Y$518</f>
        <v>0</v>
      </c>
      <c r="N518" s="61">
        <f ca="1">$K$518-EFEITO!$M$518*EFEITO!$Z$518</f>
        <v>0</v>
      </c>
      <c r="O518" s="61">
        <f>$L$518-EFEITO!$O$518*EFEITO!$AA$518</f>
        <v>0</v>
      </c>
      <c r="P518" s="45"/>
      <c r="Q518" s="45"/>
      <c r="R518" s="45"/>
      <c r="S518" s="45"/>
      <c r="T518" s="45"/>
      <c r="U518" s="45"/>
      <c r="V518" s="45"/>
      <c r="W518" s="45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ht="11.25" customHeight="1" x14ac:dyDescent="0.2">
      <c r="A519" s="41" t="s">
        <v>21</v>
      </c>
      <c r="B519" s="41" t="s">
        <v>33</v>
      </c>
      <c r="C519" s="41" t="s">
        <v>23</v>
      </c>
      <c r="D519" s="41" t="s">
        <v>43</v>
      </c>
      <c r="E519" s="41" t="s">
        <v>25</v>
      </c>
      <c r="F519" s="41" t="s">
        <v>25</v>
      </c>
      <c r="G519" s="41" t="s">
        <v>25</v>
      </c>
      <c r="H519" s="41" t="s">
        <v>25</v>
      </c>
      <c r="I519" s="60">
        <v>44652</v>
      </c>
      <c r="J519" s="61">
        <f>EFEITO!$J$519*EFEITO!$Y$519</f>
        <v>0</v>
      </c>
      <c r="K519" s="61">
        <f ca="1">EFEITO!$L$519*EFEITO!$Z$519</f>
        <v>32316.805098716533</v>
      </c>
      <c r="L519" s="61">
        <f>EFEITO!$N$519*EFEITO!$AA$519</f>
        <v>11127.364464789374</v>
      </c>
      <c r="M519" s="61">
        <f>$J$519-EFEITO!$K$519*EFEITO!$Y$519</f>
        <v>0</v>
      </c>
      <c r="N519" s="61">
        <f ca="1">$K$519-EFEITO!$M$519*EFEITO!$Z$519</f>
        <v>0</v>
      </c>
      <c r="O519" s="61">
        <f>$L$519-EFEITO!$O$519*EFEITO!$AA$519</f>
        <v>0</v>
      </c>
      <c r="P519" s="45"/>
      <c r="Q519" s="45"/>
      <c r="R519" s="45"/>
      <c r="S519" s="45"/>
      <c r="T519" s="45"/>
      <c r="U519" s="45"/>
      <c r="V519" s="45"/>
      <c r="W519" s="45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ht="11.25" customHeight="1" x14ac:dyDescent="0.2">
      <c r="A520" s="41" t="s">
        <v>21</v>
      </c>
      <c r="B520" s="41" t="s">
        <v>33</v>
      </c>
      <c r="C520" s="41" t="s">
        <v>23</v>
      </c>
      <c r="D520" s="41" t="s">
        <v>43</v>
      </c>
      <c r="E520" s="41" t="s">
        <v>25</v>
      </c>
      <c r="F520" s="41" t="s">
        <v>25</v>
      </c>
      <c r="G520" s="41" t="s">
        <v>25</v>
      </c>
      <c r="H520" s="41" t="s">
        <v>25</v>
      </c>
      <c r="I520" s="60">
        <v>44682</v>
      </c>
      <c r="J520" s="61">
        <f>EFEITO!$J$520*EFEITO!$Y$520</f>
        <v>0</v>
      </c>
      <c r="K520" s="61">
        <f ca="1">EFEITO!$L$520*EFEITO!$Z$520</f>
        <v>27340.377914475579</v>
      </c>
      <c r="L520" s="61">
        <f>EFEITO!$N$520*EFEITO!$AA$520</f>
        <v>9413.8745686692328</v>
      </c>
      <c r="M520" s="61">
        <f>$J$520-EFEITO!$K$520*EFEITO!$Y$520</f>
        <v>0</v>
      </c>
      <c r="N520" s="61">
        <f ca="1">$K$520-EFEITO!$M$520*EFEITO!$Z$520</f>
        <v>0</v>
      </c>
      <c r="O520" s="61">
        <f>$L$520-EFEITO!$O$520*EFEITO!$AA$520</f>
        <v>0</v>
      </c>
      <c r="P520" s="45"/>
      <c r="Q520" s="45"/>
      <c r="R520" s="45"/>
      <c r="S520" s="45"/>
      <c r="T520" s="45"/>
      <c r="U520" s="45"/>
      <c r="V520" s="45"/>
      <c r="W520" s="45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ht="11.25" customHeight="1" x14ac:dyDescent="0.2">
      <c r="A521" s="41" t="s">
        <v>21</v>
      </c>
      <c r="B521" s="41" t="s">
        <v>33</v>
      </c>
      <c r="C521" s="41" t="s">
        <v>23</v>
      </c>
      <c r="D521" s="41" t="s">
        <v>43</v>
      </c>
      <c r="E521" s="41" t="s">
        <v>25</v>
      </c>
      <c r="F521" s="41" t="s">
        <v>25</v>
      </c>
      <c r="G521" s="41" t="s">
        <v>25</v>
      </c>
      <c r="H521" s="41" t="s">
        <v>25</v>
      </c>
      <c r="I521" s="60">
        <v>44713</v>
      </c>
      <c r="J521" s="61">
        <f>EFEITO!$J$521*EFEITO!$Y$521</f>
        <v>0</v>
      </c>
      <c r="K521" s="61">
        <f ca="1">EFEITO!$L$521*EFEITO!$Z$521</f>
        <v>36202.836972426318</v>
      </c>
      <c r="L521" s="61">
        <f>EFEITO!$N$521*EFEITO!$AA$521</f>
        <v>12465.408025978981</v>
      </c>
      <c r="M521" s="61">
        <f>$J$521-EFEITO!$K$521*EFEITO!$Y$521</f>
        <v>0</v>
      </c>
      <c r="N521" s="61">
        <f ca="1">$K$521-EFEITO!$M$521*EFEITO!$Z$521</f>
        <v>0</v>
      </c>
      <c r="O521" s="61">
        <f>$L$521-EFEITO!$O$521*EFEITO!$AA$521</f>
        <v>0</v>
      </c>
      <c r="P521" s="45"/>
      <c r="Q521" s="45"/>
      <c r="R521" s="45"/>
      <c r="S521" s="45"/>
      <c r="T521" s="45"/>
      <c r="U521" s="45"/>
      <c r="V521" s="45"/>
      <c r="W521" s="45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ht="11.25" customHeight="1" x14ac:dyDescent="0.2">
      <c r="A522" s="41" t="s">
        <v>21</v>
      </c>
      <c r="B522" s="41" t="s">
        <v>33</v>
      </c>
      <c r="C522" s="41" t="s">
        <v>23</v>
      </c>
      <c r="D522" s="41" t="s">
        <v>47</v>
      </c>
      <c r="E522" s="41" t="s">
        <v>48</v>
      </c>
      <c r="F522" s="41" t="s">
        <v>25</v>
      </c>
      <c r="G522" s="41" t="s">
        <v>25</v>
      </c>
      <c r="H522" s="41" t="s">
        <v>25</v>
      </c>
      <c r="I522" s="60">
        <v>44378</v>
      </c>
      <c r="J522" s="61">
        <f>EFEITO!$J$522*EFEITO!$Y$521</f>
        <v>0</v>
      </c>
      <c r="K522" s="61">
        <f ca="1">EFEITO!$L$522*EFEITO!$Z$521</f>
        <v>8904.1338525417214</v>
      </c>
      <c r="L522" s="61">
        <f>EFEITO!$N$522*EFEITO!$AA$521</f>
        <v>3065.8829769170411</v>
      </c>
      <c r="M522" s="61">
        <f>$J$522-EFEITO!$K$522*EFEITO!$Y$522</f>
        <v>0</v>
      </c>
      <c r="N522" s="61">
        <f ca="1">$K$522-EFEITO!$M$522*EFEITO!$Z$522</f>
        <v>267.12401557625162</v>
      </c>
      <c r="O522" s="61">
        <f>$L$522-EFEITO!$O$522*EFEITO!$AA$522</f>
        <v>91.976489307511201</v>
      </c>
      <c r="P522" s="45"/>
      <c r="Q522" s="45"/>
      <c r="R522" s="45"/>
      <c r="S522" s="45"/>
      <c r="T522" s="45"/>
      <c r="U522" s="45"/>
      <c r="V522" s="45"/>
      <c r="W522" s="45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ht="11.25" customHeight="1" x14ac:dyDescent="0.2">
      <c r="A523" s="41" t="s">
        <v>21</v>
      </c>
      <c r="B523" s="41" t="s">
        <v>33</v>
      </c>
      <c r="C523" s="41" t="s">
        <v>23</v>
      </c>
      <c r="D523" s="41" t="s">
        <v>47</v>
      </c>
      <c r="E523" s="41" t="s">
        <v>48</v>
      </c>
      <c r="F523" s="41" t="s">
        <v>25</v>
      </c>
      <c r="G523" s="41" t="s">
        <v>25</v>
      </c>
      <c r="H523" s="41" t="s">
        <v>25</v>
      </c>
      <c r="I523" s="60">
        <v>44409</v>
      </c>
      <c r="J523" s="61">
        <f>EFEITO!$J$523*EFEITO!$Y$521</f>
        <v>0</v>
      </c>
      <c r="K523" s="61">
        <f ca="1">EFEITO!$L$523*EFEITO!$Z$521</f>
        <v>12182.170435300879</v>
      </c>
      <c r="L523" s="61">
        <f>EFEITO!$N$523*EFEITO!$AA$521</f>
        <v>4194.5808068495699</v>
      </c>
      <c r="M523" s="61">
        <f>$J$523-EFEITO!$K$523*EFEITO!$Y$523</f>
        <v>0</v>
      </c>
      <c r="N523" s="61">
        <f ca="1">$K$523-EFEITO!$M$523*EFEITO!$Z$523</f>
        <v>365.46511305902641</v>
      </c>
      <c r="O523" s="61">
        <f>$L$523-EFEITO!$O$523*EFEITO!$AA$523</f>
        <v>125.83742420548742</v>
      </c>
      <c r="P523" s="45"/>
      <c r="Q523" s="45"/>
      <c r="R523" s="45"/>
      <c r="S523" s="45"/>
      <c r="T523" s="45"/>
      <c r="U523" s="45"/>
      <c r="V523" s="45"/>
      <c r="W523" s="45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ht="11.25" customHeight="1" x14ac:dyDescent="0.2">
      <c r="A524" s="41" t="s">
        <v>21</v>
      </c>
      <c r="B524" s="41" t="s">
        <v>33</v>
      </c>
      <c r="C524" s="41" t="s">
        <v>23</v>
      </c>
      <c r="D524" s="41" t="s">
        <v>47</v>
      </c>
      <c r="E524" s="41" t="s">
        <v>48</v>
      </c>
      <c r="F524" s="41" t="s">
        <v>25</v>
      </c>
      <c r="G524" s="41" t="s">
        <v>25</v>
      </c>
      <c r="H524" s="41" t="s">
        <v>25</v>
      </c>
      <c r="I524" s="60">
        <v>44440</v>
      </c>
      <c r="J524" s="61">
        <f>EFEITO!$J$524*EFEITO!$Y$521</f>
        <v>0</v>
      </c>
      <c r="K524" s="61">
        <f ca="1">EFEITO!$L$524*EFEITO!$Z$521</f>
        <v>12352.865826844765</v>
      </c>
      <c r="L524" s="61">
        <f>EFEITO!$N$524*EFEITO!$AA$521</f>
        <v>4253.3548666109473</v>
      </c>
      <c r="M524" s="61">
        <f>$J$524-EFEITO!$K$524*EFEITO!$Y$524</f>
        <v>0</v>
      </c>
      <c r="N524" s="61">
        <f ca="1">$K$524-EFEITO!$M$524*EFEITO!$Z$524</f>
        <v>370.58597480534263</v>
      </c>
      <c r="O524" s="61">
        <f>$L$524-EFEITO!$O$524*EFEITO!$AA$524</f>
        <v>127.60064599832822</v>
      </c>
      <c r="P524" s="45"/>
      <c r="Q524" s="45"/>
      <c r="R524" s="45"/>
      <c r="S524" s="45"/>
      <c r="T524" s="45"/>
      <c r="U524" s="45"/>
      <c r="V524" s="45"/>
      <c r="W524" s="45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ht="11.25" customHeight="1" x14ac:dyDescent="0.2">
      <c r="A525" s="41" t="s">
        <v>21</v>
      </c>
      <c r="B525" s="41" t="s">
        <v>33</v>
      </c>
      <c r="C525" s="41" t="s">
        <v>23</v>
      </c>
      <c r="D525" s="41" t="s">
        <v>47</v>
      </c>
      <c r="E525" s="41" t="s">
        <v>48</v>
      </c>
      <c r="F525" s="41" t="s">
        <v>25</v>
      </c>
      <c r="G525" s="41" t="s">
        <v>25</v>
      </c>
      <c r="H525" s="41" t="s">
        <v>25</v>
      </c>
      <c r="I525" s="60">
        <v>44470</v>
      </c>
      <c r="J525" s="61">
        <f>EFEITO!$J$525*EFEITO!$Y$521</f>
        <v>0</v>
      </c>
      <c r="K525" s="61">
        <f ca="1">EFEITO!$L$525*EFEITO!$Z$521</f>
        <v>11819.65681111905</v>
      </c>
      <c r="L525" s="61">
        <f>EFEITO!$N$525*EFEITO!$AA$521</f>
        <v>4069.7596431422985</v>
      </c>
      <c r="M525" s="61">
        <f>$J$525-EFEITO!$K$525*EFEITO!$Y$525</f>
        <v>0</v>
      </c>
      <c r="N525" s="61">
        <f ca="1">$K$525-EFEITO!$M$525*EFEITO!$Z$525</f>
        <v>354.58970433357172</v>
      </c>
      <c r="O525" s="61">
        <f>$L$525-EFEITO!$O$525*EFEITO!$AA$525</f>
        <v>122.09278929426955</v>
      </c>
      <c r="P525" s="45"/>
      <c r="Q525" s="45"/>
      <c r="R525" s="45"/>
      <c r="S525" s="45"/>
      <c r="T525" s="45"/>
      <c r="U525" s="45"/>
      <c r="V525" s="45"/>
      <c r="W525" s="45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ht="11.25" customHeight="1" x14ac:dyDescent="0.2">
      <c r="A526" s="41" t="s">
        <v>21</v>
      </c>
      <c r="B526" s="41" t="s">
        <v>33</v>
      </c>
      <c r="C526" s="41" t="s">
        <v>23</v>
      </c>
      <c r="D526" s="41" t="s">
        <v>47</v>
      </c>
      <c r="E526" s="41" t="s">
        <v>48</v>
      </c>
      <c r="F526" s="41" t="s">
        <v>25</v>
      </c>
      <c r="G526" s="41" t="s">
        <v>25</v>
      </c>
      <c r="H526" s="41" t="s">
        <v>25</v>
      </c>
      <c r="I526" s="60">
        <v>44501</v>
      </c>
      <c r="J526" s="61">
        <f>EFEITO!$J$526*EFEITO!$Y$521</f>
        <v>0</v>
      </c>
      <c r="K526" s="61">
        <f ca="1">EFEITO!$L$526*EFEITO!$Z$521</f>
        <v>12673.704656435611</v>
      </c>
      <c r="L526" s="61">
        <f>EFEITO!$N$526*EFEITO!$AA$521</f>
        <v>4363.8265107109264</v>
      </c>
      <c r="M526" s="61">
        <f>$J$526-EFEITO!$K$526*EFEITO!$Y$526</f>
        <v>0</v>
      </c>
      <c r="N526" s="61">
        <f ca="1">$K$526-EFEITO!$M$526*EFEITO!$Z$526</f>
        <v>380.21113969306862</v>
      </c>
      <c r="O526" s="61">
        <f>$L$526-EFEITO!$O$526*EFEITO!$AA$526</f>
        <v>130.9147953213278</v>
      </c>
      <c r="P526" s="45"/>
      <c r="Q526" s="45"/>
      <c r="R526" s="45"/>
      <c r="S526" s="45"/>
      <c r="T526" s="45"/>
      <c r="U526" s="45"/>
      <c r="V526" s="45"/>
      <c r="W526" s="45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ht="11.25" customHeight="1" x14ac:dyDescent="0.2">
      <c r="A527" s="41" t="s">
        <v>21</v>
      </c>
      <c r="B527" s="41" t="s">
        <v>33</v>
      </c>
      <c r="C527" s="41" t="s">
        <v>23</v>
      </c>
      <c r="D527" s="41" t="s">
        <v>47</v>
      </c>
      <c r="E527" s="41" t="s">
        <v>48</v>
      </c>
      <c r="F527" s="41" t="s">
        <v>25</v>
      </c>
      <c r="G527" s="41" t="s">
        <v>25</v>
      </c>
      <c r="H527" s="41" t="s">
        <v>25</v>
      </c>
      <c r="I527" s="60">
        <v>44531</v>
      </c>
      <c r="J527" s="61">
        <f>EFEITO!$J$527*EFEITO!$Y$521</f>
        <v>0</v>
      </c>
      <c r="K527" s="61">
        <f ca="1">EFEITO!$L$527*EFEITO!$Z$521</f>
        <v>10278.831186446991</v>
      </c>
      <c r="L527" s="61">
        <f>EFEITO!$N$527*EFEITO!$AA$521</f>
        <v>3539.220555195956</v>
      </c>
      <c r="M527" s="61">
        <f>$J$527-EFEITO!$K$527*EFEITO!$Y$527</f>
        <v>0</v>
      </c>
      <c r="N527" s="61">
        <f ca="1">$K$527-EFEITO!$M$527*EFEITO!$Z$527</f>
        <v>308.36493559341034</v>
      </c>
      <c r="O527" s="61">
        <f>$L$527-EFEITO!$O$527*EFEITO!$AA$527</f>
        <v>106.17661665587866</v>
      </c>
      <c r="P527" s="45"/>
      <c r="Q527" s="45"/>
      <c r="R527" s="45"/>
      <c r="S527" s="45"/>
      <c r="T527" s="45"/>
      <c r="U527" s="45"/>
      <c r="V527" s="45"/>
      <c r="W527" s="45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ht="11.25" customHeight="1" x14ac:dyDescent="0.2">
      <c r="A528" s="41" t="s">
        <v>21</v>
      </c>
      <c r="B528" s="41" t="s">
        <v>33</v>
      </c>
      <c r="C528" s="41" t="s">
        <v>23</v>
      </c>
      <c r="D528" s="41" t="s">
        <v>47</v>
      </c>
      <c r="E528" s="41" t="s">
        <v>48</v>
      </c>
      <c r="F528" s="41" t="s">
        <v>25</v>
      </c>
      <c r="G528" s="41" t="s">
        <v>25</v>
      </c>
      <c r="H528" s="41" t="s">
        <v>25</v>
      </c>
      <c r="I528" s="60">
        <v>44562</v>
      </c>
      <c r="J528" s="61">
        <f>EFEITO!$J$528*EFEITO!$Y$521</f>
        <v>0</v>
      </c>
      <c r="K528" s="61">
        <f ca="1">EFEITO!$L$528*EFEITO!$Z$521</f>
        <v>12664.570454881425</v>
      </c>
      <c r="L528" s="61">
        <f>EFEITO!$N$528*EFEITO!$AA$521</f>
        <v>4360.6814105230269</v>
      </c>
      <c r="M528" s="61">
        <f>$J$528-EFEITO!$K$528*EFEITO!$Y$528</f>
        <v>0</v>
      </c>
      <c r="N528" s="61">
        <f ca="1">$K$528-EFEITO!$M$528*EFEITO!$Z$528</f>
        <v>379.93711364644332</v>
      </c>
      <c r="O528" s="61">
        <f>$L$528-EFEITO!$O$528*EFEITO!$AA$528</f>
        <v>130.82044231569125</v>
      </c>
      <c r="P528" s="45"/>
      <c r="Q528" s="45"/>
      <c r="R528" s="45"/>
      <c r="S528" s="45"/>
      <c r="T528" s="45"/>
      <c r="U528" s="45"/>
      <c r="V528" s="45"/>
      <c r="W528" s="45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ht="11.25" customHeight="1" x14ac:dyDescent="0.2">
      <c r="A529" s="41" t="s">
        <v>21</v>
      </c>
      <c r="B529" s="41" t="s">
        <v>33</v>
      </c>
      <c r="C529" s="41" t="s">
        <v>23</v>
      </c>
      <c r="D529" s="41" t="s">
        <v>47</v>
      </c>
      <c r="E529" s="41" t="s">
        <v>48</v>
      </c>
      <c r="F529" s="41" t="s">
        <v>25</v>
      </c>
      <c r="G529" s="41" t="s">
        <v>25</v>
      </c>
      <c r="H529" s="41" t="s">
        <v>25</v>
      </c>
      <c r="I529" s="60">
        <v>44593</v>
      </c>
      <c r="J529" s="61">
        <f>EFEITO!$J$529*EFEITO!$Y$521</f>
        <v>0</v>
      </c>
      <c r="K529" s="61">
        <f ca="1">EFEITO!$L$529*EFEITO!$Z$521</f>
        <v>12367.70890437032</v>
      </c>
      <c r="L529" s="61">
        <f>EFEITO!$N$529*EFEITO!$AA$521</f>
        <v>4258.4656544162845</v>
      </c>
      <c r="M529" s="61">
        <f>$J$529-EFEITO!$K$529*EFEITO!$Y$529</f>
        <v>0</v>
      </c>
      <c r="N529" s="61">
        <f ca="1">$K$529-EFEITO!$M$529*EFEITO!$Z$529</f>
        <v>371.03126713110942</v>
      </c>
      <c r="O529" s="61">
        <f>$L$529-EFEITO!$O$529*EFEITO!$AA$529</f>
        <v>127.75396963248841</v>
      </c>
      <c r="P529" s="45"/>
      <c r="Q529" s="45"/>
      <c r="R529" s="45"/>
      <c r="S529" s="45"/>
      <c r="T529" s="45"/>
      <c r="U529" s="45"/>
      <c r="V529" s="45"/>
      <c r="W529" s="45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 ht="11.25" customHeight="1" x14ac:dyDescent="0.2">
      <c r="A530" s="41" t="s">
        <v>21</v>
      </c>
      <c r="B530" s="41" t="s">
        <v>33</v>
      </c>
      <c r="C530" s="41" t="s">
        <v>23</v>
      </c>
      <c r="D530" s="41" t="s">
        <v>47</v>
      </c>
      <c r="E530" s="41" t="s">
        <v>48</v>
      </c>
      <c r="F530" s="41" t="s">
        <v>25</v>
      </c>
      <c r="G530" s="41" t="s">
        <v>25</v>
      </c>
      <c r="H530" s="41" t="s">
        <v>25</v>
      </c>
      <c r="I530" s="60">
        <v>44621</v>
      </c>
      <c r="J530" s="61">
        <f>EFEITO!$J$530*EFEITO!$Y$521</f>
        <v>0</v>
      </c>
      <c r="K530" s="61">
        <f ca="1">EFEITO!$L$530*EFEITO!$Z$521</f>
        <v>12694.82749752967</v>
      </c>
      <c r="L530" s="61">
        <f>EFEITO!$N$530*EFEITO!$AA$521</f>
        <v>4371.0995548954443</v>
      </c>
      <c r="M530" s="61">
        <f>$J$530-EFEITO!$K$530*EFEITO!$Y$530</f>
        <v>0</v>
      </c>
      <c r="N530" s="61">
        <f ca="1">$K$530-EFEITO!$M$530*EFEITO!$Z$530</f>
        <v>380.84482492589086</v>
      </c>
      <c r="O530" s="61">
        <f>$L$530-EFEITO!$O$530*EFEITO!$AA$530</f>
        <v>131.13298664686317</v>
      </c>
      <c r="P530" s="45"/>
      <c r="Q530" s="45"/>
      <c r="R530" s="45"/>
      <c r="S530" s="45"/>
      <c r="T530" s="45"/>
      <c r="U530" s="45"/>
      <c r="V530" s="45"/>
      <c r="W530" s="45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 ht="11.25" customHeight="1" x14ac:dyDescent="0.2">
      <c r="A531" s="41" t="s">
        <v>21</v>
      </c>
      <c r="B531" s="41" t="s">
        <v>33</v>
      </c>
      <c r="C531" s="41" t="s">
        <v>23</v>
      </c>
      <c r="D531" s="41" t="s">
        <v>47</v>
      </c>
      <c r="E531" s="41" t="s">
        <v>48</v>
      </c>
      <c r="F531" s="41" t="s">
        <v>25</v>
      </c>
      <c r="G531" s="41" t="s">
        <v>25</v>
      </c>
      <c r="H531" s="41" t="s">
        <v>25</v>
      </c>
      <c r="I531" s="60">
        <v>44652</v>
      </c>
      <c r="J531" s="61">
        <f>EFEITO!$J$531*EFEITO!$Y$521</f>
        <v>0</v>
      </c>
      <c r="K531" s="61">
        <f ca="1">EFEITO!$L$531*EFEITO!$Z$521</f>
        <v>12617.757671916212</v>
      </c>
      <c r="L531" s="61">
        <f>EFEITO!$N$531*EFEITO!$AA$521</f>
        <v>4344.5627720600405</v>
      </c>
      <c r="M531" s="61">
        <f>$J$531-EFEITO!$K$531*EFEITO!$Y$531</f>
        <v>0</v>
      </c>
      <c r="N531" s="61">
        <f ca="1">$K$531-EFEITO!$M$531*EFEITO!$Z$531</f>
        <v>378.53273015748709</v>
      </c>
      <c r="O531" s="61">
        <f>$L$531-EFEITO!$O$531*EFEITO!$AA$531</f>
        <v>130.33688316180178</v>
      </c>
      <c r="P531" s="45"/>
      <c r="Q531" s="45"/>
      <c r="R531" s="45"/>
      <c r="S531" s="45"/>
      <c r="T531" s="45"/>
      <c r="U531" s="45"/>
      <c r="V531" s="45"/>
      <c r="W531" s="45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 ht="11.25" customHeight="1" x14ac:dyDescent="0.2">
      <c r="A532" s="41" t="s">
        <v>21</v>
      </c>
      <c r="B532" s="41" t="s">
        <v>33</v>
      </c>
      <c r="C532" s="41" t="s">
        <v>23</v>
      </c>
      <c r="D532" s="41" t="s">
        <v>47</v>
      </c>
      <c r="E532" s="41" t="s">
        <v>48</v>
      </c>
      <c r="F532" s="41" t="s">
        <v>25</v>
      </c>
      <c r="G532" s="41" t="s">
        <v>25</v>
      </c>
      <c r="H532" s="41" t="s">
        <v>25</v>
      </c>
      <c r="I532" s="60">
        <v>44682</v>
      </c>
      <c r="J532" s="61">
        <f>EFEITO!$J$532*EFEITO!$Y$521</f>
        <v>0</v>
      </c>
      <c r="K532" s="61">
        <f ca="1">EFEITO!$L$532*EFEITO!$Z$521</f>
        <v>12395.68239663002</v>
      </c>
      <c r="L532" s="61">
        <f>EFEITO!$N$532*EFEITO!$AA$521</f>
        <v>4268.0975237417279</v>
      </c>
      <c r="M532" s="61">
        <f>$J$532-EFEITO!$K$532*EFEITO!$Y$532</f>
        <v>0</v>
      </c>
      <c r="N532" s="61">
        <f ca="1">$K$532-EFEITO!$M$532*EFEITO!$Z$532</f>
        <v>371.87047189890109</v>
      </c>
      <c r="O532" s="61">
        <f>$L$532-EFEITO!$O$532*EFEITO!$AA$532</f>
        <v>128.04292571225233</v>
      </c>
      <c r="P532" s="45"/>
      <c r="Q532" s="45"/>
      <c r="R532" s="45"/>
      <c r="S532" s="45"/>
      <c r="T532" s="45"/>
      <c r="U532" s="45"/>
      <c r="V532" s="45"/>
      <c r="W532" s="45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 ht="11.25" customHeight="1" x14ac:dyDescent="0.2">
      <c r="A533" s="41" t="s">
        <v>21</v>
      </c>
      <c r="B533" s="41" t="s">
        <v>33</v>
      </c>
      <c r="C533" s="41" t="s">
        <v>23</v>
      </c>
      <c r="D533" s="41" t="s">
        <v>47</v>
      </c>
      <c r="E533" s="41" t="s">
        <v>48</v>
      </c>
      <c r="F533" s="41" t="s">
        <v>25</v>
      </c>
      <c r="G533" s="41" t="s">
        <v>25</v>
      </c>
      <c r="H533" s="41" t="s">
        <v>25</v>
      </c>
      <c r="I533" s="60">
        <v>44713</v>
      </c>
      <c r="J533" s="61">
        <f>EFEITO!$J$533*EFEITO!$Y$521</f>
        <v>0</v>
      </c>
      <c r="K533" s="61">
        <f ca="1">EFEITO!$L$533*EFEITO!$Z$521</f>
        <v>12871.80265264206</v>
      </c>
      <c r="L533" s="61">
        <f>EFEITO!$N$533*EFEITO!$AA$521</f>
        <v>4432.0358710360024</v>
      </c>
      <c r="M533" s="61">
        <f>$J$533-EFEITO!$K$533*EFEITO!$Y$533</f>
        <v>0</v>
      </c>
      <c r="N533" s="61">
        <f ca="1">$K$533-EFEITO!$M$533*EFEITO!$Z$533</f>
        <v>386.15407957926072</v>
      </c>
      <c r="O533" s="61">
        <f>$L$533-EFEITO!$O$533*EFEITO!$AA$533</f>
        <v>132.96107613108052</v>
      </c>
      <c r="P533" s="45"/>
      <c r="Q533" s="45"/>
      <c r="R533" s="45"/>
      <c r="S533" s="45"/>
      <c r="T533" s="45"/>
      <c r="U533" s="45"/>
      <c r="V533" s="45"/>
      <c r="W533" s="45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ht="11.25" customHeight="1" x14ac:dyDescent="0.2">
      <c r="A534" s="41" t="s">
        <v>21</v>
      </c>
      <c r="B534" s="41" t="s">
        <v>44</v>
      </c>
      <c r="C534" s="41" t="s">
        <v>23</v>
      </c>
      <c r="D534" s="41" t="s">
        <v>45</v>
      </c>
      <c r="E534" s="41" t="s">
        <v>46</v>
      </c>
      <c r="F534" s="41" t="s">
        <v>25</v>
      </c>
      <c r="G534" s="41" t="s">
        <v>25</v>
      </c>
      <c r="H534" s="41" t="s">
        <v>25</v>
      </c>
      <c r="I534" s="60">
        <v>44378</v>
      </c>
      <c r="J534" s="61">
        <f>EFEITO!$J$534*EFEITO!$Y$534</f>
        <v>0</v>
      </c>
      <c r="K534" s="61">
        <f ca="1">EFEITO!$L$534*EFEITO!$Z$534</f>
        <v>22087.498411321161</v>
      </c>
      <c r="L534" s="61">
        <f>EFEITO!$N$534*EFEITO!$AA$534</f>
        <v>7605.1962496746892</v>
      </c>
      <c r="M534" s="61">
        <f>$J$534-EFEITO!$K$534*EFEITO!$Y$534</f>
        <v>0</v>
      </c>
      <c r="N534" s="61">
        <f ca="1">$K$534-EFEITO!$M$534*EFEITO!$Z$534</f>
        <v>0</v>
      </c>
      <c r="O534" s="61">
        <f>$L$534-EFEITO!$O$534*EFEITO!$AA$534</f>
        <v>0</v>
      </c>
      <c r="P534" s="45"/>
      <c r="Q534" s="45"/>
      <c r="R534" s="45"/>
      <c r="S534" s="45"/>
      <c r="T534" s="45"/>
      <c r="U534" s="45"/>
      <c r="V534" s="45"/>
      <c r="W534" s="45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 ht="11.25" customHeight="1" x14ac:dyDescent="0.2">
      <c r="A535" s="41" t="s">
        <v>21</v>
      </c>
      <c r="B535" s="41" t="s">
        <v>44</v>
      </c>
      <c r="C535" s="41" t="s">
        <v>23</v>
      </c>
      <c r="D535" s="41" t="s">
        <v>45</v>
      </c>
      <c r="E535" s="41" t="s">
        <v>46</v>
      </c>
      <c r="F535" s="41" t="s">
        <v>25</v>
      </c>
      <c r="G535" s="41" t="s">
        <v>25</v>
      </c>
      <c r="H535" s="41" t="s">
        <v>25</v>
      </c>
      <c r="I535" s="60">
        <v>44409</v>
      </c>
      <c r="J535" s="61">
        <f>EFEITO!$J$535*EFEITO!$Y$535</f>
        <v>0</v>
      </c>
      <c r="K535" s="61">
        <f ca="1">EFEITO!$L$535*EFEITO!$Z$535</f>
        <v>23427.599956839942</v>
      </c>
      <c r="L535" s="61">
        <f>EFEITO!$N$535*EFEITO!$AA$535</f>
        <v>8066.621760991934</v>
      </c>
      <c r="M535" s="61">
        <f>$J$535-EFEITO!$K$535*EFEITO!$Y$535</f>
        <v>0</v>
      </c>
      <c r="N535" s="61">
        <f ca="1">$K$535-EFEITO!$M$535*EFEITO!$Z$535</f>
        <v>0</v>
      </c>
      <c r="O535" s="61">
        <f>$L$535-EFEITO!$O$535*EFEITO!$AA$535</f>
        <v>0</v>
      </c>
      <c r="P535" s="45"/>
      <c r="Q535" s="45"/>
      <c r="R535" s="45"/>
      <c r="S535" s="45"/>
      <c r="T535" s="45"/>
      <c r="U535" s="45"/>
      <c r="V535" s="45"/>
      <c r="W535" s="45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ht="11.25" customHeight="1" x14ac:dyDescent="0.2">
      <c r="A536" s="41" t="s">
        <v>21</v>
      </c>
      <c r="B536" s="41" t="s">
        <v>44</v>
      </c>
      <c r="C536" s="41" t="s">
        <v>23</v>
      </c>
      <c r="D536" s="41" t="s">
        <v>45</v>
      </c>
      <c r="E536" s="41" t="s">
        <v>46</v>
      </c>
      <c r="F536" s="41" t="s">
        <v>25</v>
      </c>
      <c r="G536" s="41" t="s">
        <v>25</v>
      </c>
      <c r="H536" s="41" t="s">
        <v>25</v>
      </c>
      <c r="I536" s="60">
        <v>44440</v>
      </c>
      <c r="J536" s="61">
        <f>EFEITO!$J$536*EFEITO!$Y$536</f>
        <v>0</v>
      </c>
      <c r="K536" s="61">
        <f ca="1">EFEITO!$L$536*EFEITO!$Z$536</f>
        <v>23266.838009486237</v>
      </c>
      <c r="L536" s="61">
        <f>EFEITO!$N$536*EFEITO!$AA$536</f>
        <v>8011.2679976848976</v>
      </c>
      <c r="M536" s="61">
        <f>$J$536-EFEITO!$K$536*EFEITO!$Y$536</f>
        <v>0</v>
      </c>
      <c r="N536" s="61">
        <f ca="1">$K$536-EFEITO!$M$536*EFEITO!$Z$536</f>
        <v>0</v>
      </c>
      <c r="O536" s="61">
        <f>$L$536-EFEITO!$O$536*EFEITO!$AA$536</f>
        <v>0</v>
      </c>
      <c r="P536" s="45"/>
      <c r="Q536" s="45"/>
      <c r="R536" s="45"/>
      <c r="S536" s="45"/>
      <c r="T536" s="45"/>
      <c r="U536" s="45"/>
      <c r="V536" s="45"/>
      <c r="W536" s="45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ht="11.25" customHeight="1" x14ac:dyDescent="0.2">
      <c r="A537" s="41" t="s">
        <v>21</v>
      </c>
      <c r="B537" s="41" t="s">
        <v>44</v>
      </c>
      <c r="C537" s="41" t="s">
        <v>23</v>
      </c>
      <c r="D537" s="41" t="s">
        <v>45</v>
      </c>
      <c r="E537" s="41" t="s">
        <v>46</v>
      </c>
      <c r="F537" s="41" t="s">
        <v>25</v>
      </c>
      <c r="G537" s="41" t="s">
        <v>25</v>
      </c>
      <c r="H537" s="41" t="s">
        <v>25</v>
      </c>
      <c r="I537" s="60">
        <v>44470</v>
      </c>
      <c r="J537" s="61">
        <f>EFEITO!$J$537*EFEITO!$Y$537</f>
        <v>0</v>
      </c>
      <c r="K537" s="61">
        <f ca="1">EFEITO!$L$537*EFEITO!$Z$537</f>
        <v>23707.991400173651</v>
      </c>
      <c r="L537" s="61">
        <f>EFEITO!$N$537*EFEITO!$AA$537</f>
        <v>8163.1665083223697</v>
      </c>
      <c r="M537" s="61">
        <f>$J$537-EFEITO!$K$537*EFEITO!$Y$537</f>
        <v>0</v>
      </c>
      <c r="N537" s="61">
        <f ca="1">$K$537-EFEITO!$M$537*EFEITO!$Z$537</f>
        <v>0</v>
      </c>
      <c r="O537" s="61">
        <f>$L$537-EFEITO!$O$537*EFEITO!$AA$537</f>
        <v>0</v>
      </c>
      <c r="P537" s="45"/>
      <c r="Q537" s="45"/>
      <c r="R537" s="45"/>
      <c r="S537" s="45"/>
      <c r="T537" s="45"/>
      <c r="U537" s="45"/>
      <c r="V537" s="45"/>
      <c r="W537" s="45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ht="11.25" customHeight="1" x14ac:dyDescent="0.2">
      <c r="A538" s="41" t="s">
        <v>21</v>
      </c>
      <c r="B538" s="41" t="s">
        <v>44</v>
      </c>
      <c r="C538" s="41" t="s">
        <v>23</v>
      </c>
      <c r="D538" s="41" t="s">
        <v>45</v>
      </c>
      <c r="E538" s="41" t="s">
        <v>46</v>
      </c>
      <c r="F538" s="41" t="s">
        <v>25</v>
      </c>
      <c r="G538" s="41" t="s">
        <v>25</v>
      </c>
      <c r="H538" s="41" t="s">
        <v>25</v>
      </c>
      <c r="I538" s="60">
        <v>44501</v>
      </c>
      <c r="J538" s="61">
        <f>EFEITO!$J$538*EFEITO!$Y$538</f>
        <v>0</v>
      </c>
      <c r="K538" s="61">
        <f ca="1">EFEITO!$L$538*EFEITO!$Z$538</f>
        <v>22990.842400650479</v>
      </c>
      <c r="L538" s="61">
        <f>EFEITO!$N$538*EFEITO!$AA$538</f>
        <v>7916.236829819889</v>
      </c>
      <c r="M538" s="61">
        <f>$J$538-EFEITO!$K$538*EFEITO!$Y$538</f>
        <v>0</v>
      </c>
      <c r="N538" s="61">
        <f ca="1">$K$538-EFEITO!$M$538*EFEITO!$Z$538</f>
        <v>0</v>
      </c>
      <c r="O538" s="61">
        <f>$L$538-EFEITO!$O$538*EFEITO!$AA$538</f>
        <v>0</v>
      </c>
      <c r="P538" s="45"/>
      <c r="Q538" s="45"/>
      <c r="R538" s="45"/>
      <c r="S538" s="45"/>
      <c r="T538" s="45"/>
      <c r="U538" s="45"/>
      <c r="V538" s="45"/>
      <c r="W538" s="45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ht="11.25" customHeight="1" x14ac:dyDescent="0.2">
      <c r="A539" s="41" t="s">
        <v>21</v>
      </c>
      <c r="B539" s="41" t="s">
        <v>44</v>
      </c>
      <c r="C539" s="41" t="s">
        <v>23</v>
      </c>
      <c r="D539" s="41" t="s">
        <v>45</v>
      </c>
      <c r="E539" s="41" t="s">
        <v>46</v>
      </c>
      <c r="F539" s="41" t="s">
        <v>25</v>
      </c>
      <c r="G539" s="41" t="s">
        <v>25</v>
      </c>
      <c r="H539" s="41" t="s">
        <v>25</v>
      </c>
      <c r="I539" s="60">
        <v>44531</v>
      </c>
      <c r="J539" s="61">
        <f>EFEITO!$J$539*EFEITO!$Y$539</f>
        <v>0</v>
      </c>
      <c r="K539" s="61">
        <f ca="1">EFEITO!$L$539*EFEITO!$Z$539</f>
        <v>26732.325534765245</v>
      </c>
      <c r="L539" s="61">
        <f>EFEITO!$N$539*EFEITO!$AA$539</f>
        <v>9204.5091805359825</v>
      </c>
      <c r="M539" s="61">
        <f>$J$539-EFEITO!$K$539*EFEITO!$Y$539</f>
        <v>0</v>
      </c>
      <c r="N539" s="61">
        <f ca="1">$K$539-EFEITO!$M$539*EFEITO!$Z$539</f>
        <v>0</v>
      </c>
      <c r="O539" s="61">
        <f>$L$539-EFEITO!$O$539*EFEITO!$AA$539</f>
        <v>0</v>
      </c>
      <c r="P539" s="45"/>
      <c r="Q539" s="45"/>
      <c r="R539" s="45"/>
      <c r="S539" s="45"/>
      <c r="T539" s="45"/>
      <c r="U539" s="45"/>
      <c r="V539" s="45"/>
      <c r="W539" s="45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ht="11.25" customHeight="1" x14ac:dyDescent="0.2">
      <c r="A540" s="41" t="s">
        <v>21</v>
      </c>
      <c r="B540" s="41" t="s">
        <v>44</v>
      </c>
      <c r="C540" s="41" t="s">
        <v>23</v>
      </c>
      <c r="D540" s="41" t="s">
        <v>45</v>
      </c>
      <c r="E540" s="41" t="s">
        <v>46</v>
      </c>
      <c r="F540" s="41" t="s">
        <v>25</v>
      </c>
      <c r="G540" s="41" t="s">
        <v>25</v>
      </c>
      <c r="H540" s="41" t="s">
        <v>25</v>
      </c>
      <c r="I540" s="60">
        <v>44562</v>
      </c>
      <c r="J540" s="61">
        <f>EFEITO!$J$540*EFEITO!$Y$540</f>
        <v>0</v>
      </c>
      <c r="K540" s="61">
        <f ca="1">EFEITO!$L$540*EFEITO!$Z$540</f>
        <v>24161.390329819649</v>
      </c>
      <c r="L540" s="61">
        <f>EFEITO!$N$540*EFEITO!$AA$540</f>
        <v>8319.2814188992452</v>
      </c>
      <c r="M540" s="61">
        <f>$J$540-EFEITO!$K$540*EFEITO!$Y$540</f>
        <v>0</v>
      </c>
      <c r="N540" s="61">
        <f ca="1">$K$540-EFEITO!$M$540*EFEITO!$Z$540</f>
        <v>0</v>
      </c>
      <c r="O540" s="61">
        <f>$L$540-EFEITO!$O$540*EFEITO!$AA$540</f>
        <v>0</v>
      </c>
      <c r="P540" s="45"/>
      <c r="Q540" s="45"/>
      <c r="R540" s="45"/>
      <c r="S540" s="45"/>
      <c r="T540" s="45"/>
      <c r="U540" s="45"/>
      <c r="V540" s="45"/>
      <c r="W540" s="45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ht="11.25" customHeight="1" x14ac:dyDescent="0.2">
      <c r="A541" s="41" t="s">
        <v>21</v>
      </c>
      <c r="B541" s="41" t="s">
        <v>44</v>
      </c>
      <c r="C541" s="41" t="s">
        <v>23</v>
      </c>
      <c r="D541" s="41" t="s">
        <v>45</v>
      </c>
      <c r="E541" s="41" t="s">
        <v>46</v>
      </c>
      <c r="F541" s="41" t="s">
        <v>25</v>
      </c>
      <c r="G541" s="41" t="s">
        <v>25</v>
      </c>
      <c r="H541" s="41" t="s">
        <v>25</v>
      </c>
      <c r="I541" s="60">
        <v>44593</v>
      </c>
      <c r="J541" s="61">
        <f>EFEITO!$J$541*EFEITO!$Y$541</f>
        <v>0</v>
      </c>
      <c r="K541" s="61">
        <f ca="1">EFEITO!$L$541*EFEITO!$Z$541</f>
        <v>23781.464633925149</v>
      </c>
      <c r="L541" s="61">
        <f>EFEITO!$N$541*EFEITO!$AA$541</f>
        <v>8188.464907958788</v>
      </c>
      <c r="M541" s="61">
        <f>$J$541-EFEITO!$K$541*EFEITO!$Y$541</f>
        <v>0</v>
      </c>
      <c r="N541" s="61">
        <f ca="1">$K$541-EFEITO!$M$541*EFEITO!$Z$541</f>
        <v>0</v>
      </c>
      <c r="O541" s="61">
        <f>$L$541-EFEITO!$O$541*EFEITO!$AA$541</f>
        <v>0</v>
      </c>
      <c r="P541" s="45"/>
      <c r="Q541" s="45"/>
      <c r="R541" s="45"/>
      <c r="S541" s="45"/>
      <c r="T541" s="45"/>
      <c r="U541" s="45"/>
      <c r="V541" s="45"/>
      <c r="W541" s="45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 ht="11.25" customHeight="1" x14ac:dyDescent="0.2">
      <c r="A542" s="41" t="s">
        <v>21</v>
      </c>
      <c r="B542" s="41" t="s">
        <v>44</v>
      </c>
      <c r="C542" s="41" t="s">
        <v>23</v>
      </c>
      <c r="D542" s="41" t="s">
        <v>45</v>
      </c>
      <c r="E542" s="41" t="s">
        <v>46</v>
      </c>
      <c r="F542" s="41" t="s">
        <v>25</v>
      </c>
      <c r="G542" s="41" t="s">
        <v>25</v>
      </c>
      <c r="H542" s="41" t="s">
        <v>25</v>
      </c>
      <c r="I542" s="60">
        <v>44621</v>
      </c>
      <c r="J542" s="61">
        <f>EFEITO!$J$542*EFEITO!$Y$542</f>
        <v>0</v>
      </c>
      <c r="K542" s="61">
        <f ca="1">EFEITO!$L$542*EFEITO!$Z$542</f>
        <v>23664.975019729398</v>
      </c>
      <c r="L542" s="61">
        <f>EFEITO!$N$542*EFEITO!$AA$542</f>
        <v>8148.355052124979</v>
      </c>
      <c r="M542" s="61">
        <f>$J$542-EFEITO!$K$542*EFEITO!$Y$542</f>
        <v>0</v>
      </c>
      <c r="N542" s="61">
        <f ca="1">$K$542-EFEITO!$M$542*EFEITO!$Z$542</f>
        <v>0</v>
      </c>
      <c r="O542" s="61">
        <f>$L$542-EFEITO!$O$542*EFEITO!$AA$542</f>
        <v>0</v>
      </c>
      <c r="P542" s="45"/>
      <c r="Q542" s="45"/>
      <c r="R542" s="45"/>
      <c r="S542" s="45"/>
      <c r="T542" s="45"/>
      <c r="U542" s="45"/>
      <c r="V542" s="45"/>
      <c r="W542" s="45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 ht="11.25" customHeight="1" x14ac:dyDescent="0.2">
      <c r="A543" s="41" t="s">
        <v>21</v>
      </c>
      <c r="B543" s="41" t="s">
        <v>44</v>
      </c>
      <c r="C543" s="41" t="s">
        <v>23</v>
      </c>
      <c r="D543" s="41" t="s">
        <v>45</v>
      </c>
      <c r="E543" s="41" t="s">
        <v>46</v>
      </c>
      <c r="F543" s="41" t="s">
        <v>25</v>
      </c>
      <c r="G543" s="41" t="s">
        <v>25</v>
      </c>
      <c r="H543" s="41" t="s">
        <v>25</v>
      </c>
      <c r="I543" s="60">
        <v>44652</v>
      </c>
      <c r="J543" s="61">
        <f>EFEITO!$J$543*EFEITO!$Y$543</f>
        <v>0</v>
      </c>
      <c r="K543" s="61">
        <f ca="1">EFEITO!$L$543*EFEITO!$Z$543</f>
        <v>23078.759090609536</v>
      </c>
      <c r="L543" s="61">
        <f>EFEITO!$N$543*EFEITO!$AA$543</f>
        <v>7946.5084191284241</v>
      </c>
      <c r="M543" s="61">
        <f>$J$543-EFEITO!$K$543*EFEITO!$Y$543</f>
        <v>0</v>
      </c>
      <c r="N543" s="61">
        <f ca="1">$K$543-EFEITO!$M$543*EFEITO!$Z$543</f>
        <v>0</v>
      </c>
      <c r="O543" s="61">
        <f>$L$543-EFEITO!$O$543*EFEITO!$AA$543</f>
        <v>0</v>
      </c>
      <c r="P543" s="45"/>
      <c r="Q543" s="45"/>
      <c r="R543" s="45"/>
      <c r="S543" s="45"/>
      <c r="T543" s="45"/>
      <c r="U543" s="45"/>
      <c r="V543" s="45"/>
      <c r="W543" s="45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 ht="11.25" customHeight="1" x14ac:dyDescent="0.2">
      <c r="A544" s="41" t="s">
        <v>21</v>
      </c>
      <c r="B544" s="41" t="s">
        <v>44</v>
      </c>
      <c r="C544" s="41" t="s">
        <v>23</v>
      </c>
      <c r="D544" s="41" t="s">
        <v>45</v>
      </c>
      <c r="E544" s="41" t="s">
        <v>46</v>
      </c>
      <c r="F544" s="41" t="s">
        <v>25</v>
      </c>
      <c r="G544" s="41" t="s">
        <v>25</v>
      </c>
      <c r="H544" s="41" t="s">
        <v>25</v>
      </c>
      <c r="I544" s="60">
        <v>44682</v>
      </c>
      <c r="J544" s="61">
        <f>EFEITO!$J$544*EFEITO!$Y$544</f>
        <v>0</v>
      </c>
      <c r="K544" s="61">
        <f ca="1">EFEITO!$L$544*EFEITO!$Z$544</f>
        <v>23856.507808568775</v>
      </c>
      <c r="L544" s="61">
        <f>EFEITO!$N$544*EFEITO!$AA$544</f>
        <v>8214.3038716900028</v>
      </c>
      <c r="M544" s="61">
        <f>$J$544-EFEITO!$K$544*EFEITO!$Y$544</f>
        <v>0</v>
      </c>
      <c r="N544" s="61">
        <f ca="1">$K$544-EFEITO!$M$544*EFEITO!$Z$544</f>
        <v>0</v>
      </c>
      <c r="O544" s="61">
        <f>$L$544-EFEITO!$O$544*EFEITO!$AA$544</f>
        <v>0</v>
      </c>
      <c r="P544" s="45"/>
      <c r="Q544" s="45"/>
      <c r="R544" s="45"/>
      <c r="S544" s="45"/>
      <c r="T544" s="45"/>
      <c r="U544" s="45"/>
      <c r="V544" s="45"/>
      <c r="W544" s="45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 ht="11.25" customHeight="1" x14ac:dyDescent="0.2">
      <c r="A545" s="41" t="s">
        <v>21</v>
      </c>
      <c r="B545" s="41" t="s">
        <v>44</v>
      </c>
      <c r="C545" s="41" t="s">
        <v>23</v>
      </c>
      <c r="D545" s="41" t="s">
        <v>45</v>
      </c>
      <c r="E545" s="41" t="s">
        <v>46</v>
      </c>
      <c r="F545" s="41" t="s">
        <v>25</v>
      </c>
      <c r="G545" s="41" t="s">
        <v>25</v>
      </c>
      <c r="H545" s="41" t="s">
        <v>25</v>
      </c>
      <c r="I545" s="60">
        <v>44713</v>
      </c>
      <c r="J545" s="61">
        <f>EFEITO!$J$545*EFEITO!$Y$545</f>
        <v>0</v>
      </c>
      <c r="K545" s="61">
        <f ca="1">EFEITO!$L$545*EFEITO!$Z$545</f>
        <v>23673.452700546881</v>
      </c>
      <c r="L545" s="61">
        <f>EFEITO!$N$545*EFEITO!$AA$545</f>
        <v>8151.2740982368741</v>
      </c>
      <c r="M545" s="61">
        <f>$J$545-EFEITO!$K$545*EFEITO!$Y$545</f>
        <v>0</v>
      </c>
      <c r="N545" s="61">
        <f ca="1">$K$545-EFEITO!$M$545*EFEITO!$Z$545</f>
        <v>0</v>
      </c>
      <c r="O545" s="61">
        <f>$L$545-EFEITO!$O$545*EFEITO!$AA$545</f>
        <v>0</v>
      </c>
      <c r="P545" s="45"/>
      <c r="Q545" s="45"/>
      <c r="R545" s="45"/>
      <c r="S545" s="45"/>
      <c r="T545" s="45"/>
      <c r="U545" s="45"/>
      <c r="V545" s="45"/>
      <c r="W545" s="45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C0FE-17C9-40BB-A019-80544002EE77}">
  <dimension ref="A1:BD103"/>
  <sheetViews>
    <sheetView showGridLines="0" topLeftCell="D45" workbookViewId="0">
      <selection activeCell="L53" sqref="L53:BD103"/>
    </sheetView>
  </sheetViews>
  <sheetFormatPr defaultRowHeight="11.25" customHeight="1" x14ac:dyDescent="0.25"/>
  <cols>
    <col min="1" max="1" width="9.28515625" style="9" bestFit="1" customWidth="1"/>
    <col min="2" max="2" width="23.42578125" style="9" bestFit="1" customWidth="1"/>
    <col min="3" max="3" width="33" style="9" bestFit="1" customWidth="1"/>
    <col min="4" max="4" width="56.140625" style="9" bestFit="1" customWidth="1"/>
    <col min="5" max="5" width="65.7109375" style="9" bestFit="1" customWidth="1"/>
    <col min="6" max="6" width="75.42578125" style="9" bestFit="1" customWidth="1"/>
    <col min="7" max="7" width="7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7.42578125" style="9" bestFit="1" customWidth="1"/>
    <col min="21" max="21" width="7.28515625" style="9" bestFit="1" customWidth="1"/>
    <col min="22" max="23" width="9.85546875" style="9" bestFit="1" customWidth="1"/>
    <col min="24" max="24" width="10" style="9" bestFit="1" customWidth="1"/>
    <col min="25" max="25" width="7.7109375" style="9" bestFit="1" customWidth="1"/>
    <col min="26" max="26" width="9.85546875" style="9" bestFit="1" customWidth="1"/>
    <col min="27" max="27" width="11.7109375" style="9" bestFit="1" customWidth="1"/>
    <col min="28" max="28" width="8" style="9" bestFit="1" customWidth="1"/>
    <col min="29" max="29" width="7.28515625" style="9" bestFit="1" customWidth="1"/>
    <col min="30" max="30" width="15.28515625" style="9" bestFit="1" customWidth="1"/>
    <col min="31" max="31" width="18" style="9" bestFit="1" customWidth="1"/>
    <col min="32" max="32" width="19.140625" style="9" bestFit="1" customWidth="1"/>
    <col min="33" max="33" width="4" style="9" bestFit="1" customWidth="1"/>
    <col min="34" max="34" width="9.140625" style="9"/>
    <col min="35" max="35" width="13.42578125" style="9" bestFit="1" customWidth="1"/>
    <col min="36" max="36" width="7.85546875" style="9" bestFit="1" customWidth="1"/>
    <col min="37" max="38" width="4.140625" style="9" bestFit="1" customWidth="1"/>
    <col min="39" max="39" width="4.42578125" style="9" bestFit="1" customWidth="1"/>
    <col min="40" max="40" width="10" style="9" bestFit="1" customWidth="1"/>
    <col min="41" max="42" width="8.7109375" style="9" bestFit="1" customWidth="1"/>
    <col min="43" max="43" width="7.42578125" style="9" bestFit="1" customWidth="1"/>
    <col min="44" max="44" width="7.28515625" style="9" bestFit="1" customWidth="1"/>
    <col min="45" max="46" width="9.85546875" style="9" bestFit="1" customWidth="1"/>
    <col min="47" max="47" width="10" style="9" bestFit="1" customWidth="1"/>
    <col min="48" max="48" width="7.7109375" style="9" bestFit="1" customWidth="1"/>
    <col min="49" max="49" width="9.85546875" style="9" bestFit="1" customWidth="1"/>
    <col min="50" max="50" width="11.7109375" style="9" bestFit="1" customWidth="1"/>
    <col min="51" max="51" width="8" style="9" bestFit="1" customWidth="1"/>
    <col min="52" max="52" width="7.28515625" style="9" bestFit="1" customWidth="1"/>
    <col min="53" max="53" width="15.28515625" style="9" bestFit="1" customWidth="1"/>
    <col min="54" max="54" width="18" style="9" bestFit="1" customWidth="1"/>
    <col min="55" max="55" width="19.140625" style="9" bestFit="1" customWidth="1"/>
    <col min="56" max="56" width="4" style="9" bestFit="1" customWidth="1"/>
    <col min="57" max="16384" width="9.140625" style="9"/>
  </cols>
  <sheetData>
    <row r="1" spans="1:56" ht="11.25" customHeight="1" x14ac:dyDescent="0.25">
      <c r="A1" s="110" t="s">
        <v>63</v>
      </c>
      <c r="B1" s="110" t="s">
        <v>64</v>
      </c>
      <c r="C1" s="110" t="s">
        <v>65</v>
      </c>
      <c r="D1" s="110" t="s">
        <v>66</v>
      </c>
      <c r="E1" s="110" t="s">
        <v>67</v>
      </c>
      <c r="F1" s="110" t="s">
        <v>15</v>
      </c>
      <c r="G1" s="110" t="s">
        <v>69</v>
      </c>
      <c r="H1" s="110" t="s">
        <v>70</v>
      </c>
      <c r="I1" s="110" t="s">
        <v>488</v>
      </c>
      <c r="J1" s="98"/>
      <c r="L1" s="111" t="s">
        <v>686</v>
      </c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I1" s="111" t="s">
        <v>687</v>
      </c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</row>
    <row r="2" spans="1:56" ht="11.25" customHeight="1" x14ac:dyDescent="0.25">
      <c r="A2" s="110"/>
      <c r="B2" s="110"/>
      <c r="C2" s="110"/>
      <c r="D2" s="110"/>
      <c r="E2" s="110"/>
      <c r="F2" s="110"/>
      <c r="G2" s="110"/>
      <c r="H2" s="110"/>
      <c r="I2" s="110"/>
      <c r="J2" s="98"/>
      <c r="L2" s="111" t="s">
        <v>387</v>
      </c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I2" s="111" t="s">
        <v>387</v>
      </c>
      <c r="AJ2" s="111"/>
      <c r="AK2" s="111"/>
      <c r="AL2" s="111"/>
      <c r="AM2" s="111"/>
      <c r="AN2" s="111"/>
      <c r="AO2" s="111"/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1"/>
      <c r="BA2" s="111"/>
      <c r="BB2" s="111"/>
      <c r="BC2" s="111"/>
      <c r="BD2" s="111"/>
    </row>
    <row r="3" spans="1:56" ht="11.25" customHeight="1" x14ac:dyDescent="0.25">
      <c r="A3" s="110"/>
      <c r="B3" s="110"/>
      <c r="C3" s="110"/>
      <c r="D3" s="110"/>
      <c r="E3" s="110"/>
      <c r="F3" s="110"/>
      <c r="G3" s="110"/>
      <c r="H3" s="110"/>
      <c r="I3" s="110"/>
      <c r="J3" s="98"/>
      <c r="L3" s="111" t="s">
        <v>388</v>
      </c>
      <c r="M3" s="111"/>
      <c r="N3" s="111"/>
      <c r="O3" s="111"/>
      <c r="P3" s="111"/>
      <c r="Q3" s="111"/>
      <c r="R3" s="111"/>
      <c r="S3" s="111"/>
      <c r="T3" s="111" t="s">
        <v>397</v>
      </c>
      <c r="U3" s="111"/>
      <c r="V3" s="111"/>
      <c r="W3" s="111"/>
      <c r="X3" s="111"/>
      <c r="Y3" s="111"/>
      <c r="Z3" s="111"/>
      <c r="AA3" s="10" t="s">
        <v>405</v>
      </c>
      <c r="AB3" s="111" t="s">
        <v>407</v>
      </c>
      <c r="AC3" s="111"/>
      <c r="AD3" s="111" t="s">
        <v>410</v>
      </c>
      <c r="AE3" s="111"/>
      <c r="AF3" s="111"/>
      <c r="AG3" s="111"/>
      <c r="AI3" s="111" t="s">
        <v>388</v>
      </c>
      <c r="AJ3" s="111"/>
      <c r="AK3" s="111"/>
      <c r="AL3" s="111"/>
      <c r="AM3" s="111"/>
      <c r="AN3" s="111"/>
      <c r="AO3" s="111"/>
      <c r="AP3" s="111"/>
      <c r="AQ3" s="111" t="s">
        <v>397</v>
      </c>
      <c r="AR3" s="111"/>
      <c r="AS3" s="111"/>
      <c r="AT3" s="111"/>
      <c r="AU3" s="111"/>
      <c r="AV3" s="111"/>
      <c r="AW3" s="111"/>
      <c r="AX3" s="10" t="s">
        <v>405</v>
      </c>
      <c r="AY3" s="111" t="s">
        <v>407</v>
      </c>
      <c r="AZ3" s="111"/>
      <c r="BA3" s="111" t="s">
        <v>410</v>
      </c>
      <c r="BB3" s="111"/>
      <c r="BC3" s="111"/>
      <c r="BD3" s="111"/>
    </row>
    <row r="4" spans="1:56" ht="11.25" customHeight="1" x14ac:dyDescent="0.25">
      <c r="A4" s="110"/>
      <c r="B4" s="110"/>
      <c r="C4" s="110"/>
      <c r="D4" s="110"/>
      <c r="E4" s="110"/>
      <c r="F4" s="110"/>
      <c r="G4" s="110"/>
      <c r="H4" s="110"/>
      <c r="I4" s="110"/>
      <c r="J4" s="98"/>
      <c r="L4" s="10" t="s">
        <v>473</v>
      </c>
      <c r="M4" s="10" t="s">
        <v>389</v>
      </c>
      <c r="N4" s="10" t="s">
        <v>390</v>
      </c>
      <c r="O4" s="10" t="s">
        <v>391</v>
      </c>
      <c r="P4" s="10" t="s">
        <v>392</v>
      </c>
      <c r="Q4" s="10" t="s">
        <v>393</v>
      </c>
      <c r="R4" s="10" t="s">
        <v>394</v>
      </c>
      <c r="S4" s="10" t="s">
        <v>395</v>
      </c>
      <c r="T4" s="10" t="s">
        <v>398</v>
      </c>
      <c r="U4" s="10" t="s">
        <v>399</v>
      </c>
      <c r="V4" s="10" t="s">
        <v>400</v>
      </c>
      <c r="W4" s="10" t="s">
        <v>401</v>
      </c>
      <c r="X4" s="10" t="s">
        <v>402</v>
      </c>
      <c r="Y4" s="10" t="s">
        <v>403</v>
      </c>
      <c r="Z4" s="10" t="s">
        <v>404</v>
      </c>
      <c r="AA4" s="10" t="s">
        <v>406</v>
      </c>
      <c r="AB4" s="10" t="s">
        <v>408</v>
      </c>
      <c r="AC4" s="10" t="s">
        <v>409</v>
      </c>
      <c r="AD4" s="10" t="s">
        <v>411</v>
      </c>
      <c r="AE4" s="10" t="s">
        <v>412</v>
      </c>
      <c r="AF4" s="10" t="s">
        <v>413</v>
      </c>
      <c r="AG4" s="10" t="s">
        <v>414</v>
      </c>
      <c r="AI4" s="10" t="s">
        <v>473</v>
      </c>
      <c r="AJ4" s="10" t="s">
        <v>389</v>
      </c>
      <c r="AK4" s="10" t="s">
        <v>390</v>
      </c>
      <c r="AL4" s="10" t="s">
        <v>391</v>
      </c>
      <c r="AM4" s="10" t="s">
        <v>392</v>
      </c>
      <c r="AN4" s="10" t="s">
        <v>393</v>
      </c>
      <c r="AO4" s="10" t="s">
        <v>394</v>
      </c>
      <c r="AP4" s="10" t="s">
        <v>395</v>
      </c>
      <c r="AQ4" s="10" t="s">
        <v>398</v>
      </c>
      <c r="AR4" s="10" t="s">
        <v>399</v>
      </c>
      <c r="AS4" s="10" t="s">
        <v>400</v>
      </c>
      <c r="AT4" s="10" t="s">
        <v>401</v>
      </c>
      <c r="AU4" s="10" t="s">
        <v>402</v>
      </c>
      <c r="AV4" s="10" t="s">
        <v>403</v>
      </c>
      <c r="AW4" s="10" t="s">
        <v>404</v>
      </c>
      <c r="AX4" s="10" t="s">
        <v>406</v>
      </c>
      <c r="AY4" s="10" t="s">
        <v>408</v>
      </c>
      <c r="AZ4" s="10" t="s">
        <v>409</v>
      </c>
      <c r="BA4" s="10" t="s">
        <v>411</v>
      </c>
      <c r="BB4" s="10" t="s">
        <v>412</v>
      </c>
      <c r="BC4" s="10" t="s">
        <v>413</v>
      </c>
      <c r="BD4" s="10" t="s">
        <v>414</v>
      </c>
    </row>
    <row r="5" spans="1:56" ht="11.25" customHeight="1" x14ac:dyDescent="0.25">
      <c r="A5" s="109" t="s">
        <v>35</v>
      </c>
      <c r="B5" s="109" t="s">
        <v>36</v>
      </c>
      <c r="C5" s="109" t="s">
        <v>25</v>
      </c>
      <c r="D5" s="109" t="s">
        <v>25</v>
      </c>
      <c r="E5" s="109" t="s">
        <v>25</v>
      </c>
      <c r="F5" s="109" t="s">
        <v>25</v>
      </c>
      <c r="G5" s="24" t="s">
        <v>79</v>
      </c>
      <c r="H5" s="24" t="s">
        <v>78</v>
      </c>
      <c r="I5" s="24">
        <f>'MERCADO TUSD'!$U$2</f>
        <v>60365</v>
      </c>
      <c r="J5" s="15"/>
      <c r="L5" s="13">
        <f>('TUSD BE'!$L$5+'TUSD BF'!$L$5+'TUSD CVA'!$L$5)*1</f>
        <v>0</v>
      </c>
      <c r="M5" s="13">
        <f>('TUSD BE'!$M$5+'TUSD BF'!$M$5+'TUSD CVA'!$M$5)*1</f>
        <v>0</v>
      </c>
      <c r="N5" s="13">
        <f ca="1">('TUSD BE'!$N$5+'TUSD BF'!$N$5+'TUSD CVA'!$N$5)*1</f>
        <v>0</v>
      </c>
      <c r="O5" s="13">
        <f>('TUSD BE'!$O$5+'TUSD BF'!$O$5+'TUSD CVA'!$O$5)*1</f>
        <v>0</v>
      </c>
      <c r="P5" s="13">
        <f>('TUSD BE'!$P$5+'TUSD BF'!$P$5+'TUSD CVA'!$P$5)*1</f>
        <v>0</v>
      </c>
      <c r="Q5" s="13">
        <f>('TUSD BE'!$Q$5+'TUSD BF'!$Q$5+'TUSD CVA'!$Q$5)*1</f>
        <v>0</v>
      </c>
      <c r="R5" s="13">
        <f>('TUSD BE'!$R$5+'TUSD BF'!$R$5+'TUSD CVA'!$R$5)*1</f>
        <v>0</v>
      </c>
      <c r="S5" s="13">
        <f>('TUSD BE'!$S$5+'TUSD BF'!$S$5+'TUSD CVA'!$S$5)*1</f>
        <v>0</v>
      </c>
      <c r="T5" s="13">
        <f>('TUSD BE'!$U$5+'TUSD BF'!$U$5+'TUSD CVA'!$U$5)*1</f>
        <v>0</v>
      </c>
      <c r="U5" s="13">
        <f>('TUSD BE'!$V$5+'TUSD BF'!$V$5+'TUSD CVA'!$V$5)*1</f>
        <v>0</v>
      </c>
      <c r="V5" s="13">
        <f>('TUSD BE'!$W$5+'TUSD BF'!$W$5+'TUSD CVA'!$W$5)*1</f>
        <v>0</v>
      </c>
      <c r="W5" s="13">
        <f>('TUSD BE'!$X$5+'TUSD BF'!$X$5+'TUSD CVA'!$X$5)*1</f>
        <v>0</v>
      </c>
      <c r="X5" s="13">
        <f>('TUSD BE'!$Y$5+'TUSD BF'!$Y$5+'TUSD CVA'!$Y$5)*1</f>
        <v>43.558789554161493</v>
      </c>
      <c r="Y5" s="13">
        <f>('TUSD BE'!$Z$5+'TUSD BF'!$Z$5+'TUSD CVA'!$Z$5)*1</f>
        <v>0</v>
      </c>
      <c r="Z5" s="13">
        <f>('TUSD BE'!$AA$5+'TUSD BF'!$AA$5+'TUSD CVA'!$AA$5)*1</f>
        <v>0</v>
      </c>
      <c r="AA5" s="13">
        <f>('TUSD BE'!$AC$5+'TUSD BF'!$AC$5+'TUSD CVA'!$AC$5)*1</f>
        <v>47.398389707182297</v>
      </c>
      <c r="AB5" s="13">
        <f ca="1">('TUSD BE'!$AE$5+'TUSD BF'!$AE$5+'TUSD CVA'!$AE$5)*1</f>
        <v>0</v>
      </c>
      <c r="AC5" s="13">
        <f ca="1">('TUSD BE'!$AF$5+'TUSD BF'!$AF$5+'TUSD CVA'!$AF$5)*1</f>
        <v>0</v>
      </c>
      <c r="AD5" s="13">
        <f>('TUSD BE'!$AH$5+'TUSD BF'!$AH$5+'TUSD CVA'!$AH$5)*1</f>
        <v>0</v>
      </c>
      <c r="AE5" s="13">
        <f>('TUSD BE'!$AI$5+'TUSD BF'!$AI$5+'TUSD CVA'!$AI$5)*1</f>
        <v>0</v>
      </c>
      <c r="AF5" s="13">
        <f ca="1">('TUSD BE'!$AJ$5+'TUSD BF'!$AJ$5+'TUSD CVA'!$AJ$5)*1</f>
        <v>0</v>
      </c>
      <c r="AG5" s="13">
        <f ca="1">('TUSD BE'!$AK$5+'TUSD BF'!$AK$5+'TUSD CVA'!$AK$5)*1</f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27.456895747800601</v>
      </c>
      <c r="AV5" s="13">
        <v>0</v>
      </c>
      <c r="AW5" s="13">
        <v>0</v>
      </c>
      <c r="AX5" s="13">
        <v>57.650646233033399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</row>
    <row r="6" spans="1:56" ht="11.25" customHeight="1" x14ac:dyDescent="0.25">
      <c r="A6" s="109"/>
      <c r="B6" s="109"/>
      <c r="C6" s="109"/>
      <c r="D6" s="109"/>
      <c r="E6" s="109"/>
      <c r="F6" s="109"/>
      <c r="G6" s="24" t="s">
        <v>80</v>
      </c>
      <c r="H6" s="24" t="s">
        <v>78</v>
      </c>
      <c r="I6" s="24">
        <f>'MERCADO TUSD'!$U$3</f>
        <v>65979</v>
      </c>
      <c r="J6" s="15"/>
      <c r="L6" s="13">
        <f>('TUSD BE'!$L$6+'TUSD BF'!$L$6+'TUSD CVA'!$L$6)*1</f>
        <v>0</v>
      </c>
      <c r="M6" s="13">
        <f>('TUSD BE'!$M$6+'TUSD BF'!$M$6+'TUSD CVA'!$M$6)*1</f>
        <v>0</v>
      </c>
      <c r="N6" s="13">
        <f ca="1">('TUSD BE'!$N$6+'TUSD BF'!$N$6+'TUSD CVA'!$N$6)*1</f>
        <v>0</v>
      </c>
      <c r="O6" s="13">
        <f>('TUSD BE'!$O$6+'TUSD BF'!$O$6+'TUSD CVA'!$O$6)*1</f>
        <v>0</v>
      </c>
      <c r="P6" s="13">
        <f>('TUSD BE'!$P$6+'TUSD BF'!$P$6+'TUSD CVA'!$P$6)*1</f>
        <v>0</v>
      </c>
      <c r="Q6" s="13">
        <f>('TUSD BE'!$Q$6+'TUSD BF'!$Q$6+'TUSD CVA'!$Q$6)*1</f>
        <v>0</v>
      </c>
      <c r="R6" s="13">
        <f>('TUSD BE'!$R$6+'TUSD BF'!$R$6+'TUSD CVA'!$R$6)*1</f>
        <v>0</v>
      </c>
      <c r="S6" s="13">
        <f>('TUSD BE'!$S$6+'TUSD BF'!$S$6+'TUSD CVA'!$S$6)*1</f>
        <v>0</v>
      </c>
      <c r="T6" s="13">
        <f>('TUSD BE'!$U$6+'TUSD BF'!$U$6+'TUSD CVA'!$U$6)*1</f>
        <v>0</v>
      </c>
      <c r="U6" s="13">
        <f>('TUSD BE'!$V$6+'TUSD BF'!$V$6+'TUSD CVA'!$V$6)*1</f>
        <v>0</v>
      </c>
      <c r="V6" s="13">
        <f>('TUSD BE'!$W$6+'TUSD BF'!$W$6+'TUSD CVA'!$W$6)*1</f>
        <v>0</v>
      </c>
      <c r="W6" s="13">
        <f>('TUSD BE'!$X$6+'TUSD BF'!$X$6+'TUSD CVA'!$X$6)*1</f>
        <v>0</v>
      </c>
      <c r="X6" s="13">
        <f>('TUSD BE'!$Y$6+'TUSD BF'!$Y$6+'TUSD CVA'!$Y$6)*1</f>
        <v>23.000334583566513</v>
      </c>
      <c r="Y6" s="13">
        <f>('TUSD BE'!$Z$6+'TUSD BF'!$Z$6+'TUSD CVA'!$Z$6)*1</f>
        <v>0</v>
      </c>
      <c r="Z6" s="13">
        <f>('TUSD BE'!$AA$6+'TUSD BF'!$AA$6+'TUSD CVA'!$AA$6)*1</f>
        <v>0</v>
      </c>
      <c r="AA6" s="13">
        <f>('TUSD BE'!$AC$6+'TUSD BF'!$AC$6+'TUSD CVA'!$AC$6)*1</f>
        <v>21.254878962819301</v>
      </c>
      <c r="AB6" s="13">
        <f ca="1">('TUSD BE'!$AE$6+'TUSD BF'!$AE$6+'TUSD CVA'!$AE$6)*1</f>
        <v>0</v>
      </c>
      <c r="AC6" s="13">
        <f ca="1">('TUSD BE'!$AF$6+'TUSD BF'!$AF$6+'TUSD CVA'!$AF$6)*1</f>
        <v>0</v>
      </c>
      <c r="AD6" s="13">
        <f>('TUSD BE'!$AH$6+'TUSD BF'!$AH$6+'TUSD CVA'!$AH$6)*1</f>
        <v>0</v>
      </c>
      <c r="AE6" s="13">
        <f>('TUSD BE'!$AI$6+'TUSD BF'!$AI$6+'TUSD CVA'!$AI$6)*1</f>
        <v>0</v>
      </c>
      <c r="AF6" s="13">
        <f ca="1">('TUSD BE'!$AJ$6+'TUSD BF'!$AJ$6+'TUSD CVA'!$AJ$6)*1</f>
        <v>0</v>
      </c>
      <c r="AG6" s="13">
        <f ca="1">('TUSD BE'!$AK$6+'TUSD BF'!$AK$6+'TUSD CVA'!$AK$6)*1</f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25.594914315629101</v>
      </c>
      <c r="AV6" s="13">
        <v>0</v>
      </c>
      <c r="AW6" s="13">
        <v>0</v>
      </c>
      <c r="AX6" s="13">
        <v>12.9297730659877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</row>
    <row r="7" spans="1:56" ht="11.25" customHeight="1" x14ac:dyDescent="0.25">
      <c r="A7" s="109"/>
      <c r="B7" s="109"/>
      <c r="C7" s="109"/>
      <c r="D7" s="109"/>
      <c r="E7" s="109"/>
      <c r="F7" s="109"/>
      <c r="G7" s="24" t="s">
        <v>77</v>
      </c>
      <c r="H7" s="24" t="s">
        <v>73</v>
      </c>
      <c r="I7" s="24">
        <f>'MERCADO TUSD'!$U$4</f>
        <v>25979.914000000001</v>
      </c>
      <c r="J7" s="15"/>
      <c r="L7" s="13">
        <f>('TUSD BE'!$L$7+'TUSD BF'!$L$7+'TUSD CVA'!$L$7)*1</f>
        <v>0</v>
      </c>
      <c r="M7" s="13">
        <f>('TUSD BE'!$M$7+'TUSD BF'!$M$7+'TUSD CVA'!$M$7)*1</f>
        <v>1.1245487413081925</v>
      </c>
      <c r="N7" s="13">
        <f ca="1">('TUSD BE'!$N$7+'TUSD BF'!$N$7+'TUSD CVA'!$N$7)*1</f>
        <v>0</v>
      </c>
      <c r="O7" s="13">
        <f>('TUSD BE'!$O$7+'TUSD BF'!$O$7+'TUSD CVA'!$O$7)*1</f>
        <v>0</v>
      </c>
      <c r="P7" s="13">
        <f>('TUSD BE'!$P$7+'TUSD BF'!$P$7+'TUSD CVA'!$P$7)*1</f>
        <v>0</v>
      </c>
      <c r="Q7" s="13">
        <f>('TUSD BE'!$Q$7+'TUSD BF'!$Q$7+'TUSD CVA'!$Q$7)*1</f>
        <v>75.514349361992927</v>
      </c>
      <c r="R7" s="13">
        <f>('TUSD BE'!$R$7+'TUSD BF'!$R$7+'TUSD CVA'!$R$7)*1</f>
        <v>14.184759520295835</v>
      </c>
      <c r="S7" s="13">
        <f>('TUSD BE'!$S$7+'TUSD BF'!$S$7+'TUSD CVA'!$S$7)*1</f>
        <v>0</v>
      </c>
      <c r="T7" s="13">
        <f>('TUSD BE'!$U$7+'TUSD BF'!$U$7+'TUSD CVA'!$U$7)*1</f>
        <v>0</v>
      </c>
      <c r="U7" s="13">
        <f>('TUSD BE'!$V$7+'TUSD BF'!$V$7+'TUSD CVA'!$V$7)*1</f>
        <v>0</v>
      </c>
      <c r="V7" s="13">
        <f>('TUSD BE'!$W$7+'TUSD BF'!$W$7+'TUSD CVA'!$W$7)*1</f>
        <v>0</v>
      </c>
      <c r="W7" s="13">
        <f>('TUSD BE'!$X$7+'TUSD BF'!$X$7+'TUSD CVA'!$X$7)*1</f>
        <v>0</v>
      </c>
      <c r="X7" s="13">
        <f>('TUSD BE'!$Y$7+'TUSD BF'!$Y$7+'TUSD CVA'!$Y$7)*1</f>
        <v>0</v>
      </c>
      <c r="Y7" s="13">
        <f>('TUSD BE'!$Z$7+'TUSD BF'!$Z$7+'TUSD CVA'!$Z$7)*1</f>
        <v>0</v>
      </c>
      <c r="Z7" s="13">
        <f>('TUSD BE'!$AA$7+'TUSD BF'!$AA$7+'TUSD CVA'!$AA$7)*1</f>
        <v>0</v>
      </c>
      <c r="AA7" s="13">
        <f>('TUSD BE'!$AC$7+'TUSD BF'!$AC$7+'TUSD CVA'!$AC$7)*1</f>
        <v>0</v>
      </c>
      <c r="AB7" s="13">
        <f ca="1">('TUSD BE'!$AE$7+'TUSD BF'!$AE$7+'TUSD CVA'!$AE$7)*1</f>
        <v>0</v>
      </c>
      <c r="AC7" s="13">
        <f ca="1">('TUSD BE'!$AF$7+'TUSD BF'!$AF$7+'TUSD CVA'!$AF$7)*1</f>
        <v>0</v>
      </c>
      <c r="AD7" s="13">
        <f>('TUSD BE'!$AH$7+'TUSD BF'!$AH$7+'TUSD CVA'!$AH$7)*1</f>
        <v>5.6710798022579691</v>
      </c>
      <c r="AE7" s="13">
        <f>('TUSD BE'!$AI$7+'TUSD BF'!$AI$7+'TUSD CVA'!$AI$7)*1</f>
        <v>0.19894516079764865</v>
      </c>
      <c r="AF7" s="13">
        <f ca="1">('TUSD BE'!$AJ$7+'TUSD BF'!$AJ$7+'TUSD CVA'!$AJ$7)*1</f>
        <v>0</v>
      </c>
      <c r="AG7" s="13">
        <f ca="1">('TUSD BE'!$AK$7+'TUSD BF'!$AK$7+'TUSD CVA'!$AK$7)*1</f>
        <v>0</v>
      </c>
      <c r="AI7" s="13">
        <v>0</v>
      </c>
      <c r="AJ7" s="13">
        <v>0.93549047784128003</v>
      </c>
      <c r="AK7" s="13">
        <v>0</v>
      </c>
      <c r="AL7" s="13">
        <v>0</v>
      </c>
      <c r="AM7" s="13">
        <v>0</v>
      </c>
      <c r="AN7" s="13">
        <v>49.6166432407028</v>
      </c>
      <c r="AO7" s="13">
        <v>8.8923299098697992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9.1005546442595495</v>
      </c>
      <c r="BB7" s="13">
        <v>0</v>
      </c>
      <c r="BC7" s="13">
        <v>0</v>
      </c>
      <c r="BD7" s="13">
        <v>0</v>
      </c>
    </row>
    <row r="8" spans="1:56" ht="11.25" customHeight="1" x14ac:dyDescent="0.25">
      <c r="A8" s="109"/>
      <c r="B8" s="109"/>
      <c r="C8" s="109"/>
      <c r="D8" s="109"/>
      <c r="E8" s="23" t="s">
        <v>81</v>
      </c>
      <c r="F8" s="23" t="s">
        <v>25</v>
      </c>
      <c r="G8" s="24" t="s">
        <v>77</v>
      </c>
      <c r="H8" s="24" t="s">
        <v>73</v>
      </c>
      <c r="I8" s="24">
        <f>'MERCADO TUSD'!$U$5</f>
        <v>0</v>
      </c>
      <c r="J8" s="15"/>
      <c r="L8" s="13">
        <f>('TUSD BE'!$L$8+'TUSD BF'!$L$8+'TUSD CVA'!$L$8)*1</f>
        <v>0</v>
      </c>
      <c r="M8" s="13">
        <f>('TUSD BE'!$M$8+'TUSD BF'!$M$8+'TUSD CVA'!$M$8)*1</f>
        <v>1.1245487413081925</v>
      </c>
      <c r="N8" s="13">
        <f ca="1">('TUSD BE'!$N$8+'TUSD BF'!$N$8+'TUSD CVA'!$N$8)*1</f>
        <v>0</v>
      </c>
      <c r="O8" s="13">
        <f>('TUSD BE'!$O$8+'TUSD BF'!$O$8+'TUSD CVA'!$O$8)*1</f>
        <v>0</v>
      </c>
      <c r="P8" s="13">
        <f>('TUSD BE'!$P$8+'TUSD BF'!$P$8+'TUSD CVA'!$P$8)*1</f>
        <v>0</v>
      </c>
      <c r="Q8" s="13">
        <f>('TUSD BE'!$Q$8+'TUSD BF'!$Q$8+'TUSD CVA'!$Q$8)*1</f>
        <v>0</v>
      </c>
      <c r="R8" s="13">
        <f>('TUSD BE'!$R$8+'TUSD BF'!$R$8+'TUSD CVA'!$R$8)*1</f>
        <v>0</v>
      </c>
      <c r="S8" s="13">
        <f>('TUSD BE'!$S$8+'TUSD BF'!$S$8+'TUSD CVA'!$S$8)*1</f>
        <v>0</v>
      </c>
      <c r="T8" s="13">
        <f>('TUSD BE'!$U$8+'TUSD BF'!$U$8+'TUSD CVA'!$U$8)*1</f>
        <v>0</v>
      </c>
      <c r="U8" s="13">
        <f>('TUSD BE'!$V$8+'TUSD BF'!$V$8+'TUSD CVA'!$V$8)*1</f>
        <v>0</v>
      </c>
      <c r="V8" s="13">
        <f>('TUSD BE'!$W$8+'TUSD BF'!$W$8+'TUSD CVA'!$W$8)*1</f>
        <v>0</v>
      </c>
      <c r="W8" s="13">
        <f>('TUSD BE'!$X$8+'TUSD BF'!$X$8+'TUSD CVA'!$X$8)*1</f>
        <v>0</v>
      </c>
      <c r="X8" s="13">
        <f>('TUSD BE'!$Y$8+'TUSD BF'!$Y$8+'TUSD CVA'!$Y$8)*1</f>
        <v>0</v>
      </c>
      <c r="Y8" s="13">
        <f>('TUSD BE'!$Z$8+'TUSD BF'!$Z$8+'TUSD CVA'!$Z$8)*1</f>
        <v>0</v>
      </c>
      <c r="Z8" s="13">
        <f>('TUSD BE'!$AA$8+'TUSD BF'!$AA$8+'TUSD CVA'!$AA$8)*1</f>
        <v>0</v>
      </c>
      <c r="AA8" s="13">
        <f>('TUSD BE'!$AC$8+'TUSD BF'!$AC$8+'TUSD CVA'!$AC$8)*1</f>
        <v>0</v>
      </c>
      <c r="AB8" s="13">
        <f ca="1">('TUSD BE'!$AE$8+'TUSD BF'!$AE$8+'TUSD CVA'!$AE$8)*1</f>
        <v>0</v>
      </c>
      <c r="AC8" s="13">
        <f ca="1">('TUSD BE'!$AF$8+'TUSD BF'!$AF$8+'TUSD CVA'!$AF$8)*1</f>
        <v>0</v>
      </c>
      <c r="AD8" s="13">
        <f>('TUSD BE'!$AH$8+'TUSD BF'!$AH$8+'TUSD CVA'!$AH$8)*1</f>
        <v>5.6710798022579691</v>
      </c>
      <c r="AE8" s="13">
        <f>('TUSD BE'!$AI$8+'TUSD BF'!$AI$8+'TUSD CVA'!$AI$8)*1</f>
        <v>0.19894516079764865</v>
      </c>
      <c r="AF8" s="13">
        <f ca="1">('TUSD BE'!$AJ$8+'TUSD BF'!$AJ$8+'TUSD CVA'!$AJ$8)*1</f>
        <v>0</v>
      </c>
      <c r="AG8" s="13">
        <f ca="1">('TUSD BE'!$AK$8+'TUSD BF'!$AK$8+'TUSD CVA'!$AK$8)*1</f>
        <v>0</v>
      </c>
      <c r="AI8" s="13">
        <v>0</v>
      </c>
      <c r="AJ8" s="13">
        <v>0.93549047784128003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9.1005546442595495</v>
      </c>
      <c r="BB8" s="13">
        <v>0</v>
      </c>
      <c r="BC8" s="13">
        <v>0</v>
      </c>
      <c r="BD8" s="13">
        <v>0</v>
      </c>
    </row>
    <row r="9" spans="1:56" ht="11.25" customHeight="1" x14ac:dyDescent="0.25">
      <c r="A9" s="109"/>
      <c r="B9" s="23" t="s">
        <v>53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78</v>
      </c>
      <c r="I9" s="24">
        <f>'MERCADO TUSD'!$U$6</f>
        <v>20640</v>
      </c>
      <c r="J9" s="15"/>
      <c r="L9" s="13">
        <f>('TUSD BE'!$L$9+'TUSD BF'!$L$9+'TUSD CVA'!$L$9)*1</f>
        <v>0</v>
      </c>
      <c r="M9" s="13">
        <f>('TUSD BE'!$M$9+'TUSD BF'!$M$9+'TUSD CVA'!$M$9)*1</f>
        <v>0.15700827404651768</v>
      </c>
      <c r="N9" s="13">
        <f ca="1">('TUSD BE'!$N$9+'TUSD BF'!$N$9+'TUSD CVA'!$N$9)*1</f>
        <v>0</v>
      </c>
      <c r="O9" s="13">
        <f>('TUSD BE'!$O$9+'TUSD BF'!$O$9+'TUSD CVA'!$O$9)*1</f>
        <v>0</v>
      </c>
      <c r="P9" s="13">
        <f>('TUSD BE'!$P$9+'TUSD BF'!$P$9+'TUSD CVA'!$P$9)*1</f>
        <v>0</v>
      </c>
      <c r="Q9" s="13">
        <f>('TUSD BE'!$Q$9+'TUSD BF'!$Q$9+'TUSD CVA'!$Q$9)*1</f>
        <v>0</v>
      </c>
      <c r="R9" s="13">
        <f>('TUSD BE'!$R$9+'TUSD BF'!$R$9+'TUSD CVA'!$R$9)*1</f>
        <v>0</v>
      </c>
      <c r="S9" s="13">
        <f>('TUSD BE'!$S$9+'TUSD BF'!$S$9+'TUSD CVA'!$S$9)*1</f>
        <v>0</v>
      </c>
      <c r="T9" s="13">
        <f>('TUSD BE'!$U$9+'TUSD BF'!$U$9+'TUSD CVA'!$U$9)*1</f>
        <v>0</v>
      </c>
      <c r="U9" s="13">
        <f>('TUSD BE'!$V$9+'TUSD BF'!$V$9+'TUSD CVA'!$V$9)*1</f>
        <v>0</v>
      </c>
      <c r="V9" s="13">
        <f>('TUSD BE'!$W$9+'TUSD BF'!$W$9+'TUSD CVA'!$W$9)*1</f>
        <v>0</v>
      </c>
      <c r="W9" s="13">
        <f>('TUSD BE'!$X$9+'TUSD BF'!$X$9+'TUSD CVA'!$X$9)*1</f>
        <v>0</v>
      </c>
      <c r="X9" s="13">
        <f>('TUSD BE'!$Y$9+'TUSD BF'!$Y$9+'TUSD CVA'!$Y$9)*1</f>
        <v>0</v>
      </c>
      <c r="Y9" s="13">
        <f>('TUSD BE'!$Z$9+'TUSD BF'!$Z$9+'TUSD CVA'!$Z$9)*1</f>
        <v>0</v>
      </c>
      <c r="Z9" s="13">
        <f>('TUSD BE'!$AA$9+'TUSD BF'!$AA$9+'TUSD CVA'!$AA$9)*1</f>
        <v>0</v>
      </c>
      <c r="AA9" s="13">
        <f>('TUSD BE'!$AC$9+'TUSD BF'!$AC$9+'TUSD CVA'!$AC$9)*1</f>
        <v>11.934750301217349</v>
      </c>
      <c r="AB9" s="13">
        <f ca="1">('TUSD BE'!$AE$9+'TUSD BF'!$AE$9+'TUSD CVA'!$AE$9)*1</f>
        <v>0</v>
      </c>
      <c r="AC9" s="13">
        <f ca="1">('TUSD BE'!$AF$9+'TUSD BF'!$AF$9+'TUSD CVA'!$AF$9)*1</f>
        <v>0</v>
      </c>
      <c r="AD9" s="13">
        <f>('TUSD BE'!$AH$9+'TUSD BF'!$AH$9+'TUSD CVA'!$AH$9)*1</f>
        <v>0</v>
      </c>
      <c r="AE9" s="13">
        <f>('TUSD BE'!$AI$9+'TUSD BF'!$AI$9+'TUSD CVA'!$AI$9)*1</f>
        <v>0</v>
      </c>
      <c r="AF9" s="13">
        <f ca="1">('TUSD BE'!$AJ$9+'TUSD BF'!$AJ$9+'TUSD CVA'!$AJ$9)*1</f>
        <v>0</v>
      </c>
      <c r="AG9" s="13">
        <f ca="1">('TUSD BE'!$AK$9+'TUSD BF'!$AK$9+'TUSD CVA'!$AK$9)*1</f>
        <v>0</v>
      </c>
      <c r="AI9" s="13">
        <v>0</v>
      </c>
      <c r="AJ9" s="13">
        <v>1.9818258156910702E-2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9.0771772242271407</v>
      </c>
      <c r="AY9" s="13">
        <v>0</v>
      </c>
      <c r="AZ9" s="13">
        <v>0</v>
      </c>
      <c r="BA9" s="13">
        <v>6.4598490860115899E-4</v>
      </c>
      <c r="BB9" s="13">
        <v>0</v>
      </c>
      <c r="BC9" s="13">
        <v>0</v>
      </c>
      <c r="BD9" s="13">
        <v>0</v>
      </c>
    </row>
    <row r="10" spans="1:56" ht="11.25" customHeight="1" x14ac:dyDescent="0.25">
      <c r="A10" s="109"/>
      <c r="B10" s="109" t="s">
        <v>39</v>
      </c>
      <c r="C10" s="109" t="s">
        <v>25</v>
      </c>
      <c r="D10" s="109" t="s">
        <v>25</v>
      </c>
      <c r="E10" s="109" t="s">
        <v>25</v>
      </c>
      <c r="F10" s="109" t="s">
        <v>25</v>
      </c>
      <c r="G10" s="24" t="s">
        <v>9</v>
      </c>
      <c r="H10" s="24" t="s">
        <v>78</v>
      </c>
      <c r="I10" s="24">
        <f>'MERCADO TUSD'!$U$7</f>
        <v>71511</v>
      </c>
      <c r="J10" s="15"/>
      <c r="L10" s="13">
        <f>('TUSD BE'!$L$10+'TUSD BF'!$L$10+'TUSD CVA'!$L$10)*1</f>
        <v>0</v>
      </c>
      <c r="M10" s="13">
        <f>('TUSD BE'!$M$10+'TUSD BF'!$M$10+'TUSD CVA'!$M$10)*1</f>
        <v>0</v>
      </c>
      <c r="N10" s="13">
        <f ca="1">('TUSD BE'!$N$10+'TUSD BF'!$N$10+'TUSD CVA'!$N$10)*1</f>
        <v>0</v>
      </c>
      <c r="O10" s="13">
        <f>('TUSD BE'!$O$10+'TUSD BF'!$O$10+'TUSD CVA'!$O$10)*1</f>
        <v>0</v>
      </c>
      <c r="P10" s="13">
        <f>('TUSD BE'!$P$10+'TUSD BF'!$P$10+'TUSD CVA'!$P$10)*1</f>
        <v>0</v>
      </c>
      <c r="Q10" s="13">
        <f>('TUSD BE'!$Q$10+'TUSD BF'!$Q$10+'TUSD CVA'!$Q$10)*1</f>
        <v>0</v>
      </c>
      <c r="R10" s="13">
        <f>('TUSD BE'!$R$10+'TUSD BF'!$R$10+'TUSD CVA'!$R$10)*1</f>
        <v>0</v>
      </c>
      <c r="S10" s="13">
        <f>('TUSD BE'!$S$10+'TUSD BF'!$S$10+'TUSD CVA'!$S$10)*1</f>
        <v>0</v>
      </c>
      <c r="T10" s="13">
        <f>('TUSD BE'!$U$10+'TUSD BF'!$U$10+'TUSD CVA'!$U$10)*1</f>
        <v>0</v>
      </c>
      <c r="U10" s="13">
        <f>('TUSD BE'!$V$10+'TUSD BF'!$V$10+'TUSD CVA'!$V$10)*1</f>
        <v>0</v>
      </c>
      <c r="V10" s="13">
        <f>('TUSD BE'!$W$10+'TUSD BF'!$W$10+'TUSD CVA'!$W$10)*1</f>
        <v>0</v>
      </c>
      <c r="W10" s="13">
        <f>('TUSD BE'!$X$10+'TUSD BF'!$X$10+'TUSD CVA'!$X$10)*1</f>
        <v>0</v>
      </c>
      <c r="X10" s="13">
        <f>('TUSD BE'!$Y$10+'TUSD BF'!$Y$10+'TUSD CVA'!$Y$10)*1</f>
        <v>23.000334583566513</v>
      </c>
      <c r="Y10" s="13">
        <f>('TUSD BE'!$Z$10+'TUSD BF'!$Z$10+'TUSD CVA'!$Z$10)*1</f>
        <v>0</v>
      </c>
      <c r="Z10" s="13">
        <f>('TUSD BE'!$AA$10+'TUSD BF'!$AA$10+'TUSD CVA'!$AA$10)*1</f>
        <v>0</v>
      </c>
      <c r="AA10" s="13">
        <f>('TUSD BE'!$AC$10+'TUSD BF'!$AC$10+'TUSD CVA'!$AC$10)*1</f>
        <v>21.254878962819301</v>
      </c>
      <c r="AB10" s="13">
        <f ca="1">('TUSD BE'!$AE$10+'TUSD BF'!$AE$10+'TUSD CVA'!$AE$10)*1</f>
        <v>0</v>
      </c>
      <c r="AC10" s="13">
        <f ca="1">('TUSD BE'!$AF$10+'TUSD BF'!$AF$10+'TUSD CVA'!$AF$10)*1</f>
        <v>0</v>
      </c>
      <c r="AD10" s="13">
        <f>('TUSD BE'!$AH$10+'TUSD BF'!$AH$10+'TUSD CVA'!$AH$10)*1</f>
        <v>0</v>
      </c>
      <c r="AE10" s="13">
        <f>('TUSD BE'!$AI$10+'TUSD BF'!$AI$10+'TUSD CVA'!$AI$10)*1</f>
        <v>0</v>
      </c>
      <c r="AF10" s="13">
        <f ca="1">('TUSD BE'!$AJ$10+'TUSD BF'!$AJ$10+'TUSD CVA'!$AJ$10)*1</f>
        <v>0</v>
      </c>
      <c r="AG10" s="13">
        <f ca="1">('TUSD BE'!$AK$10+'TUSD BF'!$AK$10+'TUSD CVA'!$AK$10)*1</f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25.594914315629101</v>
      </c>
      <c r="AV10" s="13">
        <v>0</v>
      </c>
      <c r="AW10" s="13">
        <v>0</v>
      </c>
      <c r="AX10" s="13">
        <v>12.9297730659877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</row>
    <row r="11" spans="1:56" ht="11.25" customHeight="1" x14ac:dyDescent="0.25">
      <c r="A11" s="109"/>
      <c r="B11" s="109"/>
      <c r="C11" s="109"/>
      <c r="D11" s="109"/>
      <c r="E11" s="109"/>
      <c r="F11" s="109"/>
      <c r="G11" s="24" t="s">
        <v>74</v>
      </c>
      <c r="H11" s="24" t="s">
        <v>73</v>
      </c>
      <c r="I11" s="24">
        <f>'MERCADO TUSD'!$U$8</f>
        <v>353.77000000000004</v>
      </c>
      <c r="J11" s="15"/>
      <c r="L11" s="13">
        <f>('TUSD BE'!$L$11+'TUSD BF'!$L$11+'TUSD CVA'!$L$11)*1</f>
        <v>0</v>
      </c>
      <c r="M11" s="13">
        <f>('TUSD BE'!$M$11+'TUSD BF'!$M$11+'TUSD CVA'!$M$11)*1</f>
        <v>1.1245487413081925</v>
      </c>
      <c r="N11" s="13">
        <f ca="1">('TUSD BE'!$N$11+'TUSD BF'!$N$11+'TUSD CVA'!$N$11)*1</f>
        <v>0</v>
      </c>
      <c r="O11" s="13">
        <f>('TUSD BE'!$O$11+'TUSD BF'!$O$11+'TUSD CVA'!$O$11)*1</f>
        <v>0</v>
      </c>
      <c r="P11" s="13">
        <f>('TUSD BE'!$P$11+'TUSD BF'!$P$11+'TUSD CVA'!$P$11)*1</f>
        <v>0</v>
      </c>
      <c r="Q11" s="13">
        <f>('TUSD BE'!$Q$11+'TUSD BF'!$Q$11+'TUSD CVA'!$Q$11)*1</f>
        <v>75.514349361992927</v>
      </c>
      <c r="R11" s="13">
        <f>('TUSD BE'!$R$11+'TUSD BF'!$R$11+'TUSD CVA'!$R$11)*1</f>
        <v>14.184759520295835</v>
      </c>
      <c r="S11" s="13">
        <f>('TUSD BE'!$S$11+'TUSD BF'!$S$11+'TUSD CVA'!$S$11)*1</f>
        <v>0</v>
      </c>
      <c r="T11" s="13">
        <f>('TUSD BE'!$U$11+'TUSD BF'!$U$11+'TUSD CVA'!$U$11)*1</f>
        <v>0</v>
      </c>
      <c r="U11" s="13">
        <f>('TUSD BE'!$V$11+'TUSD BF'!$V$11+'TUSD CVA'!$V$11)*1</f>
        <v>0</v>
      </c>
      <c r="V11" s="13">
        <f>('TUSD BE'!$W$11+'TUSD BF'!$W$11+'TUSD CVA'!$W$11)*1</f>
        <v>0</v>
      </c>
      <c r="W11" s="13">
        <f>('TUSD BE'!$X$11+'TUSD BF'!$X$11+'TUSD CVA'!$X$11)*1</f>
        <v>0</v>
      </c>
      <c r="X11" s="13">
        <f>('TUSD BE'!$Y$11+'TUSD BF'!$Y$11+'TUSD CVA'!$Y$11)*1</f>
        <v>1047.5898467352126</v>
      </c>
      <c r="Y11" s="13">
        <f>('TUSD BE'!$Z$11+'TUSD BF'!$Z$11+'TUSD CVA'!$Z$11)*1</f>
        <v>0</v>
      </c>
      <c r="Z11" s="13">
        <f>('TUSD BE'!$AA$11+'TUSD BF'!$AA$11+'TUSD CVA'!$AA$11)*1</f>
        <v>0</v>
      </c>
      <c r="AA11" s="13">
        <f>('TUSD BE'!$AC$11+'TUSD BF'!$AC$11+'TUSD CVA'!$AC$11)*1</f>
        <v>1139.9324058252068</v>
      </c>
      <c r="AB11" s="13">
        <f ca="1">('TUSD BE'!$AE$11+'TUSD BF'!$AE$11+'TUSD CVA'!$AE$11)*1</f>
        <v>0</v>
      </c>
      <c r="AC11" s="13">
        <f ca="1">('TUSD BE'!$AF$11+'TUSD BF'!$AF$11+'TUSD CVA'!$AF$11)*1</f>
        <v>0</v>
      </c>
      <c r="AD11" s="13">
        <f>('TUSD BE'!$AH$11+'TUSD BF'!$AH$11+'TUSD CVA'!$AH$11)*1</f>
        <v>5.6710798022579691</v>
      </c>
      <c r="AE11" s="13">
        <f>('TUSD BE'!$AI$11+'TUSD BF'!$AI$11+'TUSD CVA'!$AI$11)*1</f>
        <v>0.19894516079764865</v>
      </c>
      <c r="AF11" s="13">
        <f ca="1">('TUSD BE'!$AJ$11+'TUSD BF'!$AJ$11+'TUSD CVA'!$AJ$11)*1</f>
        <v>0</v>
      </c>
      <c r="AG11" s="13">
        <f ca="1">('TUSD BE'!$AK$11+'TUSD BF'!$AK$11+'TUSD CVA'!$AK$11)*1</f>
        <v>0</v>
      </c>
      <c r="AI11" s="13">
        <v>0</v>
      </c>
      <c r="AJ11" s="13">
        <v>0.93549047784128003</v>
      </c>
      <c r="AK11" s="13">
        <v>0</v>
      </c>
      <c r="AL11" s="13">
        <v>0</v>
      </c>
      <c r="AM11" s="13">
        <v>0</v>
      </c>
      <c r="AN11" s="13">
        <v>49.6166432407028</v>
      </c>
      <c r="AO11" s="13">
        <v>8.8923299098697992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660.336377010261</v>
      </c>
      <c r="AV11" s="13">
        <v>0</v>
      </c>
      <c r="AW11" s="13">
        <v>0</v>
      </c>
      <c r="AX11" s="13">
        <v>1386.4983792005401</v>
      </c>
      <c r="AY11" s="13">
        <v>0</v>
      </c>
      <c r="AZ11" s="13">
        <v>0</v>
      </c>
      <c r="BA11" s="13">
        <v>9.1005546442595495</v>
      </c>
      <c r="BB11" s="13">
        <v>0</v>
      </c>
      <c r="BC11" s="13">
        <v>0</v>
      </c>
      <c r="BD11" s="13">
        <v>0</v>
      </c>
    </row>
    <row r="12" spans="1:56" ht="11.25" customHeight="1" x14ac:dyDescent="0.25">
      <c r="A12" s="109"/>
      <c r="B12" s="109"/>
      <c r="C12" s="109"/>
      <c r="D12" s="109"/>
      <c r="E12" s="109"/>
      <c r="F12" s="109"/>
      <c r="G12" s="24" t="s">
        <v>75</v>
      </c>
      <c r="H12" s="24" t="s">
        <v>73</v>
      </c>
      <c r="I12" s="24">
        <f>'MERCADO TUSD'!$U$9</f>
        <v>15360.976999999999</v>
      </c>
      <c r="J12" s="15"/>
      <c r="L12" s="13">
        <f>('TUSD BE'!$L$12+'TUSD BF'!$L$12+'TUSD CVA'!$L$12)*1</f>
        <v>0</v>
      </c>
      <c r="M12" s="13">
        <f>('TUSD BE'!$M$12+'TUSD BF'!$M$12+'TUSD CVA'!$M$12)*1</f>
        <v>1.1245487413081925</v>
      </c>
      <c r="N12" s="13">
        <f ca="1">('TUSD BE'!$N$12+'TUSD BF'!$N$12+'TUSD CVA'!$N$12)*1</f>
        <v>0</v>
      </c>
      <c r="O12" s="13">
        <f>('TUSD BE'!$O$12+'TUSD BF'!$O$12+'TUSD CVA'!$O$12)*1</f>
        <v>0</v>
      </c>
      <c r="P12" s="13">
        <f>('TUSD BE'!$P$12+'TUSD BF'!$P$12+'TUSD CVA'!$P$12)*1</f>
        <v>0</v>
      </c>
      <c r="Q12" s="13">
        <f>('TUSD BE'!$Q$12+'TUSD BF'!$Q$12+'TUSD CVA'!$Q$12)*1</f>
        <v>75.514349361992927</v>
      </c>
      <c r="R12" s="13">
        <f>('TUSD BE'!$R$12+'TUSD BF'!$R$12+'TUSD CVA'!$R$12)*1</f>
        <v>14.184759520295835</v>
      </c>
      <c r="S12" s="13">
        <f>('TUSD BE'!$S$12+'TUSD BF'!$S$12+'TUSD CVA'!$S$12)*1</f>
        <v>0</v>
      </c>
      <c r="T12" s="13">
        <f>('TUSD BE'!$U$12+'TUSD BF'!$U$12+'TUSD CVA'!$U$12)*1</f>
        <v>0</v>
      </c>
      <c r="U12" s="13">
        <f>('TUSD BE'!$V$12+'TUSD BF'!$V$12+'TUSD CVA'!$V$12)*1</f>
        <v>0</v>
      </c>
      <c r="V12" s="13">
        <f>('TUSD BE'!$W$12+'TUSD BF'!$W$12+'TUSD CVA'!$W$12)*1</f>
        <v>0</v>
      </c>
      <c r="W12" s="13">
        <f>('TUSD BE'!$X$12+'TUSD BF'!$X$12+'TUSD CVA'!$X$12)*1</f>
        <v>0</v>
      </c>
      <c r="X12" s="13">
        <f>('TUSD BE'!$Y$12+'TUSD BF'!$Y$12+'TUSD CVA'!$Y$12)*1</f>
        <v>0</v>
      </c>
      <c r="Y12" s="13">
        <f>('TUSD BE'!$Z$12+'TUSD BF'!$Z$12+'TUSD CVA'!$Z$12)*1</f>
        <v>0</v>
      </c>
      <c r="Z12" s="13">
        <f>('TUSD BE'!$AA$12+'TUSD BF'!$AA$12+'TUSD CVA'!$AA$12)*1</f>
        <v>0</v>
      </c>
      <c r="AA12" s="13">
        <f>('TUSD BE'!$AC$12+'TUSD BF'!$AC$12+'TUSD CVA'!$AC$12)*1</f>
        <v>0</v>
      </c>
      <c r="AB12" s="13">
        <f ca="1">('TUSD BE'!$AE$12+'TUSD BF'!$AE$12+'TUSD CVA'!$AE$12)*1</f>
        <v>0</v>
      </c>
      <c r="AC12" s="13">
        <f ca="1">('TUSD BE'!$AF$12+'TUSD BF'!$AF$12+'TUSD CVA'!$AF$12)*1</f>
        <v>0</v>
      </c>
      <c r="AD12" s="13">
        <f>('TUSD BE'!$AH$12+'TUSD BF'!$AH$12+'TUSD CVA'!$AH$12)*1</f>
        <v>5.6710798022579691</v>
      </c>
      <c r="AE12" s="13">
        <f>('TUSD BE'!$AI$12+'TUSD BF'!$AI$12+'TUSD CVA'!$AI$12)*1</f>
        <v>0.19894516079764865</v>
      </c>
      <c r="AF12" s="13">
        <f ca="1">('TUSD BE'!$AJ$12+'TUSD BF'!$AJ$12+'TUSD CVA'!$AJ$12)*1</f>
        <v>0</v>
      </c>
      <c r="AG12" s="13">
        <f ca="1">('TUSD BE'!$AK$12+'TUSD BF'!$AK$12+'TUSD CVA'!$AK$12)*1</f>
        <v>0</v>
      </c>
      <c r="AI12" s="13">
        <v>0</v>
      </c>
      <c r="AJ12" s="13">
        <v>0.93549047784128003</v>
      </c>
      <c r="AK12" s="13">
        <v>0</v>
      </c>
      <c r="AL12" s="13">
        <v>0</v>
      </c>
      <c r="AM12" s="13">
        <v>0</v>
      </c>
      <c r="AN12" s="13">
        <v>49.6166432407028</v>
      </c>
      <c r="AO12" s="13">
        <v>8.8923299098697992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9.1005546442595495</v>
      </c>
      <c r="BB12" s="13">
        <v>0</v>
      </c>
      <c r="BC12" s="13">
        <v>0</v>
      </c>
      <c r="BD12" s="13">
        <v>0</v>
      </c>
    </row>
    <row r="13" spans="1:56" ht="11.25" customHeight="1" x14ac:dyDescent="0.25">
      <c r="A13" s="109"/>
      <c r="B13" s="109"/>
      <c r="C13" s="109"/>
      <c r="D13" s="109"/>
      <c r="E13" s="109" t="s">
        <v>81</v>
      </c>
      <c r="F13" s="109" t="s">
        <v>25</v>
      </c>
      <c r="G13" s="24" t="s">
        <v>74</v>
      </c>
      <c r="H13" s="24" t="s">
        <v>73</v>
      </c>
      <c r="I13" s="24">
        <f>'MERCADO TUSD'!$U$10</f>
        <v>0</v>
      </c>
      <c r="J13" s="15"/>
      <c r="L13" s="13">
        <f>('TUSD BE'!$L$13+'TUSD BF'!$L$13+'TUSD CVA'!$L$13)*1</f>
        <v>0</v>
      </c>
      <c r="M13" s="13">
        <f>('TUSD BE'!$M$13+'TUSD BF'!$M$13+'TUSD CVA'!$M$13)*1</f>
        <v>1.1245487413081925</v>
      </c>
      <c r="N13" s="13">
        <f ca="1">('TUSD BE'!$N$13+'TUSD BF'!$N$13+'TUSD CVA'!$N$13)*1</f>
        <v>0</v>
      </c>
      <c r="O13" s="13">
        <f>('TUSD BE'!$O$13+'TUSD BF'!$O$13+'TUSD CVA'!$O$13)*1</f>
        <v>0</v>
      </c>
      <c r="P13" s="13">
        <f>('TUSD BE'!$P$13+'TUSD BF'!$P$13+'TUSD CVA'!$P$13)*1</f>
        <v>0</v>
      </c>
      <c r="Q13" s="13">
        <f>('TUSD BE'!$Q$13+'TUSD BF'!$Q$13+'TUSD CVA'!$Q$13)*1</f>
        <v>0</v>
      </c>
      <c r="R13" s="13">
        <f>('TUSD BE'!$R$13+'TUSD BF'!$R$13+'TUSD CVA'!$R$13)*1</f>
        <v>0</v>
      </c>
      <c r="S13" s="13">
        <f>('TUSD BE'!$S$13+'TUSD BF'!$S$13+'TUSD CVA'!$S$13)*1</f>
        <v>0</v>
      </c>
      <c r="T13" s="13">
        <f>('TUSD BE'!$U$13+'TUSD BF'!$U$13+'TUSD CVA'!$U$13)*1</f>
        <v>0</v>
      </c>
      <c r="U13" s="13">
        <f>('TUSD BE'!$V$13+'TUSD BF'!$V$13+'TUSD CVA'!$V$13)*1</f>
        <v>0</v>
      </c>
      <c r="V13" s="13">
        <f>('TUSD BE'!$W$13+'TUSD BF'!$W$13+'TUSD CVA'!$W$13)*1</f>
        <v>0</v>
      </c>
      <c r="W13" s="13">
        <f>('TUSD BE'!$X$13+'TUSD BF'!$X$13+'TUSD CVA'!$X$13)*1</f>
        <v>0</v>
      </c>
      <c r="X13" s="13">
        <f>('TUSD BE'!$Y$13+'TUSD BF'!$Y$13+'TUSD CVA'!$Y$13)*1</f>
        <v>1047.5898467352126</v>
      </c>
      <c r="Y13" s="13">
        <f>('TUSD BE'!$Z$13+'TUSD BF'!$Z$13+'TUSD CVA'!$Z$13)*1</f>
        <v>0</v>
      </c>
      <c r="Z13" s="13">
        <f>('TUSD BE'!$AA$13+'TUSD BF'!$AA$13+'TUSD CVA'!$AA$13)*1</f>
        <v>0</v>
      </c>
      <c r="AA13" s="13">
        <f>('TUSD BE'!$AC$13+'TUSD BF'!$AC$13+'TUSD CVA'!$AC$13)*1</f>
        <v>1139.9324058252068</v>
      </c>
      <c r="AB13" s="13">
        <f ca="1">('TUSD BE'!$AE$13+'TUSD BF'!$AE$13+'TUSD CVA'!$AE$13)*1</f>
        <v>0</v>
      </c>
      <c r="AC13" s="13">
        <f ca="1">('TUSD BE'!$AF$13+'TUSD BF'!$AF$13+'TUSD CVA'!$AF$13)*1</f>
        <v>0</v>
      </c>
      <c r="AD13" s="13">
        <f>('TUSD BE'!$AH$13+'TUSD BF'!$AH$13+'TUSD CVA'!$AH$13)*1</f>
        <v>5.6710798022579691</v>
      </c>
      <c r="AE13" s="13">
        <f>('TUSD BE'!$AI$13+'TUSD BF'!$AI$13+'TUSD CVA'!$AI$13)*1</f>
        <v>0.19894516079764865</v>
      </c>
      <c r="AF13" s="13">
        <f ca="1">('TUSD BE'!$AJ$13+'TUSD BF'!$AJ$13+'TUSD CVA'!$AJ$13)*1</f>
        <v>0</v>
      </c>
      <c r="AG13" s="13">
        <f ca="1">('TUSD BE'!$AK$13+'TUSD BF'!$AK$13+'TUSD CVA'!$AK$13)*1</f>
        <v>0</v>
      </c>
      <c r="AI13" s="13">
        <v>0</v>
      </c>
      <c r="AJ13" s="13">
        <v>0.93549047784128003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660.336377010261</v>
      </c>
      <c r="AV13" s="13">
        <v>0</v>
      </c>
      <c r="AW13" s="13">
        <v>0</v>
      </c>
      <c r="AX13" s="13">
        <v>1386.4983792005401</v>
      </c>
      <c r="AY13" s="13">
        <v>0</v>
      </c>
      <c r="AZ13" s="13">
        <v>0</v>
      </c>
      <c r="BA13" s="13">
        <v>9.1005546442595495</v>
      </c>
      <c r="BB13" s="13">
        <v>0</v>
      </c>
      <c r="BC13" s="13">
        <v>0</v>
      </c>
      <c r="BD13" s="13">
        <v>0</v>
      </c>
    </row>
    <row r="14" spans="1:56" ht="11.25" customHeight="1" x14ac:dyDescent="0.25">
      <c r="A14" s="109"/>
      <c r="B14" s="109"/>
      <c r="C14" s="109"/>
      <c r="D14" s="109"/>
      <c r="E14" s="109"/>
      <c r="F14" s="109"/>
      <c r="G14" s="24" t="s">
        <v>75</v>
      </c>
      <c r="H14" s="24" t="s">
        <v>73</v>
      </c>
      <c r="I14" s="24">
        <f>'MERCADO TUSD'!$U$11</f>
        <v>0</v>
      </c>
      <c r="J14" s="15"/>
      <c r="L14" s="13">
        <f>('TUSD BE'!$L$14+'TUSD BF'!$L$14+'TUSD CVA'!$L$14)*1</f>
        <v>0</v>
      </c>
      <c r="M14" s="13">
        <f>('TUSD BE'!$M$14+'TUSD BF'!$M$14+'TUSD CVA'!$M$14)*1</f>
        <v>1.1245487413081925</v>
      </c>
      <c r="N14" s="13">
        <f ca="1">('TUSD BE'!$N$14+'TUSD BF'!$N$14+'TUSD CVA'!$N$14)*1</f>
        <v>0</v>
      </c>
      <c r="O14" s="13">
        <f>('TUSD BE'!$O$14+'TUSD BF'!$O$14+'TUSD CVA'!$O$14)*1</f>
        <v>0</v>
      </c>
      <c r="P14" s="13">
        <f>('TUSD BE'!$P$14+'TUSD BF'!$P$14+'TUSD CVA'!$P$14)*1</f>
        <v>0</v>
      </c>
      <c r="Q14" s="13">
        <f>('TUSD BE'!$Q$14+'TUSD BF'!$Q$14+'TUSD CVA'!$Q$14)*1</f>
        <v>0</v>
      </c>
      <c r="R14" s="13">
        <f>('TUSD BE'!$R$14+'TUSD BF'!$R$14+'TUSD CVA'!$R$14)*1</f>
        <v>0</v>
      </c>
      <c r="S14" s="13">
        <f>('TUSD BE'!$S$14+'TUSD BF'!$S$14+'TUSD CVA'!$S$14)*1</f>
        <v>0</v>
      </c>
      <c r="T14" s="13">
        <f>('TUSD BE'!$U$14+'TUSD BF'!$U$14+'TUSD CVA'!$U$14)*1</f>
        <v>0</v>
      </c>
      <c r="U14" s="13">
        <f>('TUSD BE'!$V$14+'TUSD BF'!$V$14+'TUSD CVA'!$V$14)*1</f>
        <v>0</v>
      </c>
      <c r="V14" s="13">
        <f>('TUSD BE'!$W$14+'TUSD BF'!$W$14+'TUSD CVA'!$W$14)*1</f>
        <v>0</v>
      </c>
      <c r="W14" s="13">
        <f>('TUSD BE'!$X$14+'TUSD BF'!$X$14+'TUSD CVA'!$X$14)*1</f>
        <v>0</v>
      </c>
      <c r="X14" s="13">
        <f>('TUSD BE'!$Y$14+'TUSD BF'!$Y$14+'TUSD CVA'!$Y$14)*1</f>
        <v>0</v>
      </c>
      <c r="Y14" s="13">
        <f>('TUSD BE'!$Z$14+'TUSD BF'!$Z$14+'TUSD CVA'!$Z$14)*1</f>
        <v>0</v>
      </c>
      <c r="Z14" s="13">
        <f>('TUSD BE'!$AA$14+'TUSD BF'!$AA$14+'TUSD CVA'!$AA$14)*1</f>
        <v>0</v>
      </c>
      <c r="AA14" s="13">
        <f>('TUSD BE'!$AC$14+'TUSD BF'!$AC$14+'TUSD CVA'!$AC$14)*1</f>
        <v>0</v>
      </c>
      <c r="AB14" s="13">
        <f ca="1">('TUSD BE'!$AE$14+'TUSD BF'!$AE$14+'TUSD CVA'!$AE$14)*1</f>
        <v>0</v>
      </c>
      <c r="AC14" s="13">
        <f ca="1">('TUSD BE'!$AF$14+'TUSD BF'!$AF$14+'TUSD CVA'!$AF$14)*1</f>
        <v>0</v>
      </c>
      <c r="AD14" s="13">
        <f>('TUSD BE'!$AH$14+'TUSD BF'!$AH$14+'TUSD CVA'!$AH$14)*1</f>
        <v>5.6710798022579691</v>
      </c>
      <c r="AE14" s="13">
        <f>('TUSD BE'!$AI$14+'TUSD BF'!$AI$14+'TUSD CVA'!$AI$14)*1</f>
        <v>0.19894516079764865</v>
      </c>
      <c r="AF14" s="13">
        <f ca="1">('TUSD BE'!$AJ$14+'TUSD BF'!$AJ$14+'TUSD CVA'!$AJ$14)*1</f>
        <v>0</v>
      </c>
      <c r="AG14" s="13">
        <f ca="1">('TUSD BE'!$AK$14+'TUSD BF'!$AK$14+'TUSD CVA'!$AK$14)*1</f>
        <v>0</v>
      </c>
      <c r="AI14" s="13">
        <v>0</v>
      </c>
      <c r="AJ14" s="13">
        <v>0.93549047784128003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9.1005546442595495</v>
      </c>
      <c r="BB14" s="13">
        <v>0</v>
      </c>
      <c r="BC14" s="13">
        <v>0</v>
      </c>
      <c r="BD14" s="13">
        <v>0</v>
      </c>
    </row>
    <row r="15" spans="1:56" ht="11.25" customHeight="1" x14ac:dyDescent="0.25">
      <c r="A15" s="109" t="s">
        <v>82</v>
      </c>
      <c r="B15" s="109" t="s">
        <v>53</v>
      </c>
      <c r="C15" s="109" t="s">
        <v>25</v>
      </c>
      <c r="D15" s="109" t="s">
        <v>25</v>
      </c>
      <c r="E15" s="23" t="s">
        <v>83</v>
      </c>
      <c r="F15" s="23" t="s">
        <v>25</v>
      </c>
      <c r="G15" s="24" t="s">
        <v>9</v>
      </c>
      <c r="H15" s="24" t="s">
        <v>78</v>
      </c>
      <c r="I15" s="24">
        <f>'MERCADO TUSD'!$U$12+0.00000001</f>
        <v>1E-8</v>
      </c>
      <c r="J15" s="15"/>
      <c r="L15" s="13">
        <f>('TUSD BE'!$L$15+'TUSD BF'!$L$15+'TUSD CVA'!$L$15)*1</f>
        <v>0</v>
      </c>
      <c r="M15" s="13">
        <f>('TUSD BE'!$M$15+'TUSD BF'!$M$15+'TUSD CVA'!$M$15)*1</f>
        <v>7.0693272004571872E-2</v>
      </c>
      <c r="N15" s="13">
        <f ca="1">('TUSD BE'!$N$15+'TUSD BF'!$N$15+'TUSD CVA'!$N$15)*1</f>
        <v>0</v>
      </c>
      <c r="O15" s="13">
        <f>('TUSD BE'!$O$15+'TUSD BF'!$O$15+'TUSD CVA'!$O$15)*1</f>
        <v>0</v>
      </c>
      <c r="P15" s="13">
        <f>('TUSD BE'!$P$15+'TUSD BF'!$P$15+'TUSD CVA'!$P$15)*1</f>
        <v>0</v>
      </c>
      <c r="Q15" s="13">
        <f>('TUSD BE'!$Q$15+'TUSD BF'!$Q$15+'TUSD CVA'!$Q$15)*1</f>
        <v>0</v>
      </c>
      <c r="R15" s="13">
        <f>('TUSD BE'!$R$15+'TUSD BF'!$R$15+'TUSD CVA'!$R$15)*1</f>
        <v>0</v>
      </c>
      <c r="S15" s="13">
        <f>('TUSD BE'!$S$15+'TUSD BF'!$S$15+'TUSD CVA'!$S$15)*1</f>
        <v>0</v>
      </c>
      <c r="T15" s="13">
        <f>('TUSD BE'!$U$15+'TUSD BF'!$U$15+'TUSD CVA'!$U$15)*1</f>
        <v>0</v>
      </c>
      <c r="U15" s="13">
        <f>('TUSD BE'!$V$15+'TUSD BF'!$V$15+'TUSD CVA'!$V$15)*1</f>
        <v>0</v>
      </c>
      <c r="V15" s="13">
        <f>('TUSD BE'!$W$15+'TUSD BF'!$W$15+'TUSD CVA'!$W$15)*1</f>
        <v>0</v>
      </c>
      <c r="W15" s="13">
        <f>('TUSD BE'!$X$15+'TUSD BF'!$X$15+'TUSD CVA'!$X$15)*1</f>
        <v>0</v>
      </c>
      <c r="X15" s="13">
        <f>('TUSD BE'!$Y$15+'TUSD BF'!$Y$15+'TUSD CVA'!$Y$15)*1</f>
        <v>0</v>
      </c>
      <c r="Y15" s="13">
        <f>('TUSD BE'!$Z$15+'TUSD BF'!$Z$15+'TUSD CVA'!$Z$15)*1</f>
        <v>0</v>
      </c>
      <c r="Z15" s="13">
        <f>('TUSD BE'!$AA$15+'TUSD BF'!$AA$15+'TUSD CVA'!$AA$15)*1</f>
        <v>0</v>
      </c>
      <c r="AA15" s="13">
        <f>('TUSD BE'!$AC$15+'TUSD BF'!$AC$15+'TUSD CVA'!$AC$15)*1</f>
        <v>10.743962885207988</v>
      </c>
      <c r="AB15" s="13">
        <f ca="1">('TUSD BE'!$AE$15+'TUSD BF'!$AE$15+'TUSD CVA'!$AE$15)*1</f>
        <v>0</v>
      </c>
      <c r="AC15" s="13">
        <f ca="1">('TUSD BE'!$AF$15+'TUSD BF'!$AF$15+'TUSD CVA'!$AF$15)*1</f>
        <v>0</v>
      </c>
      <c r="AD15" s="13">
        <f>('TUSD BE'!$AH$15+'TUSD BF'!$AH$15+'TUSD CVA'!$AH$15)*1</f>
        <v>0</v>
      </c>
      <c r="AE15" s="13">
        <f>('TUSD BE'!$AI$15+'TUSD BF'!$AI$15+'TUSD CVA'!$AI$15)*1</f>
        <v>0</v>
      </c>
      <c r="AF15" s="13">
        <f ca="1">('TUSD BE'!$AJ$15+'TUSD BF'!$AJ$15+'TUSD CVA'!$AJ$15)*1</f>
        <v>0</v>
      </c>
      <c r="AG15" s="13">
        <f ca="1">('TUSD BE'!$AK$15+'TUSD BF'!$AK$15+'TUSD CVA'!$AK$15)*1</f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</row>
    <row r="16" spans="1:56" ht="11.25" customHeight="1" x14ac:dyDescent="0.25">
      <c r="A16" s="109"/>
      <c r="B16" s="109"/>
      <c r="C16" s="109"/>
      <c r="D16" s="109"/>
      <c r="E16" s="23" t="s">
        <v>84</v>
      </c>
      <c r="F16" s="23" t="s">
        <v>25</v>
      </c>
      <c r="G16" s="24" t="s">
        <v>9</v>
      </c>
      <c r="H16" s="24" t="s">
        <v>78</v>
      </c>
      <c r="I16" s="24">
        <f>'MERCADO TUSD'!$U$13+0.00000001</f>
        <v>1E-8</v>
      </c>
      <c r="J16" s="15"/>
      <c r="L16" s="13">
        <f>('TUSD BE'!$L$16+'TUSD BF'!$L$16+'TUSD CVA'!$L$16)*1</f>
        <v>0</v>
      </c>
      <c r="M16" s="13">
        <f>('TUSD BE'!$M$16+'TUSD BF'!$M$16+'TUSD CVA'!$M$16)*1</f>
        <v>7.0693272004571872E-2</v>
      </c>
      <c r="N16" s="13">
        <f ca="1">('TUSD BE'!$N$16+'TUSD BF'!$N$16+'TUSD CVA'!$N$16)*1</f>
        <v>0</v>
      </c>
      <c r="O16" s="13">
        <f>('TUSD BE'!$O$16+'TUSD BF'!$O$16+'TUSD CVA'!$O$16)*1</f>
        <v>0</v>
      </c>
      <c r="P16" s="13">
        <f>('TUSD BE'!$P$16+'TUSD BF'!$P$16+'TUSD CVA'!$P$16)*1</f>
        <v>0</v>
      </c>
      <c r="Q16" s="13">
        <f>('TUSD BE'!$Q$16+'TUSD BF'!$Q$16+'TUSD CVA'!$Q$16)*1</f>
        <v>0</v>
      </c>
      <c r="R16" s="13">
        <f>('TUSD BE'!$R$16+'TUSD BF'!$R$16+'TUSD CVA'!$R$16)*1</f>
        <v>0</v>
      </c>
      <c r="S16" s="13">
        <f>('TUSD BE'!$S$16+'TUSD BF'!$S$16+'TUSD CVA'!$S$16)*1</f>
        <v>0</v>
      </c>
      <c r="T16" s="13">
        <f>('TUSD BE'!$U$16+'TUSD BF'!$U$16+'TUSD CVA'!$U$16)*1</f>
        <v>0</v>
      </c>
      <c r="U16" s="13">
        <f>('TUSD BE'!$V$16+'TUSD BF'!$V$16+'TUSD CVA'!$V$16)*1</f>
        <v>0</v>
      </c>
      <c r="V16" s="13">
        <f>('TUSD BE'!$W$16+'TUSD BF'!$W$16+'TUSD CVA'!$W$16)*1</f>
        <v>0</v>
      </c>
      <c r="W16" s="13">
        <f>('TUSD BE'!$X$16+'TUSD BF'!$X$16+'TUSD CVA'!$X$16)*1</f>
        <v>0</v>
      </c>
      <c r="X16" s="13">
        <f>('TUSD BE'!$Y$16+'TUSD BF'!$Y$16+'TUSD CVA'!$Y$16)*1</f>
        <v>0</v>
      </c>
      <c r="Y16" s="13">
        <f>('TUSD BE'!$Z$16+'TUSD BF'!$Z$16+'TUSD CVA'!$Z$16)*1</f>
        <v>0</v>
      </c>
      <c r="Z16" s="13">
        <f>('TUSD BE'!$AA$16+'TUSD BF'!$AA$16+'TUSD CVA'!$AA$16)*1</f>
        <v>0</v>
      </c>
      <c r="AA16" s="13">
        <f>('TUSD BE'!$AC$16+'TUSD BF'!$AC$16+'TUSD CVA'!$AC$16)*1</f>
        <v>26.675381760874927</v>
      </c>
      <c r="AB16" s="13">
        <f ca="1">('TUSD BE'!$AE$16+'TUSD BF'!$AE$16+'TUSD CVA'!$AE$16)*1</f>
        <v>0</v>
      </c>
      <c r="AC16" s="13">
        <f ca="1">('TUSD BE'!$AF$16+'TUSD BF'!$AF$16+'TUSD CVA'!$AF$16)*1</f>
        <v>0</v>
      </c>
      <c r="AD16" s="13">
        <f>('TUSD BE'!$AH$16+'TUSD BF'!$AH$16+'TUSD CVA'!$AH$16)*1</f>
        <v>0</v>
      </c>
      <c r="AE16" s="13">
        <f>('TUSD BE'!$AI$16+'TUSD BF'!$AI$16+'TUSD CVA'!$AI$16)*1</f>
        <v>0</v>
      </c>
      <c r="AF16" s="13">
        <f ca="1">('TUSD BE'!$AJ$16+'TUSD BF'!$AJ$16+'TUSD CVA'!$AJ$16)*1</f>
        <v>0</v>
      </c>
      <c r="AG16" s="13">
        <f ca="1">('TUSD BE'!$AK$16+'TUSD BF'!$AK$16+'TUSD CVA'!$AK$16)*1</f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</row>
    <row r="17" spans="1:56" ht="11.25" customHeight="1" x14ac:dyDescent="0.25">
      <c r="A17" s="109" t="s">
        <v>22</v>
      </c>
      <c r="B17" s="109" t="s">
        <v>86</v>
      </c>
      <c r="C17" s="109" t="s">
        <v>24</v>
      </c>
      <c r="D17" s="109" t="s">
        <v>24</v>
      </c>
      <c r="E17" s="109" t="s">
        <v>25</v>
      </c>
      <c r="F17" s="109" t="s">
        <v>25</v>
      </c>
      <c r="G17" s="24" t="s">
        <v>74</v>
      </c>
      <c r="H17" s="24" t="s">
        <v>73</v>
      </c>
      <c r="I17" s="24">
        <f>'MERCADO TUSD'!$U$14</f>
        <v>0</v>
      </c>
      <c r="J17" s="15"/>
      <c r="L17" s="13">
        <f>('TUSD BE'!$L$17+'TUSD BF'!$L$17+'TUSD CVA'!$L$17)*1</f>
        <v>0</v>
      </c>
      <c r="M17" s="13">
        <f>('TUSD BE'!$M$17+'TUSD BF'!$M$17+'TUSD CVA'!$M$17)*1</f>
        <v>2.2014344050507892</v>
      </c>
      <c r="N17" s="13">
        <f ca="1">('TUSD BE'!$N$17+'TUSD BF'!$N$17+'TUSD CVA'!$N$17)*1</f>
        <v>0</v>
      </c>
      <c r="O17" s="13">
        <f>('TUSD BE'!$O$17+'TUSD BF'!$O$17+'TUSD CVA'!$O$17)*1</f>
        <v>0</v>
      </c>
      <c r="P17" s="13">
        <f>('TUSD BE'!$P$17+'TUSD BF'!$P$17+'TUSD CVA'!$P$17)*1</f>
        <v>0</v>
      </c>
      <c r="Q17" s="13">
        <f>('TUSD BE'!$Q$17+'TUSD BF'!$Q$17+'TUSD CVA'!$Q$17)*1</f>
        <v>89.898034954753484</v>
      </c>
      <c r="R17" s="13">
        <f>('TUSD BE'!$R$17+'TUSD BF'!$R$17+'TUSD CVA'!$R$17)*1</f>
        <v>14.184759520295835</v>
      </c>
      <c r="S17" s="13">
        <f>('TUSD BE'!$S$17+'TUSD BF'!$S$17+'TUSD CVA'!$S$17)*1</f>
        <v>0</v>
      </c>
      <c r="T17" s="13">
        <f>('TUSD BE'!$U$17+'TUSD BF'!$U$17+'TUSD CVA'!$U$17)*1</f>
        <v>0</v>
      </c>
      <c r="U17" s="13">
        <f>('TUSD BE'!$V$17+'TUSD BF'!$V$17+'TUSD CVA'!$V$17)*1</f>
        <v>0</v>
      </c>
      <c r="V17" s="13">
        <f>('TUSD BE'!$W$17+'TUSD BF'!$W$17+'TUSD CVA'!$W$17)*1</f>
        <v>0</v>
      </c>
      <c r="W17" s="13">
        <f>('TUSD BE'!$X$17+'TUSD BF'!$X$17+'TUSD CVA'!$X$17)*1</f>
        <v>0</v>
      </c>
      <c r="X17" s="13">
        <f>('TUSD BE'!$Y$17+'TUSD BF'!$Y$17+'TUSD CVA'!$Y$17)*1</f>
        <v>441.76113416153652</v>
      </c>
      <c r="Y17" s="13">
        <f>('TUSD BE'!$Z$17+'TUSD BF'!$Z$17+'TUSD CVA'!$Z$17)*1</f>
        <v>0</v>
      </c>
      <c r="Z17" s="13">
        <f>('TUSD BE'!$AA$17+'TUSD BF'!$AA$17+'TUSD CVA'!$AA$17)*1</f>
        <v>0</v>
      </c>
      <c r="AA17" s="13">
        <f>('TUSD BE'!$AC$17+'TUSD BF'!$AC$17+'TUSD CVA'!$AC$17)*1</f>
        <v>900.4830640815336</v>
      </c>
      <c r="AB17" s="13">
        <f ca="1">('TUSD BE'!$AE$17+'TUSD BF'!$AE$17+'TUSD CVA'!$AE$17)*1</f>
        <v>0</v>
      </c>
      <c r="AC17" s="13">
        <f ca="1">('TUSD BE'!$AF$17+'TUSD BF'!$AF$17+'TUSD CVA'!$AF$17)*1</f>
        <v>0</v>
      </c>
      <c r="AD17" s="13">
        <f>('TUSD BE'!$AH$17+'TUSD BF'!$AH$17+'TUSD CVA'!$AH$17)*1</f>
        <v>30.549641419251962</v>
      </c>
      <c r="AE17" s="13">
        <f>('TUSD BE'!$AI$17+'TUSD BF'!$AI$17+'TUSD CVA'!$AI$17)*1</f>
        <v>1.0717012520338227</v>
      </c>
      <c r="AF17" s="13">
        <f ca="1">('TUSD BE'!$AJ$17+'TUSD BF'!$AJ$17+'TUSD CVA'!$AJ$17)*1</f>
        <v>0</v>
      </c>
      <c r="AG17" s="13">
        <f ca="1">('TUSD BE'!$AK$17+'TUSD BF'!$AK$17+'TUSD CVA'!$AK$17)*1</f>
        <v>0</v>
      </c>
      <c r="AI17" s="13">
        <v>0</v>
      </c>
      <c r="AJ17" s="13">
        <v>2.1399047554630899</v>
      </c>
      <c r="AK17" s="13">
        <v>0</v>
      </c>
      <c r="AL17" s="13">
        <v>0</v>
      </c>
      <c r="AM17" s="13">
        <v>0</v>
      </c>
      <c r="AN17" s="13">
        <v>57.030624414600901</v>
      </c>
      <c r="AO17" s="13">
        <v>8.8923299098697992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309.09877923381202</v>
      </c>
      <c r="AV17" s="13">
        <v>0</v>
      </c>
      <c r="AW17" s="13">
        <v>0</v>
      </c>
      <c r="AX17" s="13">
        <v>673.84586149199401</v>
      </c>
      <c r="AY17" s="13">
        <v>0</v>
      </c>
      <c r="AZ17" s="13">
        <v>0</v>
      </c>
      <c r="BA17" s="13">
        <v>19.768833913580501</v>
      </c>
      <c r="BB17" s="13">
        <v>0</v>
      </c>
      <c r="BC17" s="13">
        <v>0</v>
      </c>
      <c r="BD17" s="13">
        <v>0</v>
      </c>
    </row>
    <row r="18" spans="1:56" ht="11.25" customHeight="1" x14ac:dyDescent="0.25">
      <c r="A18" s="109"/>
      <c r="B18" s="109"/>
      <c r="C18" s="109"/>
      <c r="D18" s="109"/>
      <c r="E18" s="109"/>
      <c r="F18" s="109"/>
      <c r="G18" s="24" t="s">
        <v>85</v>
      </c>
      <c r="H18" s="24" t="s">
        <v>73</v>
      </c>
      <c r="I18" s="24">
        <f>'MERCADO TUSD'!$U$15</f>
        <v>0</v>
      </c>
      <c r="J18" s="15"/>
      <c r="L18" s="13">
        <f>('TUSD BE'!$L$18+'TUSD BF'!$L$18+'TUSD CVA'!$L$18)*1</f>
        <v>0</v>
      </c>
      <c r="M18" s="13">
        <f>('TUSD BE'!$M$18+'TUSD BF'!$M$18+'TUSD CVA'!$M$18)*1</f>
        <v>2.2014344050507892</v>
      </c>
      <c r="N18" s="13">
        <f ca="1">('TUSD BE'!$N$18+'TUSD BF'!$N$18+'TUSD CVA'!$N$18)*1</f>
        <v>0</v>
      </c>
      <c r="O18" s="13">
        <f>('TUSD BE'!$O$18+'TUSD BF'!$O$18+'TUSD CVA'!$O$18)*1</f>
        <v>0</v>
      </c>
      <c r="P18" s="13">
        <f>('TUSD BE'!$P$18+'TUSD BF'!$P$18+'TUSD CVA'!$P$18)*1</f>
        <v>0</v>
      </c>
      <c r="Q18" s="13">
        <f>('TUSD BE'!$Q$18+'TUSD BF'!$Q$18+'TUSD CVA'!$Q$18)*1</f>
        <v>89.898034954753484</v>
      </c>
      <c r="R18" s="13">
        <f>('TUSD BE'!$R$18+'TUSD BF'!$R$18+'TUSD CVA'!$R$18)*1</f>
        <v>14.184759520295835</v>
      </c>
      <c r="S18" s="13">
        <f>('TUSD BE'!$S$18+'TUSD BF'!$S$18+'TUSD CVA'!$S$18)*1</f>
        <v>0</v>
      </c>
      <c r="T18" s="13">
        <f>('TUSD BE'!$U$18+'TUSD BF'!$U$18+'TUSD CVA'!$U$18)*1</f>
        <v>0</v>
      </c>
      <c r="U18" s="13">
        <f>('TUSD BE'!$V$18+'TUSD BF'!$V$18+'TUSD CVA'!$V$18)*1</f>
        <v>0</v>
      </c>
      <c r="V18" s="13">
        <f>('TUSD BE'!$W$18+'TUSD BF'!$W$18+'TUSD CVA'!$W$18)*1</f>
        <v>0</v>
      </c>
      <c r="W18" s="13">
        <f>('TUSD BE'!$X$18+'TUSD BF'!$X$18+'TUSD CVA'!$X$18)*1</f>
        <v>0</v>
      </c>
      <c r="X18" s="13">
        <f>('TUSD BE'!$Y$18+'TUSD BF'!$Y$18+'TUSD CVA'!$Y$18)*1</f>
        <v>265.05661207137706</v>
      </c>
      <c r="Y18" s="13">
        <f>('TUSD BE'!$Z$18+'TUSD BF'!$Z$18+'TUSD CVA'!$Z$18)*1</f>
        <v>0</v>
      </c>
      <c r="Z18" s="13">
        <f>('TUSD BE'!$AA$18+'TUSD BF'!$AA$18+'TUSD CVA'!$AA$18)*1</f>
        <v>0</v>
      </c>
      <c r="AA18" s="13">
        <f>('TUSD BE'!$AC$18+'TUSD BF'!$AC$18+'TUSD CVA'!$AC$18)*1</f>
        <v>540.28986249915829</v>
      </c>
      <c r="AB18" s="13">
        <f ca="1">('TUSD BE'!$AE$18+'TUSD BF'!$AE$18+'TUSD CVA'!$AE$18)*1</f>
        <v>0</v>
      </c>
      <c r="AC18" s="13">
        <f ca="1">('TUSD BE'!$AF$18+'TUSD BF'!$AF$18+'TUSD CVA'!$AF$18)*1</f>
        <v>0</v>
      </c>
      <c r="AD18" s="13">
        <f>('TUSD BE'!$AH$18+'TUSD BF'!$AH$18+'TUSD CVA'!$AH$18)*1</f>
        <v>30.549641419251962</v>
      </c>
      <c r="AE18" s="13">
        <f>('TUSD BE'!$AI$18+'TUSD BF'!$AI$18+'TUSD CVA'!$AI$18)*1</f>
        <v>1.0717012520338227</v>
      </c>
      <c r="AF18" s="13">
        <f ca="1">('TUSD BE'!$AJ$18+'TUSD BF'!$AJ$18+'TUSD CVA'!$AJ$18)*1</f>
        <v>0</v>
      </c>
      <c r="AG18" s="13">
        <f ca="1">('TUSD BE'!$AK$18+'TUSD BF'!$AK$18+'TUSD CVA'!$AK$18)*1</f>
        <v>0</v>
      </c>
      <c r="AI18" s="13">
        <v>0</v>
      </c>
      <c r="AJ18" s="13">
        <v>2.1399047554630899</v>
      </c>
      <c r="AK18" s="13">
        <v>0</v>
      </c>
      <c r="AL18" s="13">
        <v>0</v>
      </c>
      <c r="AM18" s="13">
        <v>0</v>
      </c>
      <c r="AN18" s="13">
        <v>57.030624414600901</v>
      </c>
      <c r="AO18" s="13">
        <v>8.8923299098697992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185.45879418860599</v>
      </c>
      <c r="AV18" s="13">
        <v>0</v>
      </c>
      <c r="AW18" s="13">
        <v>0</v>
      </c>
      <c r="AX18" s="13">
        <v>404.307503403353</v>
      </c>
      <c r="AY18" s="13">
        <v>0</v>
      </c>
      <c r="AZ18" s="13">
        <v>0</v>
      </c>
      <c r="BA18" s="13">
        <v>19.768833913580501</v>
      </c>
      <c r="BB18" s="13">
        <v>0</v>
      </c>
      <c r="BC18" s="13">
        <v>0</v>
      </c>
      <c r="BD18" s="13">
        <v>0</v>
      </c>
    </row>
    <row r="19" spans="1:56" ht="11.25" customHeight="1" x14ac:dyDescent="0.25">
      <c r="A19" s="109"/>
      <c r="B19" s="109"/>
      <c r="C19" s="109"/>
      <c r="D19" s="109"/>
      <c r="E19" s="109"/>
      <c r="F19" s="109"/>
      <c r="G19" s="24" t="s">
        <v>75</v>
      </c>
      <c r="H19" s="24" t="s">
        <v>73</v>
      </c>
      <c r="I19" s="24">
        <f>'MERCADO TUSD'!$U$16</f>
        <v>0</v>
      </c>
      <c r="J19" s="15"/>
      <c r="L19" s="13">
        <f>('TUSD BE'!$L$19+'TUSD BF'!$L$19+'TUSD CVA'!$L$19)*1</f>
        <v>0</v>
      </c>
      <c r="M19" s="13">
        <f>('TUSD BE'!$M$19+'TUSD BF'!$M$19+'TUSD CVA'!$M$19)*1</f>
        <v>2.2014344050507892</v>
      </c>
      <c r="N19" s="13">
        <f ca="1">('TUSD BE'!$N$19+'TUSD BF'!$N$19+'TUSD CVA'!$N$19)*1</f>
        <v>0</v>
      </c>
      <c r="O19" s="13">
        <f>('TUSD BE'!$O$19+'TUSD BF'!$O$19+'TUSD CVA'!$O$19)*1</f>
        <v>0</v>
      </c>
      <c r="P19" s="13">
        <f>('TUSD BE'!$P$19+'TUSD BF'!$P$19+'TUSD CVA'!$P$19)*1</f>
        <v>0</v>
      </c>
      <c r="Q19" s="13">
        <f>('TUSD BE'!$Q$19+'TUSD BF'!$Q$19+'TUSD CVA'!$Q$19)*1</f>
        <v>89.898034954753484</v>
      </c>
      <c r="R19" s="13">
        <f>('TUSD BE'!$R$19+'TUSD BF'!$R$19+'TUSD CVA'!$R$19)*1</f>
        <v>14.184759520295835</v>
      </c>
      <c r="S19" s="13">
        <f>('TUSD BE'!$S$19+'TUSD BF'!$S$19+'TUSD CVA'!$S$19)*1</f>
        <v>0</v>
      </c>
      <c r="T19" s="13">
        <f>('TUSD BE'!$U$19+'TUSD BF'!$U$19+'TUSD CVA'!$U$19)*1</f>
        <v>0</v>
      </c>
      <c r="U19" s="13">
        <f>('TUSD BE'!$V$19+'TUSD BF'!$V$19+'TUSD CVA'!$V$19)*1</f>
        <v>0</v>
      </c>
      <c r="V19" s="13">
        <f>('TUSD BE'!$W$19+'TUSD BF'!$W$19+'TUSD CVA'!$W$19)*1</f>
        <v>0</v>
      </c>
      <c r="W19" s="13">
        <f>('TUSD BE'!$X$19+'TUSD BF'!$X$19+'TUSD CVA'!$X$19)*1</f>
        <v>0</v>
      </c>
      <c r="X19" s="13">
        <f>('TUSD BE'!$Y$19+'TUSD BF'!$Y$19+'TUSD CVA'!$Y$19)*1</f>
        <v>88.352204023792339</v>
      </c>
      <c r="Y19" s="13">
        <f>('TUSD BE'!$Z$19+'TUSD BF'!$Z$19+'TUSD CVA'!$Z$19)*1</f>
        <v>0</v>
      </c>
      <c r="Z19" s="13">
        <f>('TUSD BE'!$AA$19+'TUSD BF'!$AA$19+'TUSD CVA'!$AA$19)*1</f>
        <v>0</v>
      </c>
      <c r="AA19" s="13">
        <f>('TUSD BE'!$AC$19+'TUSD BF'!$AC$19+'TUSD CVA'!$AC$19)*1</f>
        <v>180.09660079118763</v>
      </c>
      <c r="AB19" s="13">
        <f ca="1">('TUSD BE'!$AE$19+'TUSD BF'!$AE$19+'TUSD CVA'!$AE$19)*1</f>
        <v>0</v>
      </c>
      <c r="AC19" s="13">
        <f ca="1">('TUSD BE'!$AF$19+'TUSD BF'!$AF$19+'TUSD CVA'!$AF$19)*1</f>
        <v>0</v>
      </c>
      <c r="AD19" s="13">
        <f>('TUSD BE'!$AH$19+'TUSD BF'!$AH$19+'TUSD CVA'!$AH$19)*1</f>
        <v>30.549641419251962</v>
      </c>
      <c r="AE19" s="13">
        <f>('TUSD BE'!$AI$19+'TUSD BF'!$AI$19+'TUSD CVA'!$AI$19)*1</f>
        <v>1.0717012520338227</v>
      </c>
      <c r="AF19" s="13">
        <f ca="1">('TUSD BE'!$AJ$19+'TUSD BF'!$AJ$19+'TUSD CVA'!$AJ$19)*1</f>
        <v>0</v>
      </c>
      <c r="AG19" s="13">
        <f ca="1">('TUSD BE'!$AK$19+'TUSD BF'!$AK$19+'TUSD CVA'!$AK$19)*1</f>
        <v>0</v>
      </c>
      <c r="AI19" s="13">
        <v>0</v>
      </c>
      <c r="AJ19" s="13">
        <v>2.1399047554630899</v>
      </c>
      <c r="AK19" s="13">
        <v>0</v>
      </c>
      <c r="AL19" s="13">
        <v>0</v>
      </c>
      <c r="AM19" s="13">
        <v>0</v>
      </c>
      <c r="AN19" s="13">
        <v>57.030624414600901</v>
      </c>
      <c r="AO19" s="13">
        <v>8.8923299098697992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61.819729549446699</v>
      </c>
      <c r="AV19" s="13">
        <v>0</v>
      </c>
      <c r="AW19" s="13">
        <v>0</v>
      </c>
      <c r="AX19" s="13">
        <v>134.76907785549599</v>
      </c>
      <c r="AY19" s="13">
        <v>0</v>
      </c>
      <c r="AZ19" s="13">
        <v>0</v>
      </c>
      <c r="BA19" s="13">
        <v>19.768833913580501</v>
      </c>
      <c r="BB19" s="13">
        <v>0</v>
      </c>
      <c r="BC19" s="13">
        <v>0</v>
      </c>
      <c r="BD19" s="13">
        <v>0</v>
      </c>
    </row>
    <row r="20" spans="1:56" ht="11.25" customHeight="1" x14ac:dyDescent="0.25">
      <c r="A20" s="109"/>
      <c r="B20" s="109" t="s">
        <v>23</v>
      </c>
      <c r="C20" s="109" t="s">
        <v>24</v>
      </c>
      <c r="D20" s="23" t="s">
        <v>24</v>
      </c>
      <c r="E20" s="23" t="s">
        <v>25</v>
      </c>
      <c r="F20" s="23" t="s">
        <v>25</v>
      </c>
      <c r="G20" s="24" t="s">
        <v>77</v>
      </c>
      <c r="H20" s="24" t="s">
        <v>73</v>
      </c>
      <c r="I20" s="24">
        <f>'MERCADO TUSD'!$U$17</f>
        <v>4803.848</v>
      </c>
      <c r="J20" s="15"/>
      <c r="L20" s="13">
        <f>('TUSD BE'!$L$20+'TUSD BF'!$L$20+'TUSD CVA'!$L$20)*1</f>
        <v>0</v>
      </c>
      <c r="M20" s="13">
        <f>('TUSD BE'!$M$20+'TUSD BF'!$M$20+'TUSD CVA'!$M$20)*1</f>
        <v>2.2014344050507892</v>
      </c>
      <c r="N20" s="13">
        <f ca="1">('TUSD BE'!$N$20+'TUSD BF'!$N$20+'TUSD CVA'!$N$20)*1</f>
        <v>0</v>
      </c>
      <c r="O20" s="13">
        <f>('TUSD BE'!$O$20+'TUSD BF'!$O$20+'TUSD CVA'!$O$20)*1</f>
        <v>0</v>
      </c>
      <c r="P20" s="13">
        <f>('TUSD BE'!$P$20+'TUSD BF'!$P$20+'TUSD CVA'!$P$20)*1</f>
        <v>0</v>
      </c>
      <c r="Q20" s="13">
        <f>('TUSD BE'!$Q$20+'TUSD BF'!$Q$20+'TUSD CVA'!$Q$20)*1</f>
        <v>89.898034954753484</v>
      </c>
      <c r="R20" s="13">
        <f>('TUSD BE'!$R$20+'TUSD BF'!$R$20+'TUSD CVA'!$R$20)*1</f>
        <v>14.184759520295835</v>
      </c>
      <c r="S20" s="13">
        <f>('TUSD BE'!$S$20+'TUSD BF'!$S$20+'TUSD CVA'!$S$20)*1</f>
        <v>0</v>
      </c>
      <c r="T20" s="13">
        <f>('TUSD BE'!$U$20+'TUSD BF'!$U$20+'TUSD CVA'!$U$20)*1</f>
        <v>0</v>
      </c>
      <c r="U20" s="13">
        <f>('TUSD BE'!$V$20+'TUSD BF'!$V$20+'TUSD CVA'!$V$20)*1</f>
        <v>0</v>
      </c>
      <c r="V20" s="13">
        <f>('TUSD BE'!$W$20+'TUSD BF'!$W$20+'TUSD CVA'!$W$20)*1</f>
        <v>0</v>
      </c>
      <c r="W20" s="13">
        <f>('TUSD BE'!$X$20+'TUSD BF'!$X$20+'TUSD CVA'!$X$20)*1</f>
        <v>0</v>
      </c>
      <c r="X20" s="13">
        <f>('TUSD BE'!$Y$20+'TUSD BF'!$Y$20+'TUSD CVA'!$Y$20)*1</f>
        <v>142.50361005897548</v>
      </c>
      <c r="Y20" s="13">
        <f>('TUSD BE'!$Z$20+'TUSD BF'!$Z$20+'TUSD CVA'!$Z$20)*1</f>
        <v>0</v>
      </c>
      <c r="Z20" s="13">
        <f>('TUSD BE'!$AA$20+'TUSD BF'!$AA$20+'TUSD CVA'!$AA$20)*1</f>
        <v>0</v>
      </c>
      <c r="AA20" s="13">
        <f>('TUSD BE'!$AC$20+'TUSD BF'!$AC$20+'TUSD CVA'!$AC$20)*1</f>
        <v>290.47841552637794</v>
      </c>
      <c r="AB20" s="13">
        <f ca="1">('TUSD BE'!$AE$20+'TUSD BF'!$AE$20+'TUSD CVA'!$AE$20)*1</f>
        <v>0</v>
      </c>
      <c r="AC20" s="13">
        <f ca="1">('TUSD BE'!$AF$20+'TUSD BF'!$AF$20+'TUSD CVA'!$AF$20)*1</f>
        <v>0</v>
      </c>
      <c r="AD20" s="13">
        <f>('TUSD BE'!$AH$20+'TUSD BF'!$AH$20+'TUSD CVA'!$AH$20)*1</f>
        <v>30.549641419251962</v>
      </c>
      <c r="AE20" s="13">
        <f>('TUSD BE'!$AI$20+'TUSD BF'!$AI$20+'TUSD CVA'!$AI$20)*1</f>
        <v>1.0717012520338227</v>
      </c>
      <c r="AF20" s="13">
        <f ca="1">('TUSD BE'!$AJ$20+'TUSD BF'!$AJ$20+'TUSD CVA'!$AJ$20)*1</f>
        <v>0</v>
      </c>
      <c r="AG20" s="13">
        <f ca="1">('TUSD BE'!$AK$20+'TUSD BF'!$AK$20+'TUSD CVA'!$AK$20)*1</f>
        <v>0</v>
      </c>
      <c r="AI20" s="13">
        <v>0</v>
      </c>
      <c r="AJ20" s="13">
        <v>2.1399047554630899</v>
      </c>
      <c r="AK20" s="13">
        <v>0</v>
      </c>
      <c r="AL20" s="13">
        <v>0</v>
      </c>
      <c r="AM20" s="13">
        <v>0</v>
      </c>
      <c r="AN20" s="13">
        <v>57.030624414600901</v>
      </c>
      <c r="AO20" s="13">
        <v>8.8923299098697992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126.163080991957</v>
      </c>
      <c r="AV20" s="13">
        <v>0</v>
      </c>
      <c r="AW20" s="13">
        <v>0</v>
      </c>
      <c r="AX20" s="13">
        <v>275.03918496177499</v>
      </c>
      <c r="AY20" s="13">
        <v>0</v>
      </c>
      <c r="AZ20" s="13">
        <v>0</v>
      </c>
      <c r="BA20" s="13">
        <v>19.768833913580501</v>
      </c>
      <c r="BB20" s="13">
        <v>0</v>
      </c>
      <c r="BC20" s="13">
        <v>0</v>
      </c>
      <c r="BD20" s="13">
        <v>0</v>
      </c>
    </row>
    <row r="21" spans="1:56" ht="11.25" customHeight="1" x14ac:dyDescent="0.25">
      <c r="A21" s="109"/>
      <c r="B21" s="109"/>
      <c r="C21" s="109"/>
      <c r="D21" s="23" t="s">
        <v>29</v>
      </c>
      <c r="E21" s="23" t="s">
        <v>25</v>
      </c>
      <c r="F21" s="23" t="s">
        <v>25</v>
      </c>
      <c r="G21" s="24" t="s">
        <v>77</v>
      </c>
      <c r="H21" s="24" t="s">
        <v>73</v>
      </c>
      <c r="I21" s="24">
        <f>'MERCADO TUSD'!$U$18</f>
        <v>28.29</v>
      </c>
      <c r="J21" s="15"/>
      <c r="L21" s="13">
        <f>('TUSD BE'!$L$21+'TUSD BF'!$L$21+'TUSD CVA'!$L$21)*(1 - 0.65)</f>
        <v>0</v>
      </c>
      <c r="M21" s="13">
        <f>('TUSD BE'!$M$21+'TUSD BF'!$M$21+'TUSD CVA'!$M$21)*(1 - 0.65)</f>
        <v>0.77050204176777615</v>
      </c>
      <c r="N21" s="13">
        <f ca="1">('TUSD BE'!$N$21+'TUSD BF'!$N$21+'TUSD CVA'!$N$21)*(1 - 0.65)</f>
        <v>0</v>
      </c>
      <c r="O21" s="13">
        <f>('TUSD BE'!$O$21+'TUSD BF'!$O$21+'TUSD CVA'!$O$21)*(1 - 0.65)</f>
        <v>0</v>
      </c>
      <c r="P21" s="13">
        <v>0</v>
      </c>
      <c r="Q21" s="13">
        <f>('TUSD BE'!$Q$21+'TUSD BF'!$Q$21+'TUSD CVA'!$Q$21)*(1 - 0.65)</f>
        <v>0</v>
      </c>
      <c r="R21" s="13">
        <v>0</v>
      </c>
      <c r="S21" s="13">
        <f>('TUSD BE'!$S$21+'TUSD BF'!$S$21+'TUSD CVA'!$S$21)*(1 - 0.65)</f>
        <v>0</v>
      </c>
      <c r="T21" s="13">
        <f>('TUSD BE'!$U$21+'TUSD BF'!$U$21+'TUSD CVA'!$U$21)*(1 - 0.65)</f>
        <v>0</v>
      </c>
      <c r="U21" s="13">
        <f>('TUSD BE'!$V$21+'TUSD BF'!$V$21+'TUSD CVA'!$V$21)*(1 - 0.65)</f>
        <v>0</v>
      </c>
      <c r="V21" s="13">
        <f>('TUSD BE'!$W$21+'TUSD BF'!$W$21+'TUSD CVA'!$W$21)*(1 - 0.65)</f>
        <v>0</v>
      </c>
      <c r="W21" s="13">
        <f>('TUSD BE'!$X$21+'TUSD BF'!$X$21+'TUSD CVA'!$X$21)*(1 - 0.65)</f>
        <v>0</v>
      </c>
      <c r="X21" s="13">
        <f>('TUSD BE'!$Y$21+'TUSD BF'!$Y$21+'TUSD CVA'!$Y$21)*(1 - 0.65)</f>
        <v>49.876263520641416</v>
      </c>
      <c r="Y21" s="13">
        <f>('TUSD BE'!$Z$21+'TUSD BF'!$Z$21+'TUSD CVA'!$Z$21)*(1 - 0.65)</f>
        <v>0</v>
      </c>
      <c r="Z21" s="13">
        <f>('TUSD BE'!$AA$21+'TUSD BF'!$AA$21+'TUSD CVA'!$AA$21)*(1 - 0.65)</f>
        <v>0</v>
      </c>
      <c r="AA21" s="13">
        <f>('TUSD BE'!$AC$21+'TUSD BF'!$AC$21+'TUSD CVA'!$AC$21)*(1 - 0.65)</f>
        <v>101.66744543423228</v>
      </c>
      <c r="AB21" s="13">
        <f ca="1">('TUSD BE'!$AE$21+'TUSD BF'!$AE$21+'TUSD CVA'!$AE$21)*(1 - 0.65)</f>
        <v>0</v>
      </c>
      <c r="AC21" s="13">
        <f ca="1">('TUSD BE'!$AF$21+'TUSD BF'!$AF$21+'TUSD CVA'!$AF$21)*(1 - 0.65)</f>
        <v>0</v>
      </c>
      <c r="AD21" s="13">
        <f>('TUSD BE'!$AH$21+'TUSD BF'!$AH$21+'TUSD CVA'!$AH$21)*(1 - 0.65)</f>
        <v>10.692374496738186</v>
      </c>
      <c r="AE21" s="13">
        <f>('TUSD BE'!$AI$21+'TUSD BF'!$AI$21+'TUSD CVA'!$AI$21)*(1 - 0.65)</f>
        <v>0.37509543821183794</v>
      </c>
      <c r="AF21" s="13">
        <f ca="1">('TUSD BE'!$AJ$21+'TUSD BF'!$AJ$21+'TUSD CVA'!$AJ$21)*(1 - 0.65)</f>
        <v>0</v>
      </c>
      <c r="AG21" s="13">
        <f ca="1">('TUSD BE'!$AK$21+'TUSD BF'!$AK$21+'TUSD CVA'!$AK$21)*(1 - 0.65)</f>
        <v>0</v>
      </c>
      <c r="AI21" s="13">
        <v>0</v>
      </c>
      <c r="AJ21" s="13">
        <v>0.74896666441208204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44.1570783471848</v>
      </c>
      <c r="AV21" s="13">
        <v>0</v>
      </c>
      <c r="AW21" s="13">
        <v>0</v>
      </c>
      <c r="AX21" s="13">
        <v>96.263714736621196</v>
      </c>
      <c r="AY21" s="13">
        <v>0</v>
      </c>
      <c r="AZ21" s="13">
        <v>0</v>
      </c>
      <c r="BA21" s="13">
        <v>6.9190918697531902</v>
      </c>
      <c r="BB21" s="13">
        <v>0</v>
      </c>
      <c r="BC21" s="13">
        <v>0</v>
      </c>
      <c r="BD21" s="13">
        <v>0</v>
      </c>
    </row>
    <row r="22" spans="1:56" ht="11.25" customHeight="1" x14ac:dyDescent="0.25">
      <c r="A22" s="109"/>
      <c r="B22" s="109"/>
      <c r="C22" s="109"/>
      <c r="D22" s="23" t="s">
        <v>30</v>
      </c>
      <c r="E22" s="23" t="s">
        <v>25</v>
      </c>
      <c r="F22" s="23" t="s">
        <v>25</v>
      </c>
      <c r="G22" s="24" t="s">
        <v>77</v>
      </c>
      <c r="H22" s="24" t="s">
        <v>73</v>
      </c>
      <c r="I22" s="24">
        <f>'MERCADO TUSD'!$U$19</f>
        <v>50.516000000000005</v>
      </c>
      <c r="J22" s="15"/>
      <c r="L22" s="13">
        <f>('TUSD BE'!$L$22+'TUSD BF'!$L$22+'TUSD CVA'!$L$22)*(1 - 0.4)</f>
        <v>0</v>
      </c>
      <c r="M22" s="13">
        <f>('TUSD BE'!$M$22+'TUSD BF'!$M$22+'TUSD CVA'!$M$22)*(1 - 0.4)</f>
        <v>1.3208606430304735</v>
      </c>
      <c r="N22" s="13">
        <f ca="1">('TUSD BE'!$N$22+'TUSD BF'!$N$22+'TUSD CVA'!$N$22)*(1 - 0.4)</f>
        <v>0</v>
      </c>
      <c r="O22" s="13">
        <f>('TUSD BE'!$O$22+'TUSD BF'!$O$22+'TUSD CVA'!$O$22)*(1 - 0.4)</f>
        <v>0</v>
      </c>
      <c r="P22" s="13">
        <v>0</v>
      </c>
      <c r="Q22" s="13">
        <f>('TUSD BE'!$Q$22+'TUSD BF'!$Q$22+'TUSD CVA'!$Q$22)*(1 - 0.4)</f>
        <v>0</v>
      </c>
      <c r="R22" s="13">
        <v>0</v>
      </c>
      <c r="S22" s="13">
        <f>('TUSD BE'!$S$22+'TUSD BF'!$S$22+'TUSD CVA'!$S$22)*(1 - 0.4)</f>
        <v>0</v>
      </c>
      <c r="T22" s="13">
        <f>('TUSD BE'!$U$22+'TUSD BF'!$U$22+'TUSD CVA'!$U$22)*(1 - 0.4)</f>
        <v>0</v>
      </c>
      <c r="U22" s="13">
        <f>('TUSD BE'!$V$22+'TUSD BF'!$V$22+'TUSD CVA'!$V$22)*(1 - 0.4)</f>
        <v>0</v>
      </c>
      <c r="V22" s="13">
        <f>('TUSD BE'!$W$22+'TUSD BF'!$W$22+'TUSD CVA'!$W$22)*(1 - 0.4)</f>
        <v>0</v>
      </c>
      <c r="W22" s="13">
        <f>('TUSD BE'!$X$22+'TUSD BF'!$X$22+'TUSD CVA'!$X$22)*(1 - 0.4)</f>
        <v>0</v>
      </c>
      <c r="X22" s="13">
        <f>('TUSD BE'!$Y$22+'TUSD BF'!$Y$22+'TUSD CVA'!$Y$22)*(1 - 0.4)</f>
        <v>85.502166035385287</v>
      </c>
      <c r="Y22" s="13">
        <f>('TUSD BE'!$Z$22+'TUSD BF'!$Z$22+'TUSD CVA'!$Z$22)*(1 - 0.4)</f>
        <v>0</v>
      </c>
      <c r="Z22" s="13">
        <f>('TUSD BE'!$AA$22+'TUSD BF'!$AA$22+'TUSD CVA'!$AA$22)*(1 - 0.4)</f>
        <v>0</v>
      </c>
      <c r="AA22" s="13">
        <f>('TUSD BE'!$AC$22+'TUSD BF'!$AC$22+'TUSD CVA'!$AC$22)*(1 - 0.4)</f>
        <v>174.28704931582675</v>
      </c>
      <c r="AB22" s="13">
        <f ca="1">('TUSD BE'!$AE$22+'TUSD BF'!$AE$22+'TUSD CVA'!$AE$22)*(1 - 0.4)</f>
        <v>0</v>
      </c>
      <c r="AC22" s="13">
        <f ca="1">('TUSD BE'!$AF$22+'TUSD BF'!$AF$22+'TUSD CVA'!$AF$22)*(1 - 0.4)</f>
        <v>0</v>
      </c>
      <c r="AD22" s="13">
        <f>('TUSD BE'!$AH$22+'TUSD BF'!$AH$22+'TUSD CVA'!$AH$22)*(1 - 0.4)</f>
        <v>18.329784851551178</v>
      </c>
      <c r="AE22" s="13">
        <f>('TUSD BE'!$AI$22+'TUSD BF'!$AI$22+'TUSD CVA'!$AI$22)*(1 - 0.4)</f>
        <v>0.64302075122029356</v>
      </c>
      <c r="AF22" s="13">
        <f ca="1">('TUSD BE'!$AJ$22+'TUSD BF'!$AJ$22+'TUSD CVA'!$AJ$22)*(1 - 0.4)</f>
        <v>0</v>
      </c>
      <c r="AG22" s="13">
        <f ca="1">('TUSD BE'!$AK$22+'TUSD BF'!$AK$22+'TUSD CVA'!$AK$22)*(1 - 0.4)</f>
        <v>0</v>
      </c>
      <c r="AI22" s="13">
        <v>0</v>
      </c>
      <c r="AJ22" s="13">
        <v>1.2839428532778501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75.697848595173895</v>
      </c>
      <c r="AV22" s="13">
        <v>0</v>
      </c>
      <c r="AW22" s="13">
        <v>0</v>
      </c>
      <c r="AX22" s="13">
        <v>165.023510977065</v>
      </c>
      <c r="AY22" s="13">
        <v>0</v>
      </c>
      <c r="AZ22" s="13">
        <v>0</v>
      </c>
      <c r="BA22" s="13">
        <v>11.861300348148299</v>
      </c>
      <c r="BB22" s="13">
        <v>0</v>
      </c>
      <c r="BC22" s="13">
        <v>0</v>
      </c>
      <c r="BD22" s="13">
        <v>0</v>
      </c>
    </row>
    <row r="23" spans="1:56" ht="11.25" customHeight="1" x14ac:dyDescent="0.25">
      <c r="A23" s="109"/>
      <c r="B23" s="109"/>
      <c r="C23" s="109"/>
      <c r="D23" s="23" t="s">
        <v>31</v>
      </c>
      <c r="E23" s="23" t="s">
        <v>25</v>
      </c>
      <c r="F23" s="23" t="s">
        <v>25</v>
      </c>
      <c r="G23" s="24" t="s">
        <v>77</v>
      </c>
      <c r="H23" s="24" t="s">
        <v>73</v>
      </c>
      <c r="I23" s="24">
        <f>'MERCADO TUSD'!$U$20</f>
        <v>39.111000000000004</v>
      </c>
      <c r="J23" s="15"/>
      <c r="L23" s="13">
        <f>('TUSD BE'!$L$23+'TUSD BF'!$L$23+'TUSD CVA'!$L$23)*(1 - 0.1)</f>
        <v>0</v>
      </c>
      <c r="M23" s="13">
        <f>('TUSD BE'!$M$23+'TUSD BF'!$M$23+'TUSD CVA'!$M$23)*(1 - 0.1)</f>
        <v>1.9812909645457104</v>
      </c>
      <c r="N23" s="13">
        <f ca="1">('TUSD BE'!$N$23+'TUSD BF'!$N$23+'TUSD CVA'!$N$23)*(1 - 0.1)</f>
        <v>0</v>
      </c>
      <c r="O23" s="13">
        <f>('TUSD BE'!$O$23+'TUSD BF'!$O$23+'TUSD CVA'!$O$23)*(1 - 0.1)</f>
        <v>0</v>
      </c>
      <c r="P23" s="13">
        <v>0</v>
      </c>
      <c r="Q23" s="13">
        <f>('TUSD BE'!$Q$23+'TUSD BF'!$Q$23+'TUSD CVA'!$Q$23)*(1 - 0.1)</f>
        <v>0</v>
      </c>
      <c r="R23" s="13">
        <v>0</v>
      </c>
      <c r="S23" s="13">
        <f>('TUSD BE'!$S$23+'TUSD BF'!$S$23+'TUSD CVA'!$S$23)*(1 - 0.1)</f>
        <v>0</v>
      </c>
      <c r="T23" s="13">
        <f>('TUSD BE'!$U$23+'TUSD BF'!$U$23+'TUSD CVA'!$U$23)*(1 - 0.1)</f>
        <v>0</v>
      </c>
      <c r="U23" s="13">
        <f>('TUSD BE'!$V$23+'TUSD BF'!$V$23+'TUSD CVA'!$V$23)*(1 - 0.1)</f>
        <v>0</v>
      </c>
      <c r="V23" s="13">
        <f>('TUSD BE'!$W$23+'TUSD BF'!$W$23+'TUSD CVA'!$W$23)*(1 - 0.1)</f>
        <v>0</v>
      </c>
      <c r="W23" s="13">
        <f>('TUSD BE'!$X$23+'TUSD BF'!$X$23+'TUSD CVA'!$X$23)*(1 - 0.1)</f>
        <v>0</v>
      </c>
      <c r="X23" s="13">
        <f>('TUSD BE'!$Y$23+'TUSD BF'!$Y$23+'TUSD CVA'!$Y$23)*(1 - 0.1)</f>
        <v>128.25324905307795</v>
      </c>
      <c r="Y23" s="13">
        <f>('TUSD BE'!$Z$23+'TUSD BF'!$Z$23+'TUSD CVA'!$Z$23)*(1 - 0.1)</f>
        <v>0</v>
      </c>
      <c r="Z23" s="13">
        <f>('TUSD BE'!$AA$23+'TUSD BF'!$AA$23+'TUSD CVA'!$AA$23)*(1 - 0.1)</f>
        <v>0</v>
      </c>
      <c r="AA23" s="13">
        <f>('TUSD BE'!$AC$23+'TUSD BF'!$AC$23+'TUSD CVA'!$AC$23)*(1 - 0.1)</f>
        <v>261.43057397374014</v>
      </c>
      <c r="AB23" s="13">
        <f ca="1">('TUSD BE'!$AE$23+'TUSD BF'!$AE$23+'TUSD CVA'!$AE$23)*(1 - 0.1)</f>
        <v>0</v>
      </c>
      <c r="AC23" s="13">
        <f ca="1">('TUSD BE'!$AF$23+'TUSD BF'!$AF$23+'TUSD CVA'!$AF$23)*(1 - 0.1)</f>
        <v>0</v>
      </c>
      <c r="AD23" s="13">
        <f>('TUSD BE'!$AH$23+'TUSD BF'!$AH$23+'TUSD CVA'!$AH$23)*(1 - 0.1)</f>
        <v>27.494677277326765</v>
      </c>
      <c r="AE23" s="13">
        <f>('TUSD BE'!$AI$23+'TUSD BF'!$AI$23+'TUSD CVA'!$AI$23)*(1 - 0.1)</f>
        <v>0.96453112683044051</v>
      </c>
      <c r="AF23" s="13">
        <f ca="1">('TUSD BE'!$AJ$23+'TUSD BF'!$AJ$23+'TUSD CVA'!$AJ$23)*(1 - 0.1)</f>
        <v>0</v>
      </c>
      <c r="AG23" s="13">
        <f ca="1">('TUSD BE'!$AK$23+'TUSD BF'!$AK$23+'TUSD CVA'!$AK$23)*(1 - 0.1)</f>
        <v>0</v>
      </c>
      <c r="AI23" s="13">
        <v>0</v>
      </c>
      <c r="AJ23" s="13">
        <v>1.9259142799167801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113.546772892761</v>
      </c>
      <c r="AV23" s="13">
        <v>0</v>
      </c>
      <c r="AW23" s="13">
        <v>0</v>
      </c>
      <c r="AX23" s="13">
        <v>247.535266465597</v>
      </c>
      <c r="AY23" s="13">
        <v>0</v>
      </c>
      <c r="AZ23" s="13">
        <v>0</v>
      </c>
      <c r="BA23" s="13">
        <v>17.7919505222225</v>
      </c>
      <c r="BB23" s="13">
        <v>0</v>
      </c>
      <c r="BC23" s="13">
        <v>0</v>
      </c>
      <c r="BD23" s="13">
        <v>0</v>
      </c>
    </row>
    <row r="24" spans="1:56" ht="11.25" customHeight="1" x14ac:dyDescent="0.25">
      <c r="A24" s="109"/>
      <c r="B24" s="109"/>
      <c r="C24" s="109"/>
      <c r="D24" s="23" t="s">
        <v>32</v>
      </c>
      <c r="E24" s="23" t="s">
        <v>25</v>
      </c>
      <c r="F24" s="23" t="s">
        <v>25</v>
      </c>
      <c r="G24" s="24" t="s">
        <v>77</v>
      </c>
      <c r="H24" s="24" t="s">
        <v>73</v>
      </c>
      <c r="I24" s="24">
        <f>'MERCADO TUSD'!$U$21</f>
        <v>10.074999999999999</v>
      </c>
      <c r="J24" s="15"/>
      <c r="L24" s="13">
        <f>('TUSD BE'!$L$24+'TUSD BF'!$L$24+'TUSD CVA'!$L$24)*1</f>
        <v>0</v>
      </c>
      <c r="M24" s="13">
        <f>('TUSD BE'!$M$24+'TUSD BF'!$M$24+'TUSD CVA'!$M$24)*1</f>
        <v>2.2014344050507892</v>
      </c>
      <c r="N24" s="13">
        <f ca="1">('TUSD BE'!$N$24+'TUSD BF'!$N$24+'TUSD CVA'!$N$24)*1</f>
        <v>0</v>
      </c>
      <c r="O24" s="13">
        <f>('TUSD BE'!$O$24+'TUSD BF'!$O$24+'TUSD CVA'!$O$24)*1</f>
        <v>0</v>
      </c>
      <c r="P24" s="13">
        <v>0</v>
      </c>
      <c r="Q24" s="13">
        <f>('TUSD BE'!$Q$24+'TUSD BF'!$Q$24+'TUSD CVA'!$Q$24)*1</f>
        <v>0</v>
      </c>
      <c r="R24" s="13">
        <v>0</v>
      </c>
      <c r="S24" s="13">
        <f>('TUSD BE'!$S$24+'TUSD BF'!$S$24+'TUSD CVA'!$S$24)*1</f>
        <v>0</v>
      </c>
      <c r="T24" s="13">
        <f>('TUSD BE'!$U$24+'TUSD BF'!$U$24+'TUSD CVA'!$U$24)*1</f>
        <v>0</v>
      </c>
      <c r="U24" s="13">
        <f>('TUSD BE'!$V$24+'TUSD BF'!$V$24+'TUSD CVA'!$V$24)*1</f>
        <v>0</v>
      </c>
      <c r="V24" s="13">
        <f>('TUSD BE'!$W$24+'TUSD BF'!$W$24+'TUSD CVA'!$W$24)*1</f>
        <v>0</v>
      </c>
      <c r="W24" s="13">
        <f>('TUSD BE'!$X$24+'TUSD BF'!$X$24+'TUSD CVA'!$X$24)*1</f>
        <v>0</v>
      </c>
      <c r="X24" s="13">
        <f>('TUSD BE'!$Y$24+'TUSD BF'!$Y$24+'TUSD CVA'!$Y$24)*1</f>
        <v>142.50361005897548</v>
      </c>
      <c r="Y24" s="13">
        <f>('TUSD BE'!$Z$24+'TUSD BF'!$Z$24+'TUSD CVA'!$Z$24)*1</f>
        <v>0</v>
      </c>
      <c r="Z24" s="13">
        <f>('TUSD BE'!$AA$24+'TUSD BF'!$AA$24+'TUSD CVA'!$AA$24)*1</f>
        <v>0</v>
      </c>
      <c r="AA24" s="13">
        <f>('TUSD BE'!$AC$24+'TUSD BF'!$AC$24+'TUSD CVA'!$AC$24)*1</f>
        <v>290.47841552637794</v>
      </c>
      <c r="AB24" s="13">
        <f ca="1">('TUSD BE'!$AE$24+'TUSD BF'!$AE$24+'TUSD CVA'!$AE$24)*1</f>
        <v>0</v>
      </c>
      <c r="AC24" s="13">
        <f ca="1">('TUSD BE'!$AF$24+'TUSD BF'!$AF$24+'TUSD CVA'!$AF$24)*1</f>
        <v>0</v>
      </c>
      <c r="AD24" s="13">
        <f>('TUSD BE'!$AH$24+'TUSD BF'!$AH$24+'TUSD CVA'!$AH$24)*1</f>
        <v>30.549641419251962</v>
      </c>
      <c r="AE24" s="13">
        <f>('TUSD BE'!$AI$24+'TUSD BF'!$AI$24+'TUSD CVA'!$AI$24)*1</f>
        <v>1.0717012520338227</v>
      </c>
      <c r="AF24" s="13">
        <f ca="1">('TUSD BE'!$AJ$24+'TUSD BF'!$AJ$24+'TUSD CVA'!$AJ$24)*1</f>
        <v>0</v>
      </c>
      <c r="AG24" s="13">
        <f ca="1">('TUSD BE'!$AK$24+'TUSD BF'!$AK$24+'TUSD CVA'!$AK$24)*1</f>
        <v>0</v>
      </c>
      <c r="AI24" s="13">
        <v>0</v>
      </c>
      <c r="AJ24" s="13">
        <v>2.1399047554630899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126.163080991957</v>
      </c>
      <c r="AV24" s="13">
        <v>0</v>
      </c>
      <c r="AW24" s="13">
        <v>0</v>
      </c>
      <c r="AX24" s="13">
        <v>275.03918496177499</v>
      </c>
      <c r="AY24" s="13">
        <v>0</v>
      </c>
      <c r="AZ24" s="13">
        <v>0</v>
      </c>
      <c r="BA24" s="13">
        <v>19.768833913580501</v>
      </c>
      <c r="BB24" s="13">
        <v>0</v>
      </c>
      <c r="BC24" s="13">
        <v>0</v>
      </c>
      <c r="BD24" s="13">
        <v>0</v>
      </c>
    </row>
    <row r="25" spans="1:56" ht="11.25" customHeight="1" x14ac:dyDescent="0.25">
      <c r="A25" s="109"/>
      <c r="B25" s="109" t="s">
        <v>88</v>
      </c>
      <c r="C25" s="109" t="s">
        <v>24</v>
      </c>
      <c r="D25" s="23" t="s">
        <v>24</v>
      </c>
      <c r="E25" s="23" t="s">
        <v>25</v>
      </c>
      <c r="F25" s="23" t="s">
        <v>25</v>
      </c>
      <c r="G25" s="24" t="s">
        <v>77</v>
      </c>
      <c r="H25" s="24" t="s">
        <v>73</v>
      </c>
      <c r="I25" s="24">
        <f>'MERCADO TUSD'!$U$22</f>
        <v>0</v>
      </c>
      <c r="J25" s="15"/>
      <c r="L25" s="13">
        <f>('TUSD BE'!$L$25+'TUSD BF'!$L$25+'TUSD CVA'!$L$25)*1</f>
        <v>0</v>
      </c>
      <c r="M25" s="13">
        <f>('TUSD BE'!$M$25+'TUSD BF'!$M$25+'TUSD CVA'!$M$25)*1</f>
        <v>2.2014344050507892</v>
      </c>
      <c r="N25" s="13">
        <f ca="1">('TUSD BE'!$N$25+'TUSD BF'!$N$25+'TUSD CVA'!$N$25)*1</f>
        <v>0</v>
      </c>
      <c r="O25" s="13">
        <f>('TUSD BE'!$O$25+'TUSD BF'!$O$25+'TUSD CVA'!$O$25)*1</f>
        <v>0</v>
      </c>
      <c r="P25" s="13">
        <f>('TUSD BE'!$P$25+'TUSD BF'!$P$25+'TUSD CVA'!$P$25)*1</f>
        <v>0</v>
      </c>
      <c r="Q25" s="13">
        <f>('TUSD BE'!$Q$25+'TUSD BF'!$Q$25+'TUSD CVA'!$Q$25)*1</f>
        <v>89.898034954753484</v>
      </c>
      <c r="R25" s="13">
        <f>('TUSD BE'!$R$25+'TUSD BF'!$R$25+'TUSD CVA'!$R$25)*1</f>
        <v>14.184759520295835</v>
      </c>
      <c r="S25" s="13">
        <f>('TUSD BE'!$S$25+'TUSD BF'!$S$25+'TUSD CVA'!$S$25)*1</f>
        <v>0</v>
      </c>
      <c r="T25" s="13">
        <f>('TUSD BE'!$U$25+'TUSD BF'!$U$25+'TUSD CVA'!$U$25)*1</f>
        <v>0</v>
      </c>
      <c r="U25" s="13">
        <f>('TUSD BE'!$V$25+'TUSD BF'!$V$25+'TUSD CVA'!$V$25)*1</f>
        <v>0</v>
      </c>
      <c r="V25" s="13">
        <f>('TUSD BE'!$W$25+'TUSD BF'!$W$25+'TUSD CVA'!$W$25)*1</f>
        <v>0</v>
      </c>
      <c r="W25" s="13">
        <f>('TUSD BE'!$X$25+'TUSD BF'!$X$25+'TUSD CVA'!$X$25)*1</f>
        <v>0</v>
      </c>
      <c r="X25" s="13">
        <f>('TUSD BE'!$Y$25+'TUSD BF'!$Y$25+'TUSD CVA'!$Y$25)*1</f>
        <v>142.50361005897548</v>
      </c>
      <c r="Y25" s="13">
        <f>('TUSD BE'!$Z$25+'TUSD BF'!$Z$25+'TUSD CVA'!$Z$25)*1</f>
        <v>0</v>
      </c>
      <c r="Z25" s="13">
        <f>('TUSD BE'!$AA$25+'TUSD BF'!$AA$25+'TUSD CVA'!$AA$25)*1</f>
        <v>0</v>
      </c>
      <c r="AA25" s="13">
        <f>('TUSD BE'!$AC$25+'TUSD BF'!$AC$25+'TUSD CVA'!$AC$25)*1</f>
        <v>290.47841552637794</v>
      </c>
      <c r="AB25" s="13">
        <f ca="1">('TUSD BE'!$AE$25+'TUSD BF'!$AE$25+'TUSD CVA'!$AE$25)*1</f>
        <v>0</v>
      </c>
      <c r="AC25" s="13">
        <f ca="1">('TUSD BE'!$AF$25+'TUSD BF'!$AF$25+'TUSD CVA'!$AF$25)*1</f>
        <v>0</v>
      </c>
      <c r="AD25" s="13">
        <f>('TUSD BE'!$AH$25+'TUSD BF'!$AH$25+'TUSD CVA'!$AH$25)*1</f>
        <v>30.549641419251962</v>
      </c>
      <c r="AE25" s="13">
        <f>('TUSD BE'!$AI$25+'TUSD BF'!$AI$25+'TUSD CVA'!$AI$25)*1</f>
        <v>1.0717012520338227</v>
      </c>
      <c r="AF25" s="13">
        <f ca="1">('TUSD BE'!$AJ$25+'TUSD BF'!$AJ$25+'TUSD CVA'!$AJ$25)*1</f>
        <v>0</v>
      </c>
      <c r="AG25" s="13">
        <f ca="1">('TUSD BE'!$AK$25+'TUSD BF'!$AK$25+'TUSD CVA'!$AK$25)*1</f>
        <v>0</v>
      </c>
      <c r="AI25" s="13">
        <v>0</v>
      </c>
      <c r="AJ25" s="13">
        <v>2.1399047554630899</v>
      </c>
      <c r="AK25" s="13">
        <v>0</v>
      </c>
      <c r="AL25" s="13">
        <v>0</v>
      </c>
      <c r="AM25" s="13">
        <v>0</v>
      </c>
      <c r="AN25" s="13">
        <v>57.030624414600901</v>
      </c>
      <c r="AO25" s="13">
        <v>8.8923299098697992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126.163080991957</v>
      </c>
      <c r="AV25" s="13">
        <v>0</v>
      </c>
      <c r="AW25" s="13">
        <v>0</v>
      </c>
      <c r="AX25" s="13">
        <v>275.03918496177499</v>
      </c>
      <c r="AY25" s="13">
        <v>0</v>
      </c>
      <c r="AZ25" s="13">
        <v>0</v>
      </c>
      <c r="BA25" s="13">
        <v>19.768833913580501</v>
      </c>
      <c r="BB25" s="13">
        <v>0</v>
      </c>
      <c r="BC25" s="13">
        <v>0</v>
      </c>
      <c r="BD25" s="13">
        <v>0</v>
      </c>
    </row>
    <row r="26" spans="1:56" ht="11.25" customHeight="1" x14ac:dyDescent="0.25">
      <c r="A26" s="109"/>
      <c r="B26" s="109"/>
      <c r="C26" s="109"/>
      <c r="D26" s="23" t="s">
        <v>29</v>
      </c>
      <c r="E26" s="23" t="s">
        <v>25</v>
      </c>
      <c r="F26" s="23" t="s">
        <v>25</v>
      </c>
      <c r="G26" s="24" t="s">
        <v>77</v>
      </c>
      <c r="H26" s="24" t="s">
        <v>73</v>
      </c>
      <c r="I26" s="24">
        <f>'MERCADO TUSD'!$U$23</f>
        <v>0</v>
      </c>
      <c r="J26" s="15"/>
      <c r="L26" s="13">
        <f>('TUSD BE'!$L$26+'TUSD BF'!$L$26+'TUSD CVA'!$L$26)*(1 - 0.65)</f>
        <v>0</v>
      </c>
      <c r="M26" s="13">
        <f>('TUSD BE'!$M$26+'TUSD BF'!$M$26+'TUSD CVA'!$M$26)*(1 - 0.65)</f>
        <v>0.77050204176777615</v>
      </c>
      <c r="N26" s="13">
        <f ca="1">('TUSD BE'!$N$26+'TUSD BF'!$N$26+'TUSD CVA'!$N$26)*(1 - 0.65)</f>
        <v>0</v>
      </c>
      <c r="O26" s="13">
        <f>('TUSD BE'!$O$26+'TUSD BF'!$O$26+'TUSD CVA'!$O$26)*(1 - 0.65)</f>
        <v>0</v>
      </c>
      <c r="P26" s="13">
        <v>0</v>
      </c>
      <c r="Q26" s="13">
        <f>('TUSD BE'!$Q$26+'TUSD BF'!$Q$26+'TUSD CVA'!$Q$26)*(1 - 0.65)</f>
        <v>0</v>
      </c>
      <c r="R26" s="13">
        <v>0</v>
      </c>
      <c r="S26" s="13">
        <f>('TUSD BE'!$S$26+'TUSD BF'!$S$26+'TUSD CVA'!$S$26)*(1 - 0.65)</f>
        <v>0</v>
      </c>
      <c r="T26" s="13">
        <f>('TUSD BE'!$U$26+'TUSD BF'!$U$26+'TUSD CVA'!$U$26)*(1 - 0.65)</f>
        <v>0</v>
      </c>
      <c r="U26" s="13">
        <f>('TUSD BE'!$V$26+'TUSD BF'!$V$26+'TUSD CVA'!$V$26)*(1 - 0.65)</f>
        <v>0</v>
      </c>
      <c r="V26" s="13">
        <f>('TUSD BE'!$W$26+'TUSD BF'!$W$26+'TUSD CVA'!$W$26)*(1 - 0.65)</f>
        <v>0</v>
      </c>
      <c r="W26" s="13">
        <f>('TUSD BE'!$X$26+'TUSD BF'!$X$26+'TUSD CVA'!$X$26)*(1 - 0.65)</f>
        <v>0</v>
      </c>
      <c r="X26" s="13">
        <f>('TUSD BE'!$Y$26+'TUSD BF'!$Y$26+'TUSD CVA'!$Y$26)*(1 - 0.65)</f>
        <v>49.876263520641416</v>
      </c>
      <c r="Y26" s="13">
        <f>('TUSD BE'!$Z$26+'TUSD BF'!$Z$26+'TUSD CVA'!$Z$26)*(1 - 0.65)</f>
        <v>0</v>
      </c>
      <c r="Z26" s="13">
        <f>('TUSD BE'!$AA$26+'TUSD BF'!$AA$26+'TUSD CVA'!$AA$26)*(1 - 0.65)</f>
        <v>0</v>
      </c>
      <c r="AA26" s="13">
        <f>('TUSD BE'!$AC$26+'TUSD BF'!$AC$26+'TUSD CVA'!$AC$26)*(1 - 0.65)</f>
        <v>101.66744543423228</v>
      </c>
      <c r="AB26" s="13">
        <f ca="1">('TUSD BE'!$AE$26+'TUSD BF'!$AE$26+'TUSD CVA'!$AE$26)*(1 - 0.65)</f>
        <v>0</v>
      </c>
      <c r="AC26" s="13">
        <f ca="1">('TUSD BE'!$AF$26+'TUSD BF'!$AF$26+'TUSD CVA'!$AF$26)*(1 - 0.65)</f>
        <v>0</v>
      </c>
      <c r="AD26" s="13">
        <f>('TUSD BE'!$AH$26+'TUSD BF'!$AH$26+'TUSD CVA'!$AH$26)*(1 - 0.65)</f>
        <v>10.692374496738186</v>
      </c>
      <c r="AE26" s="13">
        <f>('TUSD BE'!$AI$26+'TUSD BF'!$AI$26+'TUSD CVA'!$AI$26)*(1 - 0.65)</f>
        <v>0.37509543821183794</v>
      </c>
      <c r="AF26" s="13">
        <f ca="1">('TUSD BE'!$AJ$26+'TUSD BF'!$AJ$26+'TUSD CVA'!$AJ$26)*(1 - 0.65)</f>
        <v>0</v>
      </c>
      <c r="AG26" s="13">
        <f ca="1">('TUSD BE'!$AK$26+'TUSD BF'!$AK$26+'TUSD CVA'!$AK$26)*(1 - 0.65)</f>
        <v>0</v>
      </c>
      <c r="AI26" s="13">
        <v>0</v>
      </c>
      <c r="AJ26" s="13">
        <v>0.74896666441208204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44.1570783471848</v>
      </c>
      <c r="AV26" s="13">
        <v>0</v>
      </c>
      <c r="AW26" s="13">
        <v>0</v>
      </c>
      <c r="AX26" s="13">
        <v>96.263714736621196</v>
      </c>
      <c r="AY26" s="13">
        <v>0</v>
      </c>
      <c r="AZ26" s="13">
        <v>0</v>
      </c>
      <c r="BA26" s="13">
        <v>6.9190918697531902</v>
      </c>
      <c r="BB26" s="13">
        <v>0</v>
      </c>
      <c r="BC26" s="13">
        <v>0</v>
      </c>
      <c r="BD26" s="13">
        <v>0</v>
      </c>
    </row>
    <row r="27" spans="1:56" ht="11.25" customHeight="1" x14ac:dyDescent="0.25">
      <c r="A27" s="109"/>
      <c r="B27" s="109"/>
      <c r="C27" s="109"/>
      <c r="D27" s="23" t="s">
        <v>30</v>
      </c>
      <c r="E27" s="23" t="s">
        <v>25</v>
      </c>
      <c r="F27" s="23" t="s">
        <v>25</v>
      </c>
      <c r="G27" s="24" t="s">
        <v>77</v>
      </c>
      <c r="H27" s="24" t="s">
        <v>73</v>
      </c>
      <c r="I27" s="24">
        <f>'MERCADO TUSD'!$U$24</f>
        <v>0</v>
      </c>
      <c r="J27" s="15"/>
      <c r="L27" s="13">
        <f>('TUSD BE'!$L$27+'TUSD BF'!$L$27+'TUSD CVA'!$L$27)*(1 - 0.4)</f>
        <v>0</v>
      </c>
      <c r="M27" s="13">
        <f>('TUSD BE'!$M$27+'TUSD BF'!$M$27+'TUSD CVA'!$M$27)*(1 - 0.4)</f>
        <v>1.3208606430304735</v>
      </c>
      <c r="N27" s="13">
        <f ca="1">('TUSD BE'!$N$27+'TUSD BF'!$N$27+'TUSD CVA'!$N$27)*(1 - 0.4)</f>
        <v>0</v>
      </c>
      <c r="O27" s="13">
        <f>('TUSD BE'!$O$27+'TUSD BF'!$O$27+'TUSD CVA'!$O$27)*(1 - 0.4)</f>
        <v>0</v>
      </c>
      <c r="P27" s="13">
        <v>0</v>
      </c>
      <c r="Q27" s="13">
        <f>('TUSD BE'!$Q$27+'TUSD BF'!$Q$27+'TUSD CVA'!$Q$27)*(1 - 0.4)</f>
        <v>0</v>
      </c>
      <c r="R27" s="13">
        <v>0</v>
      </c>
      <c r="S27" s="13">
        <f>('TUSD BE'!$S$27+'TUSD BF'!$S$27+'TUSD CVA'!$S$27)*(1 - 0.4)</f>
        <v>0</v>
      </c>
      <c r="T27" s="13">
        <f>('TUSD BE'!$U$27+'TUSD BF'!$U$27+'TUSD CVA'!$U$27)*(1 - 0.4)</f>
        <v>0</v>
      </c>
      <c r="U27" s="13">
        <f>('TUSD BE'!$V$27+'TUSD BF'!$V$27+'TUSD CVA'!$V$27)*(1 - 0.4)</f>
        <v>0</v>
      </c>
      <c r="V27" s="13">
        <f>('TUSD BE'!$W$27+'TUSD BF'!$W$27+'TUSD CVA'!$W$27)*(1 - 0.4)</f>
        <v>0</v>
      </c>
      <c r="W27" s="13">
        <f>('TUSD BE'!$X$27+'TUSD BF'!$X$27+'TUSD CVA'!$X$27)*(1 - 0.4)</f>
        <v>0</v>
      </c>
      <c r="X27" s="13">
        <f>('TUSD BE'!$Y$27+'TUSD BF'!$Y$27+'TUSD CVA'!$Y$27)*(1 - 0.4)</f>
        <v>85.502166035385287</v>
      </c>
      <c r="Y27" s="13">
        <f>('TUSD BE'!$Z$27+'TUSD BF'!$Z$27+'TUSD CVA'!$Z$27)*(1 - 0.4)</f>
        <v>0</v>
      </c>
      <c r="Z27" s="13">
        <f>('TUSD BE'!$AA$27+'TUSD BF'!$AA$27+'TUSD CVA'!$AA$27)*(1 - 0.4)</f>
        <v>0</v>
      </c>
      <c r="AA27" s="13">
        <f>('TUSD BE'!$AC$27+'TUSD BF'!$AC$27+'TUSD CVA'!$AC$27)*(1 - 0.4)</f>
        <v>174.28704931582675</v>
      </c>
      <c r="AB27" s="13">
        <f ca="1">('TUSD BE'!$AE$27+'TUSD BF'!$AE$27+'TUSD CVA'!$AE$27)*(1 - 0.4)</f>
        <v>0</v>
      </c>
      <c r="AC27" s="13">
        <f ca="1">('TUSD BE'!$AF$27+'TUSD BF'!$AF$27+'TUSD CVA'!$AF$27)*(1 - 0.4)</f>
        <v>0</v>
      </c>
      <c r="AD27" s="13">
        <f>('TUSD BE'!$AH$27+'TUSD BF'!$AH$27+'TUSD CVA'!$AH$27)*(1 - 0.4)</f>
        <v>18.329784851551178</v>
      </c>
      <c r="AE27" s="13">
        <f>('TUSD BE'!$AI$27+'TUSD BF'!$AI$27+'TUSD CVA'!$AI$27)*(1 - 0.4)</f>
        <v>0.64302075122029356</v>
      </c>
      <c r="AF27" s="13">
        <f ca="1">('TUSD BE'!$AJ$27+'TUSD BF'!$AJ$27+'TUSD CVA'!$AJ$27)*(1 - 0.4)</f>
        <v>0</v>
      </c>
      <c r="AG27" s="13">
        <f ca="1">('TUSD BE'!$AK$27+'TUSD BF'!$AK$27+'TUSD CVA'!$AK$27)*(1 - 0.4)</f>
        <v>0</v>
      </c>
      <c r="AI27" s="13">
        <v>0</v>
      </c>
      <c r="AJ27" s="13">
        <v>1.2839428532778501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75.697848595173895</v>
      </c>
      <c r="AV27" s="13">
        <v>0</v>
      </c>
      <c r="AW27" s="13">
        <v>0</v>
      </c>
      <c r="AX27" s="13">
        <v>165.023510977065</v>
      </c>
      <c r="AY27" s="13">
        <v>0</v>
      </c>
      <c r="AZ27" s="13">
        <v>0</v>
      </c>
      <c r="BA27" s="13">
        <v>11.861300348148299</v>
      </c>
      <c r="BB27" s="13">
        <v>0</v>
      </c>
      <c r="BC27" s="13">
        <v>0</v>
      </c>
      <c r="BD27" s="13">
        <v>0</v>
      </c>
    </row>
    <row r="28" spans="1:56" ht="11.25" customHeight="1" x14ac:dyDescent="0.25">
      <c r="A28" s="109"/>
      <c r="B28" s="109"/>
      <c r="C28" s="109"/>
      <c r="D28" s="23" t="s">
        <v>31</v>
      </c>
      <c r="E28" s="23" t="s">
        <v>25</v>
      </c>
      <c r="F28" s="23" t="s">
        <v>25</v>
      </c>
      <c r="G28" s="24" t="s">
        <v>77</v>
      </c>
      <c r="H28" s="24" t="s">
        <v>73</v>
      </c>
      <c r="I28" s="24">
        <f>'MERCADO TUSD'!$U$25</f>
        <v>0</v>
      </c>
      <c r="J28" s="15"/>
      <c r="L28" s="13">
        <f>('TUSD BE'!$L$28+'TUSD BF'!$L$28+'TUSD CVA'!$L$28)*(1 - 0.1)</f>
        <v>0</v>
      </c>
      <c r="M28" s="13">
        <f>('TUSD BE'!$M$28+'TUSD BF'!$M$28+'TUSD CVA'!$M$28)*(1 - 0.1)</f>
        <v>1.9812909645457104</v>
      </c>
      <c r="N28" s="13">
        <f ca="1">('TUSD BE'!$N$28+'TUSD BF'!$N$28+'TUSD CVA'!$N$28)*(1 - 0.1)</f>
        <v>0</v>
      </c>
      <c r="O28" s="13">
        <f>('TUSD BE'!$O$28+'TUSD BF'!$O$28+'TUSD CVA'!$O$28)*(1 - 0.1)</f>
        <v>0</v>
      </c>
      <c r="P28" s="13">
        <v>0</v>
      </c>
      <c r="Q28" s="13">
        <f>('TUSD BE'!$Q$28+'TUSD BF'!$Q$28+'TUSD CVA'!$Q$28)*(1 - 0.1)</f>
        <v>0</v>
      </c>
      <c r="R28" s="13">
        <v>0</v>
      </c>
      <c r="S28" s="13">
        <f>('TUSD BE'!$S$28+'TUSD BF'!$S$28+'TUSD CVA'!$S$28)*(1 - 0.1)</f>
        <v>0</v>
      </c>
      <c r="T28" s="13">
        <f>('TUSD BE'!$U$28+'TUSD BF'!$U$28+'TUSD CVA'!$U$28)*(1 - 0.1)</f>
        <v>0</v>
      </c>
      <c r="U28" s="13">
        <f>('TUSD BE'!$V$28+'TUSD BF'!$V$28+'TUSD CVA'!$V$28)*(1 - 0.1)</f>
        <v>0</v>
      </c>
      <c r="V28" s="13">
        <f>('TUSD BE'!$W$28+'TUSD BF'!$W$28+'TUSD CVA'!$W$28)*(1 - 0.1)</f>
        <v>0</v>
      </c>
      <c r="W28" s="13">
        <f>('TUSD BE'!$X$28+'TUSD BF'!$X$28+'TUSD CVA'!$X$28)*(1 - 0.1)</f>
        <v>0</v>
      </c>
      <c r="X28" s="13">
        <f>('TUSD BE'!$Y$28+'TUSD BF'!$Y$28+'TUSD CVA'!$Y$28)*(1 - 0.1)</f>
        <v>128.25324905307795</v>
      </c>
      <c r="Y28" s="13">
        <f>('TUSD BE'!$Z$28+'TUSD BF'!$Z$28+'TUSD CVA'!$Z$28)*(1 - 0.1)</f>
        <v>0</v>
      </c>
      <c r="Z28" s="13">
        <f>('TUSD BE'!$AA$28+'TUSD BF'!$AA$28+'TUSD CVA'!$AA$28)*(1 - 0.1)</f>
        <v>0</v>
      </c>
      <c r="AA28" s="13">
        <f>('TUSD BE'!$AC$28+'TUSD BF'!$AC$28+'TUSD CVA'!$AC$28)*(1 - 0.1)</f>
        <v>261.43057397374014</v>
      </c>
      <c r="AB28" s="13">
        <f ca="1">('TUSD BE'!$AE$28+'TUSD BF'!$AE$28+'TUSD CVA'!$AE$28)*(1 - 0.1)</f>
        <v>0</v>
      </c>
      <c r="AC28" s="13">
        <f ca="1">('TUSD BE'!$AF$28+'TUSD BF'!$AF$28+'TUSD CVA'!$AF$28)*(1 - 0.1)</f>
        <v>0</v>
      </c>
      <c r="AD28" s="13">
        <f>('TUSD BE'!$AH$28+'TUSD BF'!$AH$28+'TUSD CVA'!$AH$28)*(1 - 0.1)</f>
        <v>27.494677277326765</v>
      </c>
      <c r="AE28" s="13">
        <f>('TUSD BE'!$AI$28+'TUSD BF'!$AI$28+'TUSD CVA'!$AI$28)*(1 - 0.1)</f>
        <v>0.96453112683044051</v>
      </c>
      <c r="AF28" s="13">
        <f ca="1">('TUSD BE'!$AJ$28+'TUSD BF'!$AJ$28+'TUSD CVA'!$AJ$28)*(1 - 0.1)</f>
        <v>0</v>
      </c>
      <c r="AG28" s="13">
        <f ca="1">('TUSD BE'!$AK$28+'TUSD BF'!$AK$28+'TUSD CVA'!$AK$28)*(1 - 0.1)</f>
        <v>0</v>
      </c>
      <c r="AI28" s="13">
        <v>0</v>
      </c>
      <c r="AJ28" s="13">
        <v>1.9259142799167801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113.546772892761</v>
      </c>
      <c r="AV28" s="13">
        <v>0</v>
      </c>
      <c r="AW28" s="13">
        <v>0</v>
      </c>
      <c r="AX28" s="13">
        <v>247.535266465597</v>
      </c>
      <c r="AY28" s="13">
        <v>0</v>
      </c>
      <c r="AZ28" s="13">
        <v>0</v>
      </c>
      <c r="BA28" s="13">
        <v>17.7919505222225</v>
      </c>
      <c r="BB28" s="13">
        <v>0</v>
      </c>
      <c r="BC28" s="13">
        <v>0</v>
      </c>
      <c r="BD28" s="13">
        <v>0</v>
      </c>
    </row>
    <row r="29" spans="1:56" ht="11.25" customHeight="1" x14ac:dyDescent="0.25">
      <c r="A29" s="109"/>
      <c r="B29" s="109"/>
      <c r="C29" s="109"/>
      <c r="D29" s="23" t="s">
        <v>32</v>
      </c>
      <c r="E29" s="23" t="s">
        <v>25</v>
      </c>
      <c r="F29" s="23" t="s">
        <v>25</v>
      </c>
      <c r="G29" s="24" t="s">
        <v>77</v>
      </c>
      <c r="H29" s="24" t="s">
        <v>73</v>
      </c>
      <c r="I29" s="24">
        <f>'MERCADO TUSD'!$U$26</f>
        <v>0</v>
      </c>
      <c r="J29" s="15"/>
      <c r="L29" s="13">
        <f>('TUSD BE'!$L$29+'TUSD BF'!$L$29+'TUSD CVA'!$L$29)*1</f>
        <v>0</v>
      </c>
      <c r="M29" s="13">
        <f>('TUSD BE'!$M$29+'TUSD BF'!$M$29+'TUSD CVA'!$M$29)*1</f>
        <v>2.2014344050507892</v>
      </c>
      <c r="N29" s="13">
        <f ca="1">('TUSD BE'!$N$29+'TUSD BF'!$N$29+'TUSD CVA'!$N$29)*1</f>
        <v>0</v>
      </c>
      <c r="O29" s="13">
        <f>('TUSD BE'!$O$29+'TUSD BF'!$O$29+'TUSD CVA'!$O$29)*1</f>
        <v>0</v>
      </c>
      <c r="P29" s="13">
        <v>0</v>
      </c>
      <c r="Q29" s="13">
        <f>('TUSD BE'!$Q$29+'TUSD BF'!$Q$29+'TUSD CVA'!$Q$29)*1</f>
        <v>0</v>
      </c>
      <c r="R29" s="13">
        <v>0</v>
      </c>
      <c r="S29" s="13">
        <f>('TUSD BE'!$S$29+'TUSD BF'!$S$29+'TUSD CVA'!$S$29)*1</f>
        <v>0</v>
      </c>
      <c r="T29" s="13">
        <f>('TUSD BE'!$U$29+'TUSD BF'!$U$29+'TUSD CVA'!$U$29)*1</f>
        <v>0</v>
      </c>
      <c r="U29" s="13">
        <f>('TUSD BE'!$V$29+'TUSD BF'!$V$29+'TUSD CVA'!$V$29)*1</f>
        <v>0</v>
      </c>
      <c r="V29" s="13">
        <f>('TUSD BE'!$W$29+'TUSD BF'!$W$29+'TUSD CVA'!$W$29)*1</f>
        <v>0</v>
      </c>
      <c r="W29" s="13">
        <f>('TUSD BE'!$X$29+'TUSD BF'!$X$29+'TUSD CVA'!$X$29)*1</f>
        <v>0</v>
      </c>
      <c r="X29" s="13">
        <f>('TUSD BE'!$Y$29+'TUSD BF'!$Y$29+'TUSD CVA'!$Y$29)*1</f>
        <v>142.50361005897548</v>
      </c>
      <c r="Y29" s="13">
        <f>('TUSD BE'!$Z$29+'TUSD BF'!$Z$29+'TUSD CVA'!$Z$29)*1</f>
        <v>0</v>
      </c>
      <c r="Z29" s="13">
        <f>('TUSD BE'!$AA$29+'TUSD BF'!$AA$29+'TUSD CVA'!$AA$29)*1</f>
        <v>0</v>
      </c>
      <c r="AA29" s="13">
        <f>('TUSD BE'!$AC$29+'TUSD BF'!$AC$29+'TUSD CVA'!$AC$29)*1</f>
        <v>290.47841552637794</v>
      </c>
      <c r="AB29" s="13">
        <f ca="1">('TUSD BE'!$AE$29+'TUSD BF'!$AE$29+'TUSD CVA'!$AE$29)*1</f>
        <v>0</v>
      </c>
      <c r="AC29" s="13">
        <f ca="1">('TUSD BE'!$AF$29+'TUSD BF'!$AF$29+'TUSD CVA'!$AF$29)*1</f>
        <v>0</v>
      </c>
      <c r="AD29" s="13">
        <f>('TUSD BE'!$AH$29+'TUSD BF'!$AH$29+'TUSD CVA'!$AH$29)*1</f>
        <v>30.549641419251962</v>
      </c>
      <c r="AE29" s="13">
        <f>('TUSD BE'!$AI$29+'TUSD BF'!$AI$29+'TUSD CVA'!$AI$29)*1</f>
        <v>1.0717012520338227</v>
      </c>
      <c r="AF29" s="13">
        <f ca="1">('TUSD BE'!$AJ$29+'TUSD BF'!$AJ$29+'TUSD CVA'!$AJ$29)*1</f>
        <v>0</v>
      </c>
      <c r="AG29" s="13">
        <f ca="1">('TUSD BE'!$AK$29+'TUSD BF'!$AK$29+'TUSD CVA'!$AK$29)*1</f>
        <v>0</v>
      </c>
      <c r="AI29" s="13">
        <v>0</v>
      </c>
      <c r="AJ29" s="13">
        <v>2.1399047554630899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126.163080991957</v>
      </c>
      <c r="AV29" s="13">
        <v>0</v>
      </c>
      <c r="AW29" s="13">
        <v>0</v>
      </c>
      <c r="AX29" s="13">
        <v>275.03918496177499</v>
      </c>
      <c r="AY29" s="13">
        <v>0</v>
      </c>
      <c r="AZ29" s="13">
        <v>0</v>
      </c>
      <c r="BA29" s="13">
        <v>19.768833913580501</v>
      </c>
      <c r="BB29" s="13">
        <v>0</v>
      </c>
      <c r="BC29" s="13">
        <v>0</v>
      </c>
      <c r="BD29" s="13">
        <v>0</v>
      </c>
    </row>
    <row r="30" spans="1:56" ht="11.25" customHeight="1" x14ac:dyDescent="0.25">
      <c r="A30" s="109" t="s">
        <v>41</v>
      </c>
      <c r="B30" s="109" t="s">
        <v>86</v>
      </c>
      <c r="C30" s="109" t="s">
        <v>42</v>
      </c>
      <c r="D30" s="109" t="s">
        <v>25</v>
      </c>
      <c r="E30" s="109" t="s">
        <v>25</v>
      </c>
      <c r="F30" s="109" t="s">
        <v>25</v>
      </c>
      <c r="G30" s="24" t="s">
        <v>74</v>
      </c>
      <c r="H30" s="24" t="s">
        <v>73</v>
      </c>
      <c r="I30" s="24">
        <f>'MERCADO TUSD'!$U$27</f>
        <v>0</v>
      </c>
      <c r="J30" s="15"/>
      <c r="L30" s="13">
        <f>('TUSD BE'!$L$30+'TUSD BF'!$L$30+'TUSD CVA'!$L$30)*(1 - CUSTOS!$M$38)</f>
        <v>0</v>
      </c>
      <c r="M30" s="13">
        <f>('TUSD BE'!$M$30+'TUSD BF'!$M$30+'TUSD CVA'!$M$30)*(1 - CUSTOS!$M$38)</f>
        <v>2.0693483407477418</v>
      </c>
      <c r="N30" s="13">
        <f ca="1">('TUSD BE'!$N$30+'TUSD BF'!$N$30+'TUSD CVA'!$N$30)*(1 - CUSTOS!$M$38)</f>
        <v>0</v>
      </c>
      <c r="O30" s="13">
        <f>('TUSD BE'!$O$30+'TUSD BF'!$O$30+'TUSD CVA'!$O$30)*(1 - CUSTOS!$M$38)</f>
        <v>0</v>
      </c>
      <c r="P30" s="13">
        <f>('TUSD BE'!$P$30+'TUSD BF'!$P$30+'TUSD CVA'!$P$30)*(1 - CUSTOS!$M$38)</f>
        <v>0</v>
      </c>
      <c r="Q30" s="13">
        <f>('TUSD BE'!$Q$30+'TUSD BF'!$Q$30+'TUSD CVA'!$Q$30)*(1 - CUSTOS!$M$38)</f>
        <v>84.50415285746827</v>
      </c>
      <c r="R30" s="13">
        <f>('TUSD BE'!$R$30+'TUSD BF'!$R$30+'TUSD CVA'!$R$30)*(1 - CUSTOS!$M$38)</f>
        <v>13.333673949078083</v>
      </c>
      <c r="S30" s="13">
        <f>('TUSD BE'!$S$30+'TUSD BF'!$S$30+'TUSD CVA'!$S$30)*(1 - CUSTOS!$M$38)</f>
        <v>0</v>
      </c>
      <c r="T30" s="13">
        <f>('TUSD BE'!$U$30+'TUSD BF'!$U$30+'TUSD CVA'!$U$30)*(1 - CUSTOS!$M$38)</f>
        <v>0</v>
      </c>
      <c r="U30" s="13">
        <f>('TUSD BE'!$V$30+'TUSD BF'!$V$30+'TUSD CVA'!$V$30)*(1 - CUSTOS!$M$38)</f>
        <v>0</v>
      </c>
      <c r="V30" s="13">
        <f>('TUSD BE'!$W$30+'TUSD BF'!$W$30+'TUSD CVA'!$W$30)*(1 - CUSTOS!$M$38)</f>
        <v>0</v>
      </c>
      <c r="W30" s="13">
        <f>('TUSD BE'!$X$30+'TUSD BF'!$X$30+'TUSD CVA'!$X$30)*(1 - CUSTOS!$M$38)</f>
        <v>0</v>
      </c>
      <c r="X30" s="13">
        <f>('TUSD BE'!$Y$30+'TUSD BF'!$Y$30+'TUSD CVA'!$Y$30)*(1 - CUSTOS!$M$38)</f>
        <v>364.35314443877218</v>
      </c>
      <c r="Y30" s="13">
        <f>('TUSD BE'!$Z$30+'TUSD BF'!$Z$30+'TUSD CVA'!$Z$30)*(1 - CUSTOS!$M$38)</f>
        <v>0</v>
      </c>
      <c r="Z30" s="13">
        <f>('TUSD BE'!$AA$30+'TUSD BF'!$AA$30+'TUSD CVA'!$AA$30)*(1 - CUSTOS!$M$38)</f>
        <v>0</v>
      </c>
      <c r="AA30" s="13">
        <f>('TUSD BE'!$AC$30+'TUSD BF'!$AC$30+'TUSD CVA'!$AC$30)*(1 - CUSTOS!$M$38)</f>
        <v>742.69517438556272</v>
      </c>
      <c r="AB30" s="13">
        <f ca="1">('TUSD BE'!$AE$30+'TUSD BF'!$AE$30+'TUSD CVA'!$AE$30)*(1 - CUSTOS!$M$38)</f>
        <v>0</v>
      </c>
      <c r="AC30" s="13">
        <f ca="1">('TUSD BE'!$AF$30+'TUSD BF'!$AF$30+'TUSD CVA'!$AF$30)*(1 - CUSTOS!$M$38)</f>
        <v>0</v>
      </c>
      <c r="AD30" s="13">
        <f>('TUSD BE'!$AH$30+'TUSD BF'!$AH$30+'TUSD CVA'!$AH$30)*(1 - CUSTOS!$M$38)</f>
        <v>28.716662934096842</v>
      </c>
      <c r="AE30" s="13">
        <f>('TUSD BE'!$AI$30+'TUSD BF'!$AI$30+'TUSD CVA'!$AI$30)*(1 - CUSTOS!$M$38)</f>
        <v>1.0073991769117934</v>
      </c>
      <c r="AF30" s="13">
        <f ca="1">('TUSD BE'!$AJ$30+'TUSD BF'!$AJ$30+'TUSD CVA'!$AJ$30)*(1 - CUSTOS!$M$38)</f>
        <v>0</v>
      </c>
      <c r="AG30" s="13">
        <f ca="1">('TUSD BE'!$AK$30+'TUSD BF'!$AK$30+'TUSD CVA'!$AK$30)*(1 - CUSTOS!$M$38)</f>
        <v>0</v>
      </c>
      <c r="AI30" s="13">
        <v>0</v>
      </c>
      <c r="AJ30" s="13">
        <v>1.88311618480752</v>
      </c>
      <c r="AK30" s="13">
        <v>0</v>
      </c>
      <c r="AL30" s="13">
        <v>0</v>
      </c>
      <c r="AM30" s="13">
        <v>0</v>
      </c>
      <c r="AN30" s="13">
        <v>50.186949484848803</v>
      </c>
      <c r="AO30" s="13">
        <v>7.8252503206854298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288.66057391029102</v>
      </c>
      <c r="AV30" s="13">
        <v>0</v>
      </c>
      <c r="AW30" s="13">
        <v>0</v>
      </c>
      <c r="AX30" s="13">
        <v>629.28960770125298</v>
      </c>
      <c r="AY30" s="13">
        <v>0</v>
      </c>
      <c r="AZ30" s="13">
        <v>0</v>
      </c>
      <c r="BA30" s="13">
        <v>17.3965738439509</v>
      </c>
      <c r="BB30" s="13">
        <v>0</v>
      </c>
      <c r="BC30" s="13">
        <v>0</v>
      </c>
      <c r="BD30" s="13">
        <v>0</v>
      </c>
    </row>
    <row r="31" spans="1:56" ht="11.25" customHeight="1" x14ac:dyDescent="0.25">
      <c r="A31" s="109"/>
      <c r="B31" s="109"/>
      <c r="C31" s="109"/>
      <c r="D31" s="109"/>
      <c r="E31" s="109"/>
      <c r="F31" s="109"/>
      <c r="G31" s="24" t="s">
        <v>85</v>
      </c>
      <c r="H31" s="24" t="s">
        <v>73</v>
      </c>
      <c r="I31" s="24">
        <f>'MERCADO TUSD'!$U$28</f>
        <v>0</v>
      </c>
      <c r="J31" s="15"/>
      <c r="L31" s="13">
        <f>('TUSD BE'!$L$31+'TUSD BF'!$L$31+'TUSD CVA'!$L$31)*(1 - CUSTOS!$M$38)</f>
        <v>0</v>
      </c>
      <c r="M31" s="13">
        <f>('TUSD BE'!$M$31+'TUSD BF'!$M$31+'TUSD CVA'!$M$31)*(1 - CUSTOS!$M$38)</f>
        <v>2.0693483407477418</v>
      </c>
      <c r="N31" s="13">
        <f ca="1">('TUSD BE'!$N$31+'TUSD BF'!$N$31+'TUSD CVA'!$N$31)*(1 - CUSTOS!$M$38)</f>
        <v>0</v>
      </c>
      <c r="O31" s="13">
        <f>('TUSD BE'!$O$31+'TUSD BF'!$O$31+'TUSD CVA'!$O$31)*(1 - CUSTOS!$M$38)</f>
        <v>0</v>
      </c>
      <c r="P31" s="13">
        <f>('TUSD BE'!$P$31+'TUSD BF'!$P$31+'TUSD CVA'!$P$31)*(1 - CUSTOS!$M$38)</f>
        <v>0</v>
      </c>
      <c r="Q31" s="13">
        <f>('TUSD BE'!$Q$31+'TUSD BF'!$Q$31+'TUSD CVA'!$Q$31)*(1 - CUSTOS!$M$38)</f>
        <v>84.50415285746827</v>
      </c>
      <c r="R31" s="13">
        <f>('TUSD BE'!$R$31+'TUSD BF'!$R$31+'TUSD CVA'!$R$31)*(1 - CUSTOS!$M$38)</f>
        <v>13.333673949078083</v>
      </c>
      <c r="S31" s="13">
        <f>('TUSD BE'!$S$31+'TUSD BF'!$S$31+'TUSD CVA'!$S$31)*(1 - CUSTOS!$M$38)</f>
        <v>0</v>
      </c>
      <c r="T31" s="13">
        <f>('TUSD BE'!$U$31+'TUSD BF'!$U$31+'TUSD CVA'!$U$31)*(1 - CUSTOS!$M$38)</f>
        <v>0</v>
      </c>
      <c r="U31" s="13">
        <f>('TUSD BE'!$V$31+'TUSD BF'!$V$31+'TUSD CVA'!$V$31)*(1 - CUSTOS!$M$38)</f>
        <v>0</v>
      </c>
      <c r="V31" s="13">
        <f>('TUSD BE'!$W$31+'TUSD BF'!$W$31+'TUSD CVA'!$W$31)*(1 - CUSTOS!$M$38)</f>
        <v>0</v>
      </c>
      <c r="W31" s="13">
        <f>('TUSD BE'!$X$31+'TUSD BF'!$X$31+'TUSD CVA'!$X$31)*(1 - CUSTOS!$M$38)</f>
        <v>0</v>
      </c>
      <c r="X31" s="13">
        <f>('TUSD BE'!$Y$31+'TUSD BF'!$Y$31+'TUSD CVA'!$Y$31)*(1 - CUSTOS!$M$38)</f>
        <v>182.17657221938609</v>
      </c>
      <c r="Y31" s="13">
        <f>('TUSD BE'!$Z$31+'TUSD BF'!$Z$31+'TUSD CVA'!$Z$31)*(1 - CUSTOS!$M$38)</f>
        <v>0</v>
      </c>
      <c r="Z31" s="13">
        <f>('TUSD BE'!$AA$31+'TUSD BF'!$AA$31+'TUSD CVA'!$AA$31)*(1 - CUSTOS!$M$38)</f>
        <v>0</v>
      </c>
      <c r="AA31" s="13">
        <f>('TUSD BE'!$AC$31+'TUSD BF'!$AC$31+'TUSD CVA'!$AC$31)*(1 - CUSTOS!$M$38)</f>
        <v>371.34761545181112</v>
      </c>
      <c r="AB31" s="13">
        <f ca="1">('TUSD BE'!$AE$31+'TUSD BF'!$AE$31+'TUSD CVA'!$AE$31)*(1 - CUSTOS!$M$38)</f>
        <v>0</v>
      </c>
      <c r="AC31" s="13">
        <f ca="1">('TUSD BE'!$AF$31+'TUSD BF'!$AF$31+'TUSD CVA'!$AF$31)*(1 - CUSTOS!$M$38)</f>
        <v>0</v>
      </c>
      <c r="AD31" s="13">
        <f>('TUSD BE'!$AH$31+'TUSD BF'!$AH$31+'TUSD CVA'!$AH$31)*(1 - CUSTOS!$M$38)</f>
        <v>28.716662934096842</v>
      </c>
      <c r="AE31" s="13">
        <f>('TUSD BE'!$AI$31+'TUSD BF'!$AI$31+'TUSD CVA'!$AI$31)*(1 - CUSTOS!$M$38)</f>
        <v>1.0073991769117934</v>
      </c>
      <c r="AF31" s="13">
        <f ca="1">('TUSD BE'!$AJ$31+'TUSD BF'!$AJ$31+'TUSD CVA'!$AJ$31)*(1 - CUSTOS!$M$38)</f>
        <v>0</v>
      </c>
      <c r="AG31" s="13">
        <f ca="1">('TUSD BE'!$AK$31+'TUSD BF'!$AK$31+'TUSD CVA'!$AK$31)*(1 - CUSTOS!$M$38)</f>
        <v>0</v>
      </c>
      <c r="AI31" s="13">
        <v>0</v>
      </c>
      <c r="AJ31" s="13">
        <v>1.88311618480752</v>
      </c>
      <c r="AK31" s="13">
        <v>0</v>
      </c>
      <c r="AL31" s="13">
        <v>0</v>
      </c>
      <c r="AM31" s="13">
        <v>0</v>
      </c>
      <c r="AN31" s="13">
        <v>50.186949484848803</v>
      </c>
      <c r="AO31" s="13">
        <v>7.8252503206854298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173.19618235471</v>
      </c>
      <c r="AV31" s="13">
        <v>0</v>
      </c>
      <c r="AW31" s="13">
        <v>0</v>
      </c>
      <c r="AX31" s="13">
        <v>377.57384773050597</v>
      </c>
      <c r="AY31" s="13">
        <v>0</v>
      </c>
      <c r="AZ31" s="13">
        <v>0</v>
      </c>
      <c r="BA31" s="13">
        <v>17.3965738439509</v>
      </c>
      <c r="BB31" s="13">
        <v>0</v>
      </c>
      <c r="BC31" s="13">
        <v>0</v>
      </c>
      <c r="BD31" s="13">
        <v>0</v>
      </c>
    </row>
    <row r="32" spans="1:56" ht="11.25" customHeight="1" x14ac:dyDescent="0.25">
      <c r="A32" s="109"/>
      <c r="B32" s="109"/>
      <c r="C32" s="109"/>
      <c r="D32" s="109"/>
      <c r="E32" s="109"/>
      <c r="F32" s="109"/>
      <c r="G32" s="24" t="s">
        <v>75</v>
      </c>
      <c r="H32" s="24" t="s">
        <v>73</v>
      </c>
      <c r="I32" s="24">
        <f>'MERCADO TUSD'!$U$29</f>
        <v>0</v>
      </c>
      <c r="J32" s="15"/>
      <c r="L32" s="13">
        <f>('TUSD BE'!$L$32+'TUSD BF'!$L$32+'TUSD CVA'!$L$32)*(1 - CUSTOS!$M$38)</f>
        <v>0</v>
      </c>
      <c r="M32" s="13">
        <f>('TUSD BE'!$M$32+'TUSD BF'!$M$32+'TUSD CVA'!$M$32)*(1 - CUSTOS!$M$38)</f>
        <v>2.0693483407477418</v>
      </c>
      <c r="N32" s="13">
        <f ca="1">('TUSD BE'!$N$32+'TUSD BF'!$N$32+'TUSD CVA'!$N$32)*(1 - CUSTOS!$M$38)</f>
        <v>0</v>
      </c>
      <c r="O32" s="13">
        <f>('TUSD BE'!$O$32+'TUSD BF'!$O$32+'TUSD CVA'!$O$32)*(1 - CUSTOS!$M$38)</f>
        <v>0</v>
      </c>
      <c r="P32" s="13">
        <f>('TUSD BE'!$P$32+'TUSD BF'!$P$32+'TUSD CVA'!$P$32)*(1 - CUSTOS!$M$38)</f>
        <v>0</v>
      </c>
      <c r="Q32" s="13">
        <f>('TUSD BE'!$Q$32+'TUSD BF'!$Q$32+'TUSD CVA'!$Q$32)*(1 - CUSTOS!$M$38)</f>
        <v>84.50415285746827</v>
      </c>
      <c r="R32" s="13">
        <f>('TUSD BE'!$R$32+'TUSD BF'!$R$32+'TUSD CVA'!$R$32)*(1 - CUSTOS!$M$38)</f>
        <v>13.333673949078083</v>
      </c>
      <c r="S32" s="13">
        <f>('TUSD BE'!$S$32+'TUSD BF'!$S$32+'TUSD CVA'!$S$32)*(1 - CUSTOS!$M$38)</f>
        <v>0</v>
      </c>
      <c r="T32" s="13">
        <f>('TUSD BE'!$U$32+'TUSD BF'!$U$32+'TUSD CVA'!$U$32)*(1 - CUSTOS!$M$38)</f>
        <v>0</v>
      </c>
      <c r="U32" s="13">
        <f>('TUSD BE'!$V$32+'TUSD BF'!$V$32+'TUSD CVA'!$V$32)*(1 - CUSTOS!$M$38)</f>
        <v>0</v>
      </c>
      <c r="V32" s="13">
        <f>('TUSD BE'!$W$32+'TUSD BF'!$W$32+'TUSD CVA'!$W$32)*(1 - CUSTOS!$M$38)</f>
        <v>0</v>
      </c>
      <c r="W32" s="13">
        <f>('TUSD BE'!$X$32+'TUSD BF'!$X$32+'TUSD CVA'!$X$32)*(1 - CUSTOS!$M$38)</f>
        <v>0</v>
      </c>
      <c r="X32" s="13">
        <f>('TUSD BE'!$Y$32+'TUSD BF'!$Y$32+'TUSD CVA'!$Y$32)*(1 - CUSTOS!$M$38)</f>
        <v>91.088286109693044</v>
      </c>
      <c r="Y32" s="13">
        <f>('TUSD BE'!$Z$32+'TUSD BF'!$Z$32+'TUSD CVA'!$Z$32)*(1 - CUSTOS!$M$38)</f>
        <v>0</v>
      </c>
      <c r="Z32" s="13">
        <f>('TUSD BE'!$AA$32+'TUSD BF'!$AA$32+'TUSD CVA'!$AA$32)*(1 - CUSTOS!$M$38)</f>
        <v>0</v>
      </c>
      <c r="AA32" s="13">
        <f>('TUSD BE'!$AC$32+'TUSD BF'!$AC$32+'TUSD CVA'!$AC$32)*(1 - CUSTOS!$M$38)</f>
        <v>185.67380772590556</v>
      </c>
      <c r="AB32" s="13">
        <f ca="1">('TUSD BE'!$AE$32+'TUSD BF'!$AE$32+'TUSD CVA'!$AE$32)*(1 - CUSTOS!$M$38)</f>
        <v>0</v>
      </c>
      <c r="AC32" s="13">
        <f ca="1">('TUSD BE'!$AF$32+'TUSD BF'!$AF$32+'TUSD CVA'!$AF$32)*(1 - CUSTOS!$M$38)</f>
        <v>0</v>
      </c>
      <c r="AD32" s="13">
        <f>('TUSD BE'!$AH$32+'TUSD BF'!$AH$32+'TUSD CVA'!$AH$32)*(1 - CUSTOS!$M$38)</f>
        <v>28.716662934096842</v>
      </c>
      <c r="AE32" s="13">
        <f>('TUSD BE'!$AI$32+'TUSD BF'!$AI$32+'TUSD CVA'!$AI$32)*(1 - CUSTOS!$M$38)</f>
        <v>1.0073991769117934</v>
      </c>
      <c r="AF32" s="13">
        <f ca="1">('TUSD BE'!$AJ$32+'TUSD BF'!$AJ$32+'TUSD CVA'!$AJ$32)*(1 - CUSTOS!$M$38)</f>
        <v>0</v>
      </c>
      <c r="AG32" s="13">
        <f ca="1">('TUSD BE'!$AK$32+'TUSD BF'!$AK$32+'TUSD CVA'!$AK$32)*(1 - CUSTOS!$M$38)</f>
        <v>0</v>
      </c>
      <c r="AI32" s="13">
        <v>0</v>
      </c>
      <c r="AJ32" s="13">
        <v>1.88311618480752</v>
      </c>
      <c r="AK32" s="13">
        <v>0</v>
      </c>
      <c r="AL32" s="13">
        <v>0</v>
      </c>
      <c r="AM32" s="13">
        <v>0</v>
      </c>
      <c r="AN32" s="13">
        <v>50.186949484848803</v>
      </c>
      <c r="AO32" s="13">
        <v>7.8252503206854298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57.731559382752302</v>
      </c>
      <c r="AV32" s="13">
        <v>0</v>
      </c>
      <c r="AW32" s="13">
        <v>0</v>
      </c>
      <c r="AX32" s="13">
        <v>125.857969031539</v>
      </c>
      <c r="AY32" s="13">
        <v>0</v>
      </c>
      <c r="AZ32" s="13">
        <v>0</v>
      </c>
      <c r="BA32" s="13">
        <v>17.3965738439509</v>
      </c>
      <c r="BB32" s="13">
        <v>0</v>
      </c>
      <c r="BC32" s="13">
        <v>0</v>
      </c>
      <c r="BD32" s="13">
        <v>0</v>
      </c>
    </row>
    <row r="33" spans="1:56" ht="11.25" customHeight="1" x14ac:dyDescent="0.25">
      <c r="A33" s="109"/>
      <c r="B33" s="23" t="s">
        <v>23</v>
      </c>
      <c r="C33" s="23" t="s">
        <v>42</v>
      </c>
      <c r="D33" s="23" t="s">
        <v>25</v>
      </c>
      <c r="E33" s="23" t="s">
        <v>25</v>
      </c>
      <c r="F33" s="23" t="s">
        <v>25</v>
      </c>
      <c r="G33" s="24" t="s">
        <v>77</v>
      </c>
      <c r="H33" s="24" t="s">
        <v>73</v>
      </c>
      <c r="I33" s="24">
        <f>'MERCADO TUSD'!$U$30</f>
        <v>21333.253999999997</v>
      </c>
      <c r="J33" s="15"/>
      <c r="L33" s="13">
        <f>('TUSD BE'!$L$33+'TUSD BF'!$L$33+'TUSD CVA'!$L$33)*(1 - CUSTOS!$M$38)</f>
        <v>0</v>
      </c>
      <c r="M33" s="13">
        <f>('TUSD BE'!$M$33+'TUSD BF'!$M$33+'TUSD CVA'!$M$33)*(1 - CUSTOS!$M$38)</f>
        <v>2.0693483407477418</v>
      </c>
      <c r="N33" s="13">
        <f ca="1">('TUSD BE'!$N$33+'TUSD BF'!$N$33+'TUSD CVA'!$N$33)*(1 - CUSTOS!$M$38)</f>
        <v>0</v>
      </c>
      <c r="O33" s="13">
        <f>('TUSD BE'!$O$33+'TUSD BF'!$O$33+'TUSD CVA'!$O$33)*(1 - CUSTOS!$M$38)</f>
        <v>0</v>
      </c>
      <c r="P33" s="13">
        <f>('TUSD BE'!$P$33+'TUSD BF'!$P$33+'TUSD CVA'!$P$33)*(1 - CUSTOS!$M$38)</f>
        <v>0</v>
      </c>
      <c r="Q33" s="13">
        <f>('TUSD BE'!$Q$33+'TUSD BF'!$Q$33+'TUSD CVA'!$Q$33)*(1 - CUSTOS!$M$38)</f>
        <v>84.50415285746827</v>
      </c>
      <c r="R33" s="13">
        <f>('TUSD BE'!$R$33+'TUSD BF'!$R$33+'TUSD CVA'!$R$33)*(1 - CUSTOS!$M$38)</f>
        <v>13.333673949078083</v>
      </c>
      <c r="S33" s="13">
        <f>('TUSD BE'!$S$33+'TUSD BF'!$S$33+'TUSD CVA'!$S$33)*(1 - CUSTOS!$M$38)</f>
        <v>0</v>
      </c>
      <c r="T33" s="13">
        <f>('TUSD BE'!$U$33+'TUSD BF'!$U$33+'TUSD CVA'!$U$33)*(1 - CUSTOS!$M$38)</f>
        <v>0</v>
      </c>
      <c r="U33" s="13">
        <f>('TUSD BE'!$V$33+'TUSD BF'!$V$33+'TUSD CVA'!$V$33)*(1 - CUSTOS!$M$38)</f>
        <v>0</v>
      </c>
      <c r="V33" s="13">
        <f>('TUSD BE'!$W$33+'TUSD BF'!$W$33+'TUSD CVA'!$W$33)*(1 - CUSTOS!$M$38)</f>
        <v>0</v>
      </c>
      <c r="W33" s="13">
        <f>('TUSD BE'!$X$33+'TUSD BF'!$X$33+'TUSD CVA'!$X$33)*(1 - CUSTOS!$M$38)</f>
        <v>0</v>
      </c>
      <c r="X33" s="13">
        <f>('TUSD BE'!$Y$33+'TUSD BF'!$Y$33+'TUSD CVA'!$Y$33)*(1 - CUSTOS!$M$38)</f>
        <v>133.95339345543695</v>
      </c>
      <c r="Y33" s="13">
        <f>('TUSD BE'!$Z$33+'TUSD BF'!$Z$33+'TUSD CVA'!$Z$33)*(1 - CUSTOS!$M$38)</f>
        <v>0</v>
      </c>
      <c r="Z33" s="13">
        <f>('TUSD BE'!$AA$33+'TUSD BF'!$AA$33+'TUSD CVA'!$AA$33)*(1 - CUSTOS!$M$38)</f>
        <v>0</v>
      </c>
      <c r="AA33" s="13">
        <f>('TUSD BE'!$AC$33+'TUSD BF'!$AC$33+'TUSD CVA'!$AC$33)*(1 - CUSTOS!$M$38)</f>
        <v>273.04971059479527</v>
      </c>
      <c r="AB33" s="13">
        <f ca="1">('TUSD BE'!$AE$33+'TUSD BF'!$AE$33+'TUSD CVA'!$AE$33)*(1 - CUSTOS!$M$38)</f>
        <v>0</v>
      </c>
      <c r="AC33" s="13">
        <f ca="1">('TUSD BE'!$AF$33+'TUSD BF'!$AF$33+'TUSD CVA'!$AF$33)*(1 - CUSTOS!$M$38)</f>
        <v>0</v>
      </c>
      <c r="AD33" s="13">
        <f>('TUSD BE'!$AH$33+'TUSD BF'!$AH$33+'TUSD CVA'!$AH$33)*(1 - CUSTOS!$M$38)</f>
        <v>28.716662934096842</v>
      </c>
      <c r="AE33" s="13">
        <f>('TUSD BE'!$AI$33+'TUSD BF'!$AI$33+'TUSD CVA'!$AI$33)*(1 - CUSTOS!$M$38)</f>
        <v>1.0073991769117934</v>
      </c>
      <c r="AF33" s="13">
        <f ca="1">('TUSD BE'!$AJ$33+'TUSD BF'!$AJ$33+'TUSD CVA'!$AJ$33)*(1 - CUSTOS!$M$38)</f>
        <v>0</v>
      </c>
      <c r="AG33" s="13">
        <f ca="1">('TUSD BE'!$AK$33+'TUSD BF'!$AK$33+'TUSD CVA'!$AK$33)*(1 - CUSTOS!$M$38)</f>
        <v>0</v>
      </c>
      <c r="AI33" s="13">
        <v>0</v>
      </c>
      <c r="AJ33" s="13">
        <v>1.88311618480752</v>
      </c>
      <c r="AK33" s="13">
        <v>0</v>
      </c>
      <c r="AL33" s="13">
        <v>0</v>
      </c>
      <c r="AM33" s="13">
        <v>0</v>
      </c>
      <c r="AN33" s="13">
        <v>50.186949484848803</v>
      </c>
      <c r="AO33" s="13">
        <v>7.8252503206854298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111.02351127292199</v>
      </c>
      <c r="AV33" s="13">
        <v>0</v>
      </c>
      <c r="AW33" s="13">
        <v>0</v>
      </c>
      <c r="AX33" s="13">
        <v>242.034482766362</v>
      </c>
      <c r="AY33" s="13">
        <v>0</v>
      </c>
      <c r="AZ33" s="13">
        <v>0</v>
      </c>
      <c r="BA33" s="13">
        <v>17.3965738439509</v>
      </c>
      <c r="BB33" s="13">
        <v>0</v>
      </c>
      <c r="BC33" s="13">
        <v>0</v>
      </c>
      <c r="BD33" s="13">
        <v>0</v>
      </c>
    </row>
    <row r="34" spans="1:56" ht="11.25" customHeight="1" x14ac:dyDescent="0.25">
      <c r="A34" s="109"/>
      <c r="B34" s="109" t="s">
        <v>86</v>
      </c>
      <c r="C34" s="109" t="s">
        <v>42</v>
      </c>
      <c r="D34" s="109" t="s">
        <v>89</v>
      </c>
      <c r="E34" s="109" t="s">
        <v>25</v>
      </c>
      <c r="F34" s="109" t="s">
        <v>25</v>
      </c>
      <c r="G34" s="24" t="s">
        <v>74</v>
      </c>
      <c r="H34" s="24" t="s">
        <v>73</v>
      </c>
      <c r="I34" s="24">
        <f>'MERCADO TUSD'!$U$31</f>
        <v>0</v>
      </c>
      <c r="J34" s="15"/>
      <c r="L34" s="13">
        <f>('TUSD BE'!$L$34+'TUSD BF'!$L$34+'TUSD CVA'!$L$34)*(1 - CUSTOS!$M$39)</f>
        <v>0</v>
      </c>
      <c r="M34" s="13">
        <f>('TUSD BE'!$M$34+'TUSD BF'!$M$34+'TUSD CVA'!$M$34)*(1 - CUSTOS!$M$39)</f>
        <v>2.0693483407477418</v>
      </c>
      <c r="N34" s="13">
        <f ca="1">('TUSD BE'!$N$34+'TUSD BF'!$N$34+'TUSD CVA'!$N$34)*(1 - CUSTOS!$M$39)</f>
        <v>0</v>
      </c>
      <c r="O34" s="13">
        <f>('TUSD BE'!$O$34+'TUSD BF'!$O$34+'TUSD CVA'!$O$34)*(1 - CUSTOS!$M$39)</f>
        <v>0</v>
      </c>
      <c r="P34" s="13">
        <f>('TUSD BE'!$P$34+'TUSD BF'!$P$34+'TUSD CVA'!$P$34)*(1 - CUSTOS!$M$39)</f>
        <v>0</v>
      </c>
      <c r="Q34" s="13">
        <f>('TUSD BE'!$Q$34+'TUSD BF'!$Q$34+'TUSD CVA'!$Q$34)*(1 - CUSTOS!$M$39)</f>
        <v>84.50415285746827</v>
      </c>
      <c r="R34" s="13">
        <f>('TUSD BE'!$R$34+'TUSD BF'!$R$34+'TUSD CVA'!$R$34)*(1 - CUSTOS!$M$39)</f>
        <v>13.333673949078083</v>
      </c>
      <c r="S34" s="13">
        <f>('TUSD BE'!$S$34+'TUSD BF'!$S$34+'TUSD CVA'!$S$34)*(1 - CUSTOS!$M$39)</f>
        <v>0</v>
      </c>
      <c r="T34" s="13">
        <f>('TUSD BE'!$U$34+'TUSD BF'!$U$34+'TUSD CVA'!$U$34)*(1 - CUSTOS!$M$39)</f>
        <v>0</v>
      </c>
      <c r="U34" s="13">
        <f>('TUSD BE'!$V$34+'TUSD BF'!$V$34+'TUSD CVA'!$V$34)*(1 - CUSTOS!$M$39)</f>
        <v>0</v>
      </c>
      <c r="V34" s="13">
        <f>('TUSD BE'!$W$34+'TUSD BF'!$W$34+'TUSD CVA'!$W$34)*(1 - CUSTOS!$M$39)</f>
        <v>0</v>
      </c>
      <c r="W34" s="13">
        <f>('TUSD BE'!$X$34+'TUSD BF'!$X$34+'TUSD CVA'!$X$34)*(1 - CUSTOS!$M$39)</f>
        <v>0</v>
      </c>
      <c r="X34" s="13">
        <f>('TUSD BE'!$Y$34+'TUSD BF'!$Y$34+'TUSD CVA'!$Y$34)*(1 - CUSTOS!$M$39)</f>
        <v>364.35314443877218</v>
      </c>
      <c r="Y34" s="13">
        <f>('TUSD BE'!$Z$34+'TUSD BF'!$Z$34+'TUSD CVA'!$Z$34)*(1 - CUSTOS!$M$39)</f>
        <v>0</v>
      </c>
      <c r="Z34" s="13">
        <f>('TUSD BE'!$AA$34+'TUSD BF'!$AA$34+'TUSD CVA'!$AA$34)*(1 - CUSTOS!$M$39)</f>
        <v>0</v>
      </c>
      <c r="AA34" s="13">
        <f>('TUSD BE'!$AC$34+'TUSD BF'!$AC$34+'TUSD CVA'!$AC$34)*(1 - CUSTOS!$M$39)</f>
        <v>742.69517438556272</v>
      </c>
      <c r="AB34" s="13">
        <f ca="1">('TUSD BE'!$AE$34+'TUSD BF'!$AE$34+'TUSD CVA'!$AE$34)*(1 - CUSTOS!$M$39)</f>
        <v>0</v>
      </c>
      <c r="AC34" s="13">
        <f ca="1">('TUSD BE'!$AF$34+'TUSD BF'!$AF$34+'TUSD CVA'!$AF$34)*(1 - CUSTOS!$M$39)</f>
        <v>0</v>
      </c>
      <c r="AD34" s="13">
        <f>('TUSD BE'!$AH$34+'TUSD BF'!$AH$34+'TUSD CVA'!$AH$34)*(1 - CUSTOS!$M$39)</f>
        <v>28.716662934096842</v>
      </c>
      <c r="AE34" s="13">
        <f>('TUSD BE'!$AI$34+'TUSD BF'!$AI$34+'TUSD CVA'!$AI$34)*(1 - CUSTOS!$M$39)</f>
        <v>1.0073991769117934</v>
      </c>
      <c r="AF34" s="13">
        <f ca="1">('TUSD BE'!$AJ$34+'TUSD BF'!$AJ$34+'TUSD CVA'!$AJ$34)*(1 - CUSTOS!$M$39)</f>
        <v>0</v>
      </c>
      <c r="AG34" s="13">
        <f ca="1">('TUSD BE'!$AK$34+'TUSD BF'!$AK$34+'TUSD CVA'!$AK$34)*(1 - CUSTOS!$M$39)</f>
        <v>0</v>
      </c>
      <c r="AI34" s="13">
        <v>0</v>
      </c>
      <c r="AJ34" s="13">
        <v>1.88311618480752</v>
      </c>
      <c r="AK34" s="13">
        <v>0</v>
      </c>
      <c r="AL34" s="13">
        <v>0</v>
      </c>
      <c r="AM34" s="13">
        <v>0</v>
      </c>
      <c r="AN34" s="13">
        <v>50.186949484848803</v>
      </c>
      <c r="AO34" s="13">
        <v>7.8252503206854298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288.66057391029102</v>
      </c>
      <c r="AV34" s="13">
        <v>0</v>
      </c>
      <c r="AW34" s="13">
        <v>0</v>
      </c>
      <c r="AX34" s="13">
        <v>629.28960770125298</v>
      </c>
      <c r="AY34" s="13">
        <v>0</v>
      </c>
      <c r="AZ34" s="13">
        <v>0</v>
      </c>
      <c r="BA34" s="13">
        <v>17.3965738439509</v>
      </c>
      <c r="BB34" s="13">
        <v>0</v>
      </c>
      <c r="BC34" s="13">
        <v>0</v>
      </c>
      <c r="BD34" s="13">
        <v>0</v>
      </c>
    </row>
    <row r="35" spans="1:56" ht="11.25" customHeight="1" x14ac:dyDescent="0.25">
      <c r="A35" s="109"/>
      <c r="B35" s="109"/>
      <c r="C35" s="109"/>
      <c r="D35" s="109"/>
      <c r="E35" s="109"/>
      <c r="F35" s="109"/>
      <c r="G35" s="24" t="s">
        <v>85</v>
      </c>
      <c r="H35" s="24" t="s">
        <v>73</v>
      </c>
      <c r="I35" s="24">
        <f>'MERCADO TUSD'!$U$32</f>
        <v>0</v>
      </c>
      <c r="J35" s="15"/>
      <c r="L35" s="13">
        <f>('TUSD BE'!$L$35+'TUSD BF'!$L$35+'TUSD CVA'!$L$35)*(1 - CUSTOS!$M$39)</f>
        <v>0</v>
      </c>
      <c r="M35" s="13">
        <f>('TUSD BE'!$M$35+'TUSD BF'!$M$35+'TUSD CVA'!$M$35)*(1 - CUSTOS!$M$39)</f>
        <v>2.0693483407477418</v>
      </c>
      <c r="N35" s="13">
        <f ca="1">('TUSD BE'!$N$35+'TUSD BF'!$N$35+'TUSD CVA'!$N$35)*(1 - CUSTOS!$M$39)</f>
        <v>0</v>
      </c>
      <c r="O35" s="13">
        <f>('TUSD BE'!$O$35+'TUSD BF'!$O$35+'TUSD CVA'!$O$35)*(1 - CUSTOS!$M$39)</f>
        <v>0</v>
      </c>
      <c r="P35" s="13">
        <f>('TUSD BE'!$P$35+'TUSD BF'!$P$35+'TUSD CVA'!$P$35)*(1 - CUSTOS!$M$39)</f>
        <v>0</v>
      </c>
      <c r="Q35" s="13">
        <f>('TUSD BE'!$Q$35+'TUSD BF'!$Q$35+'TUSD CVA'!$Q$35)*(1 - CUSTOS!$M$39)</f>
        <v>84.50415285746827</v>
      </c>
      <c r="R35" s="13">
        <f>('TUSD BE'!$R$35+'TUSD BF'!$R$35+'TUSD CVA'!$R$35)*(1 - CUSTOS!$M$39)</f>
        <v>13.333673949078083</v>
      </c>
      <c r="S35" s="13">
        <f>('TUSD BE'!$S$35+'TUSD BF'!$S$35+'TUSD CVA'!$S$35)*(1 - CUSTOS!$M$39)</f>
        <v>0</v>
      </c>
      <c r="T35" s="13">
        <f>('TUSD BE'!$U$35+'TUSD BF'!$U$35+'TUSD CVA'!$U$35)*(1 - CUSTOS!$M$39)</f>
        <v>0</v>
      </c>
      <c r="U35" s="13">
        <f>('TUSD BE'!$V$35+'TUSD BF'!$V$35+'TUSD CVA'!$V$35)*(1 - CUSTOS!$M$39)</f>
        <v>0</v>
      </c>
      <c r="V35" s="13">
        <f>('TUSD BE'!$W$35+'TUSD BF'!$W$35+'TUSD CVA'!$W$35)*(1 - CUSTOS!$M$39)</f>
        <v>0</v>
      </c>
      <c r="W35" s="13">
        <f>('TUSD BE'!$X$35+'TUSD BF'!$X$35+'TUSD CVA'!$X$35)*(1 - CUSTOS!$M$39)</f>
        <v>0</v>
      </c>
      <c r="X35" s="13">
        <f>('TUSD BE'!$Y$35+'TUSD BF'!$Y$35+'TUSD CVA'!$Y$35)*(1 - CUSTOS!$M$39)</f>
        <v>182.17657221938609</v>
      </c>
      <c r="Y35" s="13">
        <f>('TUSD BE'!$Z$35+'TUSD BF'!$Z$35+'TUSD CVA'!$Z$35)*(1 - CUSTOS!$M$39)</f>
        <v>0</v>
      </c>
      <c r="Z35" s="13">
        <f>('TUSD BE'!$AA$35+'TUSD BF'!$AA$35+'TUSD CVA'!$AA$35)*(1 - CUSTOS!$M$39)</f>
        <v>0</v>
      </c>
      <c r="AA35" s="13">
        <f>('TUSD BE'!$AC$35+'TUSD BF'!$AC$35+'TUSD CVA'!$AC$35)*(1 - CUSTOS!$M$39)</f>
        <v>371.34761545181112</v>
      </c>
      <c r="AB35" s="13">
        <f ca="1">('TUSD BE'!$AE$35+'TUSD BF'!$AE$35+'TUSD CVA'!$AE$35)*(1 - CUSTOS!$M$39)</f>
        <v>0</v>
      </c>
      <c r="AC35" s="13">
        <f ca="1">('TUSD BE'!$AF$35+'TUSD BF'!$AF$35+'TUSD CVA'!$AF$35)*(1 - CUSTOS!$M$39)</f>
        <v>0</v>
      </c>
      <c r="AD35" s="13">
        <f>('TUSD BE'!$AH$35+'TUSD BF'!$AH$35+'TUSD CVA'!$AH$35)*(1 - CUSTOS!$M$39)</f>
        <v>28.716662934096842</v>
      </c>
      <c r="AE35" s="13">
        <f>('TUSD BE'!$AI$35+'TUSD BF'!$AI$35+'TUSD CVA'!$AI$35)*(1 - CUSTOS!$M$39)</f>
        <v>1.0073991769117934</v>
      </c>
      <c r="AF35" s="13">
        <f ca="1">('TUSD BE'!$AJ$35+'TUSD BF'!$AJ$35+'TUSD CVA'!$AJ$35)*(1 - CUSTOS!$M$39)</f>
        <v>0</v>
      </c>
      <c r="AG35" s="13">
        <f ca="1">('TUSD BE'!$AK$35+'TUSD BF'!$AK$35+'TUSD CVA'!$AK$35)*(1 - CUSTOS!$M$39)</f>
        <v>0</v>
      </c>
      <c r="AI35" s="13">
        <v>0</v>
      </c>
      <c r="AJ35" s="13">
        <v>1.88311618480752</v>
      </c>
      <c r="AK35" s="13">
        <v>0</v>
      </c>
      <c r="AL35" s="13">
        <v>0</v>
      </c>
      <c r="AM35" s="13">
        <v>0</v>
      </c>
      <c r="AN35" s="13">
        <v>50.186949484848803</v>
      </c>
      <c r="AO35" s="13">
        <v>7.8252503206854298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173.19618235471</v>
      </c>
      <c r="AV35" s="13">
        <v>0</v>
      </c>
      <c r="AW35" s="13">
        <v>0</v>
      </c>
      <c r="AX35" s="13">
        <v>377.57384773050597</v>
      </c>
      <c r="AY35" s="13">
        <v>0</v>
      </c>
      <c r="AZ35" s="13">
        <v>0</v>
      </c>
      <c r="BA35" s="13">
        <v>17.3965738439509</v>
      </c>
      <c r="BB35" s="13">
        <v>0</v>
      </c>
      <c r="BC35" s="13">
        <v>0</v>
      </c>
      <c r="BD35" s="13">
        <v>0</v>
      </c>
    </row>
    <row r="36" spans="1:56" ht="11.25" customHeight="1" x14ac:dyDescent="0.25">
      <c r="A36" s="109"/>
      <c r="B36" s="109"/>
      <c r="C36" s="109"/>
      <c r="D36" s="109"/>
      <c r="E36" s="109"/>
      <c r="F36" s="109"/>
      <c r="G36" s="24" t="s">
        <v>75</v>
      </c>
      <c r="H36" s="24" t="s">
        <v>73</v>
      </c>
      <c r="I36" s="24">
        <f>'MERCADO TUSD'!$U$33</f>
        <v>0</v>
      </c>
      <c r="J36" s="15"/>
      <c r="L36" s="13">
        <f>('TUSD BE'!$L$36+'TUSD BF'!$L$36+'TUSD CVA'!$L$36)*(1 - CUSTOS!$M$39)</f>
        <v>0</v>
      </c>
      <c r="M36" s="13">
        <f>('TUSD BE'!$M$36+'TUSD BF'!$M$36+'TUSD CVA'!$M$36)*(1 - CUSTOS!$M$39)</f>
        <v>2.0693483407477418</v>
      </c>
      <c r="N36" s="13">
        <f ca="1">('TUSD BE'!$N$36+'TUSD BF'!$N$36+'TUSD CVA'!$N$36)*(1 - CUSTOS!$M$39)</f>
        <v>0</v>
      </c>
      <c r="O36" s="13">
        <f>('TUSD BE'!$O$36+'TUSD BF'!$O$36+'TUSD CVA'!$O$36)*(1 - CUSTOS!$M$39)</f>
        <v>0</v>
      </c>
      <c r="P36" s="13">
        <f>('TUSD BE'!$P$36+'TUSD BF'!$P$36+'TUSD CVA'!$P$36)*(1 - CUSTOS!$M$39)</f>
        <v>0</v>
      </c>
      <c r="Q36" s="13">
        <f>('TUSD BE'!$Q$36+'TUSD BF'!$Q$36+'TUSD CVA'!$Q$36)*(1 - CUSTOS!$M$39)</f>
        <v>84.50415285746827</v>
      </c>
      <c r="R36" s="13">
        <f>('TUSD BE'!$R$36+'TUSD BF'!$R$36+'TUSD CVA'!$R$36)*(1 - CUSTOS!$M$39)</f>
        <v>13.333673949078083</v>
      </c>
      <c r="S36" s="13">
        <f>('TUSD BE'!$S$36+'TUSD BF'!$S$36+'TUSD CVA'!$S$36)*(1 - CUSTOS!$M$39)</f>
        <v>0</v>
      </c>
      <c r="T36" s="13">
        <f>('TUSD BE'!$U$36+'TUSD BF'!$U$36+'TUSD CVA'!$U$36)*(1 - CUSTOS!$M$39)</f>
        <v>0</v>
      </c>
      <c r="U36" s="13">
        <f>('TUSD BE'!$V$36+'TUSD BF'!$V$36+'TUSD CVA'!$V$36)*(1 - CUSTOS!$M$39)</f>
        <v>0</v>
      </c>
      <c r="V36" s="13">
        <f>('TUSD BE'!$W$36+'TUSD BF'!$W$36+'TUSD CVA'!$W$36)*(1 - CUSTOS!$M$39)</f>
        <v>0</v>
      </c>
      <c r="W36" s="13">
        <f>('TUSD BE'!$X$36+'TUSD BF'!$X$36+'TUSD CVA'!$X$36)*(1 - CUSTOS!$M$39)</f>
        <v>0</v>
      </c>
      <c r="X36" s="13">
        <f>('TUSD BE'!$Y$36+'TUSD BF'!$Y$36+'TUSD CVA'!$Y$36)*(1 - CUSTOS!$M$39)</f>
        <v>91.088286109693044</v>
      </c>
      <c r="Y36" s="13">
        <f>('TUSD BE'!$Z$36+'TUSD BF'!$Z$36+'TUSD CVA'!$Z$36)*(1 - CUSTOS!$M$39)</f>
        <v>0</v>
      </c>
      <c r="Z36" s="13">
        <f>('TUSD BE'!$AA$36+'TUSD BF'!$AA$36+'TUSD CVA'!$AA$36)*(1 - CUSTOS!$M$39)</f>
        <v>0</v>
      </c>
      <c r="AA36" s="13">
        <f>('TUSD BE'!$AC$36+'TUSD BF'!$AC$36+'TUSD CVA'!$AC$36)*(1 - CUSTOS!$M$39)</f>
        <v>185.67380772590556</v>
      </c>
      <c r="AB36" s="13">
        <f ca="1">('TUSD BE'!$AE$36+'TUSD BF'!$AE$36+'TUSD CVA'!$AE$36)*(1 - CUSTOS!$M$39)</f>
        <v>0</v>
      </c>
      <c r="AC36" s="13">
        <f ca="1">('TUSD BE'!$AF$36+'TUSD BF'!$AF$36+'TUSD CVA'!$AF$36)*(1 - CUSTOS!$M$39)</f>
        <v>0</v>
      </c>
      <c r="AD36" s="13">
        <f>('TUSD BE'!$AH$36+'TUSD BF'!$AH$36+'TUSD CVA'!$AH$36)*(1 - CUSTOS!$M$39)</f>
        <v>28.716662934096842</v>
      </c>
      <c r="AE36" s="13">
        <f>('TUSD BE'!$AI$36+'TUSD BF'!$AI$36+'TUSD CVA'!$AI$36)*(1 - CUSTOS!$M$39)</f>
        <v>1.0073991769117934</v>
      </c>
      <c r="AF36" s="13">
        <f ca="1">('TUSD BE'!$AJ$36+'TUSD BF'!$AJ$36+'TUSD CVA'!$AJ$36)*(1 - CUSTOS!$M$39)</f>
        <v>0</v>
      </c>
      <c r="AG36" s="13">
        <f ca="1">('TUSD BE'!$AK$36+'TUSD BF'!$AK$36+'TUSD CVA'!$AK$36)*(1 - CUSTOS!$M$39)</f>
        <v>0</v>
      </c>
      <c r="AI36" s="13">
        <v>0</v>
      </c>
      <c r="AJ36" s="13">
        <v>1.88311618480752</v>
      </c>
      <c r="AK36" s="13">
        <v>0</v>
      </c>
      <c r="AL36" s="13">
        <v>0</v>
      </c>
      <c r="AM36" s="13">
        <v>0</v>
      </c>
      <c r="AN36" s="13">
        <v>50.186949484848803</v>
      </c>
      <c r="AO36" s="13">
        <v>7.8252503206854298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57.731559382752302</v>
      </c>
      <c r="AV36" s="13">
        <v>0</v>
      </c>
      <c r="AW36" s="13">
        <v>0</v>
      </c>
      <c r="AX36" s="13">
        <v>125.857969031539</v>
      </c>
      <c r="AY36" s="13">
        <v>0</v>
      </c>
      <c r="AZ36" s="13">
        <v>0</v>
      </c>
      <c r="BA36" s="13">
        <v>17.3965738439509</v>
      </c>
      <c r="BB36" s="13">
        <v>0</v>
      </c>
      <c r="BC36" s="13">
        <v>0</v>
      </c>
      <c r="BD36" s="13">
        <v>0</v>
      </c>
    </row>
    <row r="37" spans="1:56" ht="11.25" customHeight="1" x14ac:dyDescent="0.25">
      <c r="A37" s="109"/>
      <c r="B37" s="23" t="s">
        <v>23</v>
      </c>
      <c r="C37" s="23" t="s">
        <v>42</v>
      </c>
      <c r="D37" s="23" t="s">
        <v>89</v>
      </c>
      <c r="E37" s="23" t="s">
        <v>25</v>
      </c>
      <c r="F37" s="23" t="s">
        <v>25</v>
      </c>
      <c r="G37" s="24" t="s">
        <v>77</v>
      </c>
      <c r="H37" s="24" t="s">
        <v>73</v>
      </c>
      <c r="I37" s="24">
        <f>'MERCADO TUSD'!$U$34</f>
        <v>0</v>
      </c>
      <c r="J37" s="15"/>
      <c r="L37" s="13">
        <f>('TUSD BE'!$L$37+'TUSD BF'!$L$37+'TUSD CVA'!$L$37)*(1 - CUSTOS!$M$39)</f>
        <v>0</v>
      </c>
      <c r="M37" s="13">
        <f>('TUSD BE'!$M$37+'TUSD BF'!$M$37+'TUSD CVA'!$M$37)*(1 - CUSTOS!$M$39)</f>
        <v>2.0693483407477418</v>
      </c>
      <c r="N37" s="13">
        <f ca="1">('TUSD BE'!$N$37+'TUSD BF'!$N$37+'TUSD CVA'!$N$37)*(1 - CUSTOS!$M$39)</f>
        <v>0</v>
      </c>
      <c r="O37" s="13">
        <f>('TUSD BE'!$O$37+'TUSD BF'!$O$37+'TUSD CVA'!$O$37)*(1 - CUSTOS!$M$39)</f>
        <v>0</v>
      </c>
      <c r="P37" s="13">
        <f>('TUSD BE'!$P$37+'TUSD BF'!$P$37+'TUSD CVA'!$P$37)*(1 - CUSTOS!$M$39)</f>
        <v>0</v>
      </c>
      <c r="Q37" s="13">
        <f>('TUSD BE'!$Q$37+'TUSD BF'!$Q$37+'TUSD CVA'!$Q$37)*(1 - CUSTOS!$M$39)</f>
        <v>84.50415285746827</v>
      </c>
      <c r="R37" s="13">
        <f>('TUSD BE'!$R$37+'TUSD BF'!$R$37+'TUSD CVA'!$R$37)*(1 - CUSTOS!$M$39)</f>
        <v>13.333673949078083</v>
      </c>
      <c r="S37" s="13">
        <f>('TUSD BE'!$S$37+'TUSD BF'!$S$37+'TUSD CVA'!$S$37)*(1 - CUSTOS!$M$39)</f>
        <v>0</v>
      </c>
      <c r="T37" s="13">
        <f>('TUSD BE'!$U$37+'TUSD BF'!$U$37+'TUSD CVA'!$U$37)*(1 - CUSTOS!$M$39)</f>
        <v>0</v>
      </c>
      <c r="U37" s="13">
        <f>('TUSD BE'!$V$37+'TUSD BF'!$V$37+'TUSD CVA'!$V$37)*(1 - CUSTOS!$M$39)</f>
        <v>0</v>
      </c>
      <c r="V37" s="13">
        <f>('TUSD BE'!$W$37+'TUSD BF'!$W$37+'TUSD CVA'!$W$37)*(1 - CUSTOS!$M$39)</f>
        <v>0</v>
      </c>
      <c r="W37" s="13">
        <f>('TUSD BE'!$X$37+'TUSD BF'!$X$37+'TUSD CVA'!$X$37)*(1 - CUSTOS!$M$39)</f>
        <v>0</v>
      </c>
      <c r="X37" s="13">
        <f>('TUSD BE'!$Y$37+'TUSD BF'!$Y$37+'TUSD CVA'!$Y$37)*(1 - CUSTOS!$M$39)</f>
        <v>133.95339345543695</v>
      </c>
      <c r="Y37" s="13">
        <f>('TUSD BE'!$Z$37+'TUSD BF'!$Z$37+'TUSD CVA'!$Z$37)*(1 - CUSTOS!$M$39)</f>
        <v>0</v>
      </c>
      <c r="Z37" s="13">
        <f>('TUSD BE'!$AA$37+'TUSD BF'!$AA$37+'TUSD CVA'!$AA$37)*(1 - CUSTOS!$M$39)</f>
        <v>0</v>
      </c>
      <c r="AA37" s="13">
        <f>('TUSD BE'!$AC$37+'TUSD BF'!$AC$37+'TUSD CVA'!$AC$37)*(1 - CUSTOS!$M$39)</f>
        <v>273.04971059479527</v>
      </c>
      <c r="AB37" s="13">
        <f ca="1">('TUSD BE'!$AE$37+'TUSD BF'!$AE$37+'TUSD CVA'!$AE$37)*(1 - CUSTOS!$M$39)</f>
        <v>0</v>
      </c>
      <c r="AC37" s="13">
        <f ca="1">('TUSD BE'!$AF$37+'TUSD BF'!$AF$37+'TUSD CVA'!$AF$37)*(1 - CUSTOS!$M$39)</f>
        <v>0</v>
      </c>
      <c r="AD37" s="13">
        <f>('TUSD BE'!$AH$37+'TUSD BF'!$AH$37+'TUSD CVA'!$AH$37)*(1 - CUSTOS!$M$39)</f>
        <v>28.716662934096842</v>
      </c>
      <c r="AE37" s="13">
        <f>('TUSD BE'!$AI$37+'TUSD BF'!$AI$37+'TUSD CVA'!$AI$37)*(1 - CUSTOS!$M$39)</f>
        <v>1.0073991769117934</v>
      </c>
      <c r="AF37" s="13">
        <f ca="1">('TUSD BE'!$AJ$37+'TUSD BF'!$AJ$37+'TUSD CVA'!$AJ$37)*(1 - CUSTOS!$M$39)</f>
        <v>0</v>
      </c>
      <c r="AG37" s="13">
        <f ca="1">('TUSD BE'!$AK$37+'TUSD BF'!$AK$37+'TUSD CVA'!$AK$37)*(1 - CUSTOS!$M$39)</f>
        <v>0</v>
      </c>
      <c r="AI37" s="13">
        <v>0</v>
      </c>
      <c r="AJ37" s="13">
        <v>1.88311618480752</v>
      </c>
      <c r="AK37" s="13">
        <v>0</v>
      </c>
      <c r="AL37" s="13">
        <v>0</v>
      </c>
      <c r="AM37" s="13">
        <v>0</v>
      </c>
      <c r="AN37" s="13">
        <v>50.186949484848803</v>
      </c>
      <c r="AO37" s="13">
        <v>7.8252503206854298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111.02351127292199</v>
      </c>
      <c r="AV37" s="13">
        <v>0</v>
      </c>
      <c r="AW37" s="13">
        <v>0</v>
      </c>
      <c r="AX37" s="13">
        <v>242.034482766362</v>
      </c>
      <c r="AY37" s="13">
        <v>0</v>
      </c>
      <c r="AZ37" s="13">
        <v>0</v>
      </c>
      <c r="BA37" s="13">
        <v>17.3965738439509</v>
      </c>
      <c r="BB37" s="13">
        <v>0</v>
      </c>
      <c r="BC37" s="13">
        <v>0</v>
      </c>
      <c r="BD37" s="13">
        <v>0</v>
      </c>
    </row>
    <row r="38" spans="1:56" ht="11.25" customHeight="1" x14ac:dyDescent="0.25">
      <c r="A38" s="109"/>
      <c r="B38" s="109" t="s">
        <v>86</v>
      </c>
      <c r="C38" s="109" t="s">
        <v>42</v>
      </c>
      <c r="D38" s="109" t="s">
        <v>90</v>
      </c>
      <c r="E38" s="109" t="s">
        <v>25</v>
      </c>
      <c r="F38" s="109" t="s">
        <v>25</v>
      </c>
      <c r="G38" s="24" t="s">
        <v>74</v>
      </c>
      <c r="H38" s="24" t="s">
        <v>73</v>
      </c>
      <c r="I38" s="24">
        <f>'MERCADO TUSD'!$U$35</f>
        <v>0</v>
      </c>
      <c r="J38" s="15"/>
      <c r="L38" s="13">
        <f>('TUSD BE'!$L$38+'TUSD BF'!$L$38+'TUSD CVA'!$L$38)*(1 - CUSTOS!$M$40)</f>
        <v>0</v>
      </c>
      <c r="M38" s="13">
        <f>('TUSD BE'!$M$38+'TUSD BF'!$M$38+'TUSD CVA'!$M$38)*(1 - CUSTOS!$M$40)</f>
        <v>2.0253196526467261</v>
      </c>
      <c r="N38" s="13">
        <f ca="1">('TUSD BE'!$N$38+'TUSD BF'!$N$38+'TUSD CVA'!$N$38)*(1 - CUSTOS!$M$40)</f>
        <v>0</v>
      </c>
      <c r="O38" s="13">
        <f>('TUSD BE'!$O$38+'TUSD BF'!$O$38+'TUSD CVA'!$O$38)*(1 - CUSTOS!$M$40)</f>
        <v>0</v>
      </c>
      <c r="P38" s="13">
        <f>('TUSD BE'!$P$38+'TUSD BF'!$P$38+'TUSD CVA'!$P$38)*(1 - CUSTOS!$M$40)</f>
        <v>0</v>
      </c>
      <c r="Q38" s="13">
        <f>('TUSD BE'!$Q$38+'TUSD BF'!$Q$38+'TUSD CVA'!$Q$38)*(1 - CUSTOS!$M$40)</f>
        <v>82.706192158373213</v>
      </c>
      <c r="R38" s="13">
        <f>('TUSD BE'!$R$38+'TUSD BF'!$R$38+'TUSD CVA'!$R$38)*(1 - CUSTOS!$M$40)</f>
        <v>13.049978758672168</v>
      </c>
      <c r="S38" s="13">
        <f>('TUSD BE'!$S$38+'TUSD BF'!$S$38+'TUSD CVA'!$S$38)*(1 - CUSTOS!$M$40)</f>
        <v>0</v>
      </c>
      <c r="T38" s="13">
        <f>('TUSD BE'!$U$38+'TUSD BF'!$U$38+'TUSD CVA'!$U$38)*(1 - CUSTOS!$M$40)</f>
        <v>0</v>
      </c>
      <c r="U38" s="13">
        <f>('TUSD BE'!$V$38+'TUSD BF'!$V$38+'TUSD CVA'!$V$38)*(1 - CUSTOS!$M$40)</f>
        <v>0</v>
      </c>
      <c r="V38" s="13">
        <f>('TUSD BE'!$W$38+'TUSD BF'!$W$38+'TUSD CVA'!$W$38)*(1 - CUSTOS!$M$40)</f>
        <v>0</v>
      </c>
      <c r="W38" s="13">
        <f>('TUSD BE'!$X$38+'TUSD BF'!$X$38+'TUSD CVA'!$X$38)*(1 - CUSTOS!$M$40)</f>
        <v>0</v>
      </c>
      <c r="X38" s="13">
        <f>('TUSD BE'!$Y$38+'TUSD BF'!$Y$38+'TUSD CVA'!$Y$38)*(1 - CUSTOS!$M$40)</f>
        <v>356.60094987624512</v>
      </c>
      <c r="Y38" s="13">
        <f>('TUSD BE'!$Z$38+'TUSD BF'!$Z$38+'TUSD CVA'!$Z$38)*(1 - CUSTOS!$M$40)</f>
        <v>0</v>
      </c>
      <c r="Z38" s="13">
        <f>('TUSD BE'!$AA$38+'TUSD BF'!$AA$38+'TUSD CVA'!$AA$38)*(1 - CUSTOS!$M$40)</f>
        <v>0</v>
      </c>
      <c r="AA38" s="13">
        <f>('TUSD BE'!$AC$38+'TUSD BF'!$AC$38+'TUSD CVA'!$AC$38)*(1 - CUSTOS!$M$40)</f>
        <v>726.89314939863596</v>
      </c>
      <c r="AB38" s="13">
        <f ca="1">('TUSD BE'!$AE$38+'TUSD BF'!$AE$38+'TUSD CVA'!$AE$38)*(1 - CUSTOS!$M$40)</f>
        <v>0</v>
      </c>
      <c r="AC38" s="13">
        <f ca="1">('TUSD BE'!$AF$38+'TUSD BF'!$AF$38+'TUSD CVA'!$AF$38)*(1 - CUSTOS!$M$40)</f>
        <v>0</v>
      </c>
      <c r="AD38" s="13">
        <f>('TUSD BE'!$AH$38+'TUSD BF'!$AH$38+'TUSD CVA'!$AH$38)*(1 - CUSTOS!$M$40)</f>
        <v>28.105670105711805</v>
      </c>
      <c r="AE38" s="13">
        <f>('TUSD BE'!$AI$38+'TUSD BF'!$AI$38+'TUSD CVA'!$AI$38)*(1 - CUSTOS!$M$40)</f>
        <v>0.985965151871117</v>
      </c>
      <c r="AF38" s="13">
        <f ca="1">('TUSD BE'!$AJ$38+'TUSD BF'!$AJ$38+'TUSD CVA'!$AJ$38)*(1 - CUSTOS!$M$40)</f>
        <v>0</v>
      </c>
      <c r="AG38" s="13">
        <f ca="1">('TUSD BE'!$AK$38+'TUSD BF'!$AK$38+'TUSD CVA'!$AK$38)*(1 - CUSTOS!$M$40)</f>
        <v>0</v>
      </c>
      <c r="AI38" s="13">
        <v>0</v>
      </c>
      <c r="AJ38" s="13">
        <v>1.7975199945889999</v>
      </c>
      <c r="AK38" s="13">
        <v>0</v>
      </c>
      <c r="AL38" s="13">
        <v>0</v>
      </c>
      <c r="AM38" s="13">
        <v>0</v>
      </c>
      <c r="AN38" s="13">
        <v>47.905724508264697</v>
      </c>
      <c r="AO38" s="13">
        <v>7.4695571242906302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275.53963873254997</v>
      </c>
      <c r="AV38" s="13">
        <v>0</v>
      </c>
      <c r="AW38" s="13">
        <v>0</v>
      </c>
      <c r="AX38" s="13">
        <v>600.68553462392299</v>
      </c>
      <c r="AY38" s="13">
        <v>0</v>
      </c>
      <c r="AZ38" s="13">
        <v>0</v>
      </c>
      <c r="BA38" s="13">
        <v>16.605820487407701</v>
      </c>
      <c r="BB38" s="13">
        <v>0</v>
      </c>
      <c r="BC38" s="13">
        <v>0</v>
      </c>
      <c r="BD38" s="13">
        <v>0</v>
      </c>
    </row>
    <row r="39" spans="1:56" ht="11.25" customHeight="1" x14ac:dyDescent="0.25">
      <c r="A39" s="109"/>
      <c r="B39" s="109"/>
      <c r="C39" s="109"/>
      <c r="D39" s="109"/>
      <c r="E39" s="109"/>
      <c r="F39" s="109"/>
      <c r="G39" s="24" t="s">
        <v>85</v>
      </c>
      <c r="H39" s="24" t="s">
        <v>73</v>
      </c>
      <c r="I39" s="24">
        <f>'MERCADO TUSD'!$U$36</f>
        <v>0</v>
      </c>
      <c r="J39" s="15"/>
      <c r="L39" s="13">
        <f>('TUSD BE'!$L$39+'TUSD BF'!$L$39+'TUSD CVA'!$L$39)*(1 - CUSTOS!$M$40)</f>
        <v>0</v>
      </c>
      <c r="M39" s="13">
        <f>('TUSD BE'!$M$39+'TUSD BF'!$M$39+'TUSD CVA'!$M$39)*(1 - CUSTOS!$M$40)</f>
        <v>2.0253196526467261</v>
      </c>
      <c r="N39" s="13">
        <f ca="1">('TUSD BE'!$N$39+'TUSD BF'!$N$39+'TUSD CVA'!$N$39)*(1 - CUSTOS!$M$40)</f>
        <v>0</v>
      </c>
      <c r="O39" s="13">
        <f>('TUSD BE'!$O$39+'TUSD BF'!$O$39+'TUSD CVA'!$O$39)*(1 - CUSTOS!$M$40)</f>
        <v>0</v>
      </c>
      <c r="P39" s="13">
        <f>('TUSD BE'!$P$39+'TUSD BF'!$P$39+'TUSD CVA'!$P$39)*(1 - CUSTOS!$M$40)</f>
        <v>0</v>
      </c>
      <c r="Q39" s="13">
        <f>('TUSD BE'!$Q$39+'TUSD BF'!$Q$39+'TUSD CVA'!$Q$39)*(1 - CUSTOS!$M$40)</f>
        <v>82.706192158373213</v>
      </c>
      <c r="R39" s="13">
        <f>('TUSD BE'!$R$39+'TUSD BF'!$R$39+'TUSD CVA'!$R$39)*(1 - CUSTOS!$M$40)</f>
        <v>13.049978758672168</v>
      </c>
      <c r="S39" s="13">
        <f>('TUSD BE'!$S$39+'TUSD BF'!$S$39+'TUSD CVA'!$S$39)*(1 - CUSTOS!$M$40)</f>
        <v>0</v>
      </c>
      <c r="T39" s="13">
        <f>('TUSD BE'!$U$39+'TUSD BF'!$U$39+'TUSD CVA'!$U$39)*(1 - CUSTOS!$M$40)</f>
        <v>0</v>
      </c>
      <c r="U39" s="13">
        <f>('TUSD BE'!$V$39+'TUSD BF'!$V$39+'TUSD CVA'!$V$39)*(1 - CUSTOS!$M$40)</f>
        <v>0</v>
      </c>
      <c r="V39" s="13">
        <f>('TUSD BE'!$W$39+'TUSD BF'!$W$39+'TUSD CVA'!$W$39)*(1 - CUSTOS!$M$40)</f>
        <v>0</v>
      </c>
      <c r="W39" s="13">
        <f>('TUSD BE'!$X$39+'TUSD BF'!$X$39+'TUSD CVA'!$X$39)*(1 - CUSTOS!$M$40)</f>
        <v>0</v>
      </c>
      <c r="X39" s="13">
        <f>('TUSD BE'!$Y$39+'TUSD BF'!$Y$39+'TUSD CVA'!$Y$39)*(1 - CUSTOS!$M$40)</f>
        <v>178.30047493812256</v>
      </c>
      <c r="Y39" s="13">
        <f>('TUSD BE'!$Z$39+'TUSD BF'!$Z$39+'TUSD CVA'!$Z$39)*(1 - CUSTOS!$M$40)</f>
        <v>0</v>
      </c>
      <c r="Z39" s="13">
        <f>('TUSD BE'!$AA$39+'TUSD BF'!$AA$39+'TUSD CVA'!$AA$39)*(1 - CUSTOS!$M$40)</f>
        <v>0</v>
      </c>
      <c r="AA39" s="13">
        <f>('TUSD BE'!$AC$39+'TUSD BF'!$AC$39+'TUSD CVA'!$AC$39)*(1 - CUSTOS!$M$40)</f>
        <v>363.44660235709176</v>
      </c>
      <c r="AB39" s="13">
        <f ca="1">('TUSD BE'!$AE$39+'TUSD BF'!$AE$39+'TUSD CVA'!$AE$39)*(1 - CUSTOS!$M$40)</f>
        <v>0</v>
      </c>
      <c r="AC39" s="13">
        <f ca="1">('TUSD BE'!$AF$39+'TUSD BF'!$AF$39+'TUSD CVA'!$AF$39)*(1 - CUSTOS!$M$40)</f>
        <v>0</v>
      </c>
      <c r="AD39" s="13">
        <f>('TUSD BE'!$AH$39+'TUSD BF'!$AH$39+'TUSD CVA'!$AH$39)*(1 - CUSTOS!$M$40)</f>
        <v>28.105670105711805</v>
      </c>
      <c r="AE39" s="13">
        <f>('TUSD BE'!$AI$39+'TUSD BF'!$AI$39+'TUSD CVA'!$AI$39)*(1 - CUSTOS!$M$40)</f>
        <v>0.985965151871117</v>
      </c>
      <c r="AF39" s="13">
        <f ca="1">('TUSD BE'!$AJ$39+'TUSD BF'!$AJ$39+'TUSD CVA'!$AJ$39)*(1 - CUSTOS!$M$40)</f>
        <v>0</v>
      </c>
      <c r="AG39" s="13">
        <f ca="1">('TUSD BE'!$AK$39+'TUSD BF'!$AK$39+'TUSD CVA'!$AK$39)*(1 - CUSTOS!$M$40)</f>
        <v>0</v>
      </c>
      <c r="AI39" s="13">
        <v>0</v>
      </c>
      <c r="AJ39" s="13">
        <v>1.7975199945889999</v>
      </c>
      <c r="AK39" s="13">
        <v>0</v>
      </c>
      <c r="AL39" s="13">
        <v>0</v>
      </c>
      <c r="AM39" s="13">
        <v>0</v>
      </c>
      <c r="AN39" s="13">
        <v>47.905724508264697</v>
      </c>
      <c r="AO39" s="13">
        <v>7.4695571242906302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165.32362861131401</v>
      </c>
      <c r="AV39" s="13">
        <v>0</v>
      </c>
      <c r="AW39" s="13">
        <v>0</v>
      </c>
      <c r="AX39" s="13">
        <v>360.41140010639202</v>
      </c>
      <c r="AY39" s="13">
        <v>0</v>
      </c>
      <c r="AZ39" s="13">
        <v>0</v>
      </c>
      <c r="BA39" s="13">
        <v>16.605820487407701</v>
      </c>
      <c r="BB39" s="13">
        <v>0</v>
      </c>
      <c r="BC39" s="13">
        <v>0</v>
      </c>
      <c r="BD39" s="13">
        <v>0</v>
      </c>
    </row>
    <row r="40" spans="1:56" ht="11.25" customHeight="1" x14ac:dyDescent="0.25">
      <c r="A40" s="109"/>
      <c r="B40" s="109"/>
      <c r="C40" s="109"/>
      <c r="D40" s="109"/>
      <c r="E40" s="109"/>
      <c r="F40" s="109"/>
      <c r="G40" s="24" t="s">
        <v>75</v>
      </c>
      <c r="H40" s="24" t="s">
        <v>73</v>
      </c>
      <c r="I40" s="24">
        <f>'MERCADO TUSD'!$U$37</f>
        <v>0</v>
      </c>
      <c r="J40" s="15"/>
      <c r="L40" s="13">
        <f>('TUSD BE'!$L$40+'TUSD BF'!$L$40+'TUSD CVA'!$L$40)*(1 - CUSTOS!$M$40)</f>
        <v>0</v>
      </c>
      <c r="M40" s="13">
        <f>('TUSD BE'!$M$40+'TUSD BF'!$M$40+'TUSD CVA'!$M$40)*(1 - CUSTOS!$M$40)</f>
        <v>2.0253196526467261</v>
      </c>
      <c r="N40" s="13">
        <f ca="1">('TUSD BE'!$N$40+'TUSD BF'!$N$40+'TUSD CVA'!$N$40)*(1 - CUSTOS!$M$40)</f>
        <v>0</v>
      </c>
      <c r="O40" s="13">
        <f>('TUSD BE'!$O$40+'TUSD BF'!$O$40+'TUSD CVA'!$O$40)*(1 - CUSTOS!$M$40)</f>
        <v>0</v>
      </c>
      <c r="P40" s="13">
        <f>('TUSD BE'!$P$40+'TUSD BF'!$P$40+'TUSD CVA'!$P$40)*(1 - CUSTOS!$M$40)</f>
        <v>0</v>
      </c>
      <c r="Q40" s="13">
        <f>('TUSD BE'!$Q$40+'TUSD BF'!$Q$40+'TUSD CVA'!$Q$40)*(1 - CUSTOS!$M$40)</f>
        <v>82.706192158373213</v>
      </c>
      <c r="R40" s="13">
        <f>('TUSD BE'!$R$40+'TUSD BF'!$R$40+'TUSD CVA'!$R$40)*(1 - CUSTOS!$M$40)</f>
        <v>13.049978758672168</v>
      </c>
      <c r="S40" s="13">
        <f>('TUSD BE'!$S$40+'TUSD BF'!$S$40+'TUSD CVA'!$S$40)*(1 - CUSTOS!$M$40)</f>
        <v>0</v>
      </c>
      <c r="T40" s="13">
        <f>('TUSD BE'!$U$40+'TUSD BF'!$U$40+'TUSD CVA'!$U$40)*(1 - CUSTOS!$M$40)</f>
        <v>0</v>
      </c>
      <c r="U40" s="13">
        <f>('TUSD BE'!$V$40+'TUSD BF'!$V$40+'TUSD CVA'!$V$40)*(1 - CUSTOS!$M$40)</f>
        <v>0</v>
      </c>
      <c r="V40" s="13">
        <f>('TUSD BE'!$W$40+'TUSD BF'!$W$40+'TUSD CVA'!$W$40)*(1 - CUSTOS!$M$40)</f>
        <v>0</v>
      </c>
      <c r="W40" s="13">
        <f>('TUSD BE'!$X$40+'TUSD BF'!$X$40+'TUSD CVA'!$X$40)*(1 - CUSTOS!$M$40)</f>
        <v>0</v>
      </c>
      <c r="X40" s="13">
        <f>('TUSD BE'!$Y$40+'TUSD BF'!$Y$40+'TUSD CVA'!$Y$40)*(1 - CUSTOS!$M$40)</f>
        <v>89.150237469061281</v>
      </c>
      <c r="Y40" s="13">
        <f>('TUSD BE'!$Z$40+'TUSD BF'!$Z$40+'TUSD CVA'!$Z$40)*(1 - CUSTOS!$M$40)</f>
        <v>0</v>
      </c>
      <c r="Z40" s="13">
        <f>('TUSD BE'!$AA$40+'TUSD BF'!$AA$40+'TUSD CVA'!$AA$40)*(1 - CUSTOS!$M$40)</f>
        <v>0</v>
      </c>
      <c r="AA40" s="13">
        <f>('TUSD BE'!$AC$40+'TUSD BF'!$AC$40+'TUSD CVA'!$AC$40)*(1 - CUSTOS!$M$40)</f>
        <v>181.72330117854588</v>
      </c>
      <c r="AB40" s="13">
        <f ca="1">('TUSD BE'!$AE$40+'TUSD BF'!$AE$40+'TUSD CVA'!$AE$40)*(1 - CUSTOS!$M$40)</f>
        <v>0</v>
      </c>
      <c r="AC40" s="13">
        <f ca="1">('TUSD BE'!$AF$40+'TUSD BF'!$AF$40+'TUSD CVA'!$AF$40)*(1 - CUSTOS!$M$40)</f>
        <v>0</v>
      </c>
      <c r="AD40" s="13">
        <f>('TUSD BE'!$AH$40+'TUSD BF'!$AH$40+'TUSD CVA'!$AH$40)*(1 - CUSTOS!$M$40)</f>
        <v>28.105670105711805</v>
      </c>
      <c r="AE40" s="13">
        <f>('TUSD BE'!$AI$40+'TUSD BF'!$AI$40+'TUSD CVA'!$AI$40)*(1 - CUSTOS!$M$40)</f>
        <v>0.985965151871117</v>
      </c>
      <c r="AF40" s="13">
        <f ca="1">('TUSD BE'!$AJ$40+'TUSD BF'!$AJ$40+'TUSD CVA'!$AJ$40)*(1 - CUSTOS!$M$40)</f>
        <v>0</v>
      </c>
      <c r="AG40" s="13">
        <f ca="1">('TUSD BE'!$AK$40+'TUSD BF'!$AK$40+'TUSD CVA'!$AK$40)*(1 - CUSTOS!$M$40)</f>
        <v>0</v>
      </c>
      <c r="AI40" s="13">
        <v>0</v>
      </c>
      <c r="AJ40" s="13">
        <v>1.7975199945889999</v>
      </c>
      <c r="AK40" s="13">
        <v>0</v>
      </c>
      <c r="AL40" s="13">
        <v>0</v>
      </c>
      <c r="AM40" s="13">
        <v>0</v>
      </c>
      <c r="AN40" s="13">
        <v>47.905724508264697</v>
      </c>
      <c r="AO40" s="13">
        <v>7.4695571242906302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55.107397592627201</v>
      </c>
      <c r="AV40" s="13">
        <v>0</v>
      </c>
      <c r="AW40" s="13">
        <v>0</v>
      </c>
      <c r="AX40" s="13">
        <v>120.13715225737801</v>
      </c>
      <c r="AY40" s="13">
        <v>0</v>
      </c>
      <c r="AZ40" s="13">
        <v>0</v>
      </c>
      <c r="BA40" s="13">
        <v>16.605820487407701</v>
      </c>
      <c r="BB40" s="13">
        <v>0</v>
      </c>
      <c r="BC40" s="13">
        <v>0</v>
      </c>
      <c r="BD40" s="13">
        <v>0</v>
      </c>
    </row>
    <row r="41" spans="1:56" ht="11.25" customHeight="1" x14ac:dyDescent="0.25">
      <c r="A41" s="109"/>
      <c r="B41" s="23" t="s">
        <v>23</v>
      </c>
      <c r="C41" s="23" t="s">
        <v>42</v>
      </c>
      <c r="D41" s="23" t="s">
        <v>90</v>
      </c>
      <c r="E41" s="23" t="s">
        <v>25</v>
      </c>
      <c r="F41" s="23" t="s">
        <v>25</v>
      </c>
      <c r="G41" s="24" t="s">
        <v>77</v>
      </c>
      <c r="H41" s="24" t="s">
        <v>73</v>
      </c>
      <c r="I41" s="24">
        <f>'MERCADO TUSD'!$U$38</f>
        <v>0</v>
      </c>
      <c r="J41" s="15"/>
      <c r="L41" s="13">
        <f>('TUSD BE'!$L$41+'TUSD BF'!$L$41+'TUSD CVA'!$L$41)*(1 - CUSTOS!$M$40)</f>
        <v>0</v>
      </c>
      <c r="M41" s="13">
        <f>('TUSD BE'!$M$41+'TUSD BF'!$M$41+'TUSD CVA'!$M$41)*(1 - CUSTOS!$M$40)</f>
        <v>2.0253196526467261</v>
      </c>
      <c r="N41" s="13">
        <f ca="1">('TUSD BE'!$N$41+'TUSD BF'!$N$41+'TUSD CVA'!$N$41)*(1 - CUSTOS!$M$40)</f>
        <v>0</v>
      </c>
      <c r="O41" s="13">
        <f>('TUSD BE'!$O$41+'TUSD BF'!$O$41+'TUSD CVA'!$O$41)*(1 - CUSTOS!$M$40)</f>
        <v>0</v>
      </c>
      <c r="P41" s="13">
        <f>('TUSD BE'!$P$41+'TUSD BF'!$P$41+'TUSD CVA'!$P$41)*(1 - CUSTOS!$M$40)</f>
        <v>0</v>
      </c>
      <c r="Q41" s="13">
        <f>('TUSD BE'!$Q$41+'TUSD BF'!$Q$41+'TUSD CVA'!$Q$41)*(1 - CUSTOS!$M$40)</f>
        <v>82.706192158373213</v>
      </c>
      <c r="R41" s="13">
        <f>('TUSD BE'!$R$41+'TUSD BF'!$R$41+'TUSD CVA'!$R$41)*(1 - CUSTOS!$M$40)</f>
        <v>13.049978758672168</v>
      </c>
      <c r="S41" s="13">
        <f>('TUSD BE'!$S$41+'TUSD BF'!$S$41+'TUSD CVA'!$S$41)*(1 - CUSTOS!$M$40)</f>
        <v>0</v>
      </c>
      <c r="T41" s="13">
        <f>('TUSD BE'!$U$41+'TUSD BF'!$U$41+'TUSD CVA'!$U$41)*(1 - CUSTOS!$M$40)</f>
        <v>0</v>
      </c>
      <c r="U41" s="13">
        <f>('TUSD BE'!$V$41+'TUSD BF'!$V$41+'TUSD CVA'!$V$41)*(1 - CUSTOS!$M$40)</f>
        <v>0</v>
      </c>
      <c r="V41" s="13">
        <f>('TUSD BE'!$W$41+'TUSD BF'!$W$41+'TUSD CVA'!$W$41)*(1 - CUSTOS!$M$40)</f>
        <v>0</v>
      </c>
      <c r="W41" s="13">
        <f>('TUSD BE'!$X$41+'TUSD BF'!$X$41+'TUSD CVA'!$X$41)*(1 - CUSTOS!$M$40)</f>
        <v>0</v>
      </c>
      <c r="X41" s="13">
        <f>('TUSD BE'!$Y$41+'TUSD BF'!$Y$41+'TUSD CVA'!$Y$41)*(1 - CUSTOS!$M$40)</f>
        <v>131.10332125425745</v>
      </c>
      <c r="Y41" s="13">
        <f>('TUSD BE'!$Z$41+'TUSD BF'!$Z$41+'TUSD CVA'!$Z$41)*(1 - CUSTOS!$M$40)</f>
        <v>0</v>
      </c>
      <c r="Z41" s="13">
        <f>('TUSD BE'!$AA$41+'TUSD BF'!$AA$41+'TUSD CVA'!$AA$41)*(1 - CUSTOS!$M$40)</f>
        <v>0</v>
      </c>
      <c r="AA41" s="13">
        <f>('TUSD BE'!$AC$41+'TUSD BF'!$AC$41+'TUSD CVA'!$AC$41)*(1 - CUSTOS!$M$40)</f>
        <v>267.24014228426773</v>
      </c>
      <c r="AB41" s="13">
        <f ca="1">('TUSD BE'!$AE$41+'TUSD BF'!$AE$41+'TUSD CVA'!$AE$41)*(1 - CUSTOS!$M$40)</f>
        <v>0</v>
      </c>
      <c r="AC41" s="13">
        <f ca="1">('TUSD BE'!$AF$41+'TUSD BF'!$AF$41+'TUSD CVA'!$AF$41)*(1 - CUSTOS!$M$40)</f>
        <v>0</v>
      </c>
      <c r="AD41" s="13">
        <f>('TUSD BE'!$AH$41+'TUSD BF'!$AH$41+'TUSD CVA'!$AH$41)*(1 - CUSTOS!$M$40)</f>
        <v>28.105670105711805</v>
      </c>
      <c r="AE41" s="13">
        <f>('TUSD BE'!$AI$41+'TUSD BF'!$AI$41+'TUSD CVA'!$AI$41)*(1 - CUSTOS!$M$40)</f>
        <v>0.985965151871117</v>
      </c>
      <c r="AF41" s="13">
        <f ca="1">('TUSD BE'!$AJ$41+'TUSD BF'!$AJ$41+'TUSD CVA'!$AJ$41)*(1 - CUSTOS!$M$40)</f>
        <v>0</v>
      </c>
      <c r="AG41" s="13">
        <f ca="1">('TUSD BE'!$AK$41+'TUSD BF'!$AK$41+'TUSD CVA'!$AK$41)*(1 - CUSTOS!$M$40)</f>
        <v>0</v>
      </c>
      <c r="AI41" s="13">
        <v>0</v>
      </c>
      <c r="AJ41" s="13">
        <v>1.7975199945889999</v>
      </c>
      <c r="AK41" s="13">
        <v>0</v>
      </c>
      <c r="AL41" s="13">
        <v>0</v>
      </c>
      <c r="AM41" s="13">
        <v>0</v>
      </c>
      <c r="AN41" s="13">
        <v>47.905724508264697</v>
      </c>
      <c r="AO41" s="13">
        <v>7.4695571242906302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105.976988033243</v>
      </c>
      <c r="AV41" s="13">
        <v>0</v>
      </c>
      <c r="AW41" s="13">
        <v>0</v>
      </c>
      <c r="AX41" s="13">
        <v>231.03291536789101</v>
      </c>
      <c r="AY41" s="13">
        <v>0</v>
      </c>
      <c r="AZ41" s="13">
        <v>0</v>
      </c>
      <c r="BA41" s="13">
        <v>16.605820487407701</v>
      </c>
      <c r="BB41" s="13">
        <v>0</v>
      </c>
      <c r="BC41" s="13">
        <v>0</v>
      </c>
      <c r="BD41" s="13">
        <v>0</v>
      </c>
    </row>
    <row r="42" spans="1:56" ht="11.25" customHeight="1" x14ac:dyDescent="0.25">
      <c r="A42" s="109"/>
      <c r="B42" s="109" t="s">
        <v>88</v>
      </c>
      <c r="C42" s="109" t="s">
        <v>42</v>
      </c>
      <c r="D42" s="23" t="s">
        <v>25</v>
      </c>
      <c r="E42" s="23" t="s">
        <v>25</v>
      </c>
      <c r="F42" s="23" t="s">
        <v>25</v>
      </c>
      <c r="G42" s="24" t="s">
        <v>77</v>
      </c>
      <c r="H42" s="24" t="s">
        <v>73</v>
      </c>
      <c r="I42" s="24">
        <f>'MERCADO TUSD'!$U$39</f>
        <v>0</v>
      </c>
      <c r="J42" s="15"/>
      <c r="L42" s="13">
        <f>('TUSD BE'!$L$42+'TUSD BF'!$L$42+'TUSD CVA'!$L$42)*(1 - CUSTOS!$M$38)</f>
        <v>0</v>
      </c>
      <c r="M42" s="13">
        <f>('TUSD BE'!$M$42+'TUSD BF'!$M$42+'TUSD CVA'!$M$42)*(1 - CUSTOS!$M$38)</f>
        <v>2.0693483407477418</v>
      </c>
      <c r="N42" s="13">
        <f ca="1">('TUSD BE'!$N$42+'TUSD BF'!$N$42+'TUSD CVA'!$N$42)*(1 - CUSTOS!$M$38)</f>
        <v>0</v>
      </c>
      <c r="O42" s="13">
        <f>('TUSD BE'!$O$42+'TUSD BF'!$O$42+'TUSD CVA'!$O$42)*(1 - CUSTOS!$M$38)</f>
        <v>0</v>
      </c>
      <c r="P42" s="13">
        <f>('TUSD BE'!$P$42+'TUSD BF'!$P$42+'TUSD CVA'!$P$42)*(1 - CUSTOS!$M$38)</f>
        <v>0</v>
      </c>
      <c r="Q42" s="13">
        <f>('TUSD BE'!$Q$42+'TUSD BF'!$Q$42+'TUSD CVA'!$Q$42)*(1 - CUSTOS!$M$38)</f>
        <v>84.50415285746827</v>
      </c>
      <c r="R42" s="13">
        <f>('TUSD BE'!$R$42+'TUSD BF'!$R$42+'TUSD CVA'!$R$42)*(1 - CUSTOS!$M$38)</f>
        <v>13.333673949078083</v>
      </c>
      <c r="S42" s="13">
        <f>('TUSD BE'!$S$42+'TUSD BF'!$S$42+'TUSD CVA'!$S$42)*(1 - CUSTOS!$M$38)</f>
        <v>0</v>
      </c>
      <c r="T42" s="13">
        <f>('TUSD BE'!$U$42+'TUSD BF'!$U$42+'TUSD CVA'!$U$42)*(1 - CUSTOS!$M$38)</f>
        <v>0</v>
      </c>
      <c r="U42" s="13">
        <f>('TUSD BE'!$V$42+'TUSD BF'!$V$42+'TUSD CVA'!$V$42)*(1 - CUSTOS!$M$38)</f>
        <v>0</v>
      </c>
      <c r="V42" s="13">
        <f>('TUSD BE'!$W$42+'TUSD BF'!$W$42+'TUSD CVA'!$W$42)*(1 - CUSTOS!$M$38)</f>
        <v>0</v>
      </c>
      <c r="W42" s="13">
        <f>('TUSD BE'!$X$42+'TUSD BF'!$X$42+'TUSD CVA'!$X$42)*(1 - CUSTOS!$M$38)</f>
        <v>0</v>
      </c>
      <c r="X42" s="13">
        <f>('TUSD BE'!$Y$42+'TUSD BF'!$Y$42+'TUSD CVA'!$Y$42)*(1 - CUSTOS!$M$38)</f>
        <v>133.95339345543695</v>
      </c>
      <c r="Y42" s="13">
        <f>('TUSD BE'!$Z$42+'TUSD BF'!$Z$42+'TUSD CVA'!$Z$42)*(1 - CUSTOS!$M$38)</f>
        <v>0</v>
      </c>
      <c r="Z42" s="13">
        <f>('TUSD BE'!$AA$42+'TUSD BF'!$AA$42+'TUSD CVA'!$AA$42)*(1 - CUSTOS!$M$38)</f>
        <v>0</v>
      </c>
      <c r="AA42" s="13">
        <f>('TUSD BE'!$AC$42+'TUSD BF'!$AC$42+'TUSD CVA'!$AC$42)*(1 - CUSTOS!$M$38)</f>
        <v>273.04971059479527</v>
      </c>
      <c r="AB42" s="13">
        <f ca="1">('TUSD BE'!$AE$42+'TUSD BF'!$AE$42+'TUSD CVA'!$AE$42)*(1 - CUSTOS!$M$38)</f>
        <v>0</v>
      </c>
      <c r="AC42" s="13">
        <f ca="1">('TUSD BE'!$AF$42+'TUSD BF'!$AF$42+'TUSD CVA'!$AF$42)*(1 - CUSTOS!$M$38)</f>
        <v>0</v>
      </c>
      <c r="AD42" s="13">
        <f>('TUSD BE'!$AH$42+'TUSD BF'!$AH$42+'TUSD CVA'!$AH$42)*(1 - CUSTOS!$M$38)</f>
        <v>28.716662934096842</v>
      </c>
      <c r="AE42" s="13">
        <f>('TUSD BE'!$AI$42+'TUSD BF'!$AI$42+'TUSD CVA'!$AI$42)*(1 - CUSTOS!$M$38)</f>
        <v>1.0073991769117934</v>
      </c>
      <c r="AF42" s="13">
        <f ca="1">('TUSD BE'!$AJ$42+'TUSD BF'!$AJ$42+'TUSD CVA'!$AJ$42)*(1 - CUSTOS!$M$38)</f>
        <v>0</v>
      </c>
      <c r="AG42" s="13">
        <f ca="1">('TUSD BE'!$AK$42+'TUSD BF'!$AK$42+'TUSD CVA'!$AK$42)*(1 - CUSTOS!$M$38)</f>
        <v>0</v>
      </c>
      <c r="AI42" s="13">
        <v>0</v>
      </c>
      <c r="AJ42" s="13">
        <v>1.88311618480752</v>
      </c>
      <c r="AK42" s="13">
        <v>0</v>
      </c>
      <c r="AL42" s="13">
        <v>0</v>
      </c>
      <c r="AM42" s="13">
        <v>0</v>
      </c>
      <c r="AN42" s="13">
        <v>50.186949484848803</v>
      </c>
      <c r="AO42" s="13">
        <v>7.8252503206854298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111.02351127292199</v>
      </c>
      <c r="AV42" s="13">
        <v>0</v>
      </c>
      <c r="AW42" s="13">
        <v>0</v>
      </c>
      <c r="AX42" s="13">
        <v>242.034482766362</v>
      </c>
      <c r="AY42" s="13">
        <v>0</v>
      </c>
      <c r="AZ42" s="13">
        <v>0</v>
      </c>
      <c r="BA42" s="13">
        <v>17.3965738439509</v>
      </c>
      <c r="BB42" s="13">
        <v>0</v>
      </c>
      <c r="BC42" s="13">
        <v>0</v>
      </c>
      <c r="BD42" s="13">
        <v>0</v>
      </c>
    </row>
    <row r="43" spans="1:56" ht="11.25" customHeight="1" x14ac:dyDescent="0.25">
      <c r="A43" s="109"/>
      <c r="B43" s="109"/>
      <c r="C43" s="109"/>
      <c r="D43" s="23" t="s">
        <v>89</v>
      </c>
      <c r="E43" s="23" t="s">
        <v>25</v>
      </c>
      <c r="F43" s="23" t="s">
        <v>25</v>
      </c>
      <c r="G43" s="24" t="s">
        <v>77</v>
      </c>
      <c r="H43" s="24" t="s">
        <v>73</v>
      </c>
      <c r="I43" s="24">
        <f>'MERCADO TUSD'!$U$40</f>
        <v>0</v>
      </c>
      <c r="J43" s="15"/>
      <c r="L43" s="13">
        <f>('TUSD BE'!$L$43+'TUSD BF'!$L$43+'TUSD CVA'!$L$43)*(1 - CUSTOS!$M$39)</f>
        <v>0</v>
      </c>
      <c r="M43" s="13">
        <f>('TUSD BE'!$M$43+'TUSD BF'!$M$43+'TUSD CVA'!$M$43)*(1 - CUSTOS!$M$39)</f>
        <v>2.0693483407477418</v>
      </c>
      <c r="N43" s="13">
        <f ca="1">('TUSD BE'!$N$43+'TUSD BF'!$N$43+'TUSD CVA'!$N$43)*(1 - CUSTOS!$M$39)</f>
        <v>0</v>
      </c>
      <c r="O43" s="13">
        <f>('TUSD BE'!$O$43+'TUSD BF'!$O$43+'TUSD CVA'!$O$43)*(1 - CUSTOS!$M$39)</f>
        <v>0</v>
      </c>
      <c r="P43" s="13">
        <f>('TUSD BE'!$P$43+'TUSD BF'!$P$43+'TUSD CVA'!$P$43)*(1 - CUSTOS!$M$39)</f>
        <v>0</v>
      </c>
      <c r="Q43" s="13">
        <f>('TUSD BE'!$Q$43+'TUSD BF'!$Q$43+'TUSD CVA'!$Q$43)*(1 - CUSTOS!$M$39)</f>
        <v>84.50415285746827</v>
      </c>
      <c r="R43" s="13">
        <f>('TUSD BE'!$R$43+'TUSD BF'!$R$43+'TUSD CVA'!$R$43)*(1 - CUSTOS!$M$39)</f>
        <v>13.333673949078083</v>
      </c>
      <c r="S43" s="13">
        <f>('TUSD BE'!$S$43+'TUSD BF'!$S$43+'TUSD CVA'!$S$43)*(1 - CUSTOS!$M$39)</f>
        <v>0</v>
      </c>
      <c r="T43" s="13">
        <f>('TUSD BE'!$U$43+'TUSD BF'!$U$43+'TUSD CVA'!$U$43)*(1 - CUSTOS!$M$39)</f>
        <v>0</v>
      </c>
      <c r="U43" s="13">
        <f>('TUSD BE'!$V$43+'TUSD BF'!$V$43+'TUSD CVA'!$V$43)*(1 - CUSTOS!$M$39)</f>
        <v>0</v>
      </c>
      <c r="V43" s="13">
        <f>('TUSD BE'!$W$43+'TUSD BF'!$W$43+'TUSD CVA'!$W$43)*(1 - CUSTOS!$M$39)</f>
        <v>0</v>
      </c>
      <c r="W43" s="13">
        <f>('TUSD BE'!$X$43+'TUSD BF'!$X$43+'TUSD CVA'!$X$43)*(1 - CUSTOS!$M$39)</f>
        <v>0</v>
      </c>
      <c r="X43" s="13">
        <f>('TUSD BE'!$Y$43+'TUSD BF'!$Y$43+'TUSD CVA'!$Y$43)*(1 - CUSTOS!$M$39)</f>
        <v>133.95339345543695</v>
      </c>
      <c r="Y43" s="13">
        <f>('TUSD BE'!$Z$43+'TUSD BF'!$Z$43+'TUSD CVA'!$Z$43)*(1 - CUSTOS!$M$39)</f>
        <v>0</v>
      </c>
      <c r="Z43" s="13">
        <f>('TUSD BE'!$AA$43+'TUSD BF'!$AA$43+'TUSD CVA'!$AA$43)*(1 - CUSTOS!$M$39)</f>
        <v>0</v>
      </c>
      <c r="AA43" s="13">
        <f>('TUSD BE'!$AC$43+'TUSD BF'!$AC$43+'TUSD CVA'!$AC$43)*(1 - CUSTOS!$M$39)</f>
        <v>273.04971059479527</v>
      </c>
      <c r="AB43" s="13">
        <f ca="1">('TUSD BE'!$AE$43+'TUSD BF'!$AE$43+'TUSD CVA'!$AE$43)*(1 - CUSTOS!$M$39)</f>
        <v>0</v>
      </c>
      <c r="AC43" s="13">
        <f ca="1">('TUSD BE'!$AF$43+'TUSD BF'!$AF$43+'TUSD CVA'!$AF$43)*(1 - CUSTOS!$M$39)</f>
        <v>0</v>
      </c>
      <c r="AD43" s="13">
        <f>('TUSD BE'!$AH$43+'TUSD BF'!$AH$43+'TUSD CVA'!$AH$43)*(1 - CUSTOS!$M$39)</f>
        <v>28.716662934096842</v>
      </c>
      <c r="AE43" s="13">
        <f>('TUSD BE'!$AI$43+'TUSD BF'!$AI$43+'TUSD CVA'!$AI$43)*(1 - CUSTOS!$M$39)</f>
        <v>1.0073991769117934</v>
      </c>
      <c r="AF43" s="13">
        <f ca="1">('TUSD BE'!$AJ$43+'TUSD BF'!$AJ$43+'TUSD CVA'!$AJ$43)*(1 - CUSTOS!$M$39)</f>
        <v>0</v>
      </c>
      <c r="AG43" s="13">
        <f ca="1">('TUSD BE'!$AK$43+'TUSD BF'!$AK$43+'TUSD CVA'!$AK$43)*(1 - CUSTOS!$M$39)</f>
        <v>0</v>
      </c>
      <c r="AI43" s="13">
        <v>0</v>
      </c>
      <c r="AJ43" s="13">
        <v>1.88311618480752</v>
      </c>
      <c r="AK43" s="13">
        <v>0</v>
      </c>
      <c r="AL43" s="13">
        <v>0</v>
      </c>
      <c r="AM43" s="13">
        <v>0</v>
      </c>
      <c r="AN43" s="13">
        <v>50.186949484848803</v>
      </c>
      <c r="AO43" s="13">
        <v>7.8252503206854298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111.02351127292199</v>
      </c>
      <c r="AV43" s="13">
        <v>0</v>
      </c>
      <c r="AW43" s="13">
        <v>0</v>
      </c>
      <c r="AX43" s="13">
        <v>242.034482766362</v>
      </c>
      <c r="AY43" s="13">
        <v>0</v>
      </c>
      <c r="AZ43" s="13">
        <v>0</v>
      </c>
      <c r="BA43" s="13">
        <v>17.3965738439509</v>
      </c>
      <c r="BB43" s="13">
        <v>0</v>
      </c>
      <c r="BC43" s="13">
        <v>0</v>
      </c>
      <c r="BD43" s="13">
        <v>0</v>
      </c>
    </row>
    <row r="44" spans="1:56" ht="11.25" customHeight="1" x14ac:dyDescent="0.25">
      <c r="A44" s="109"/>
      <c r="B44" s="109"/>
      <c r="C44" s="109"/>
      <c r="D44" s="23" t="s">
        <v>90</v>
      </c>
      <c r="E44" s="23" t="s">
        <v>25</v>
      </c>
      <c r="F44" s="23" t="s">
        <v>25</v>
      </c>
      <c r="G44" s="24" t="s">
        <v>77</v>
      </c>
      <c r="H44" s="24" t="s">
        <v>73</v>
      </c>
      <c r="I44" s="24">
        <f>'MERCADO TUSD'!$U$41</f>
        <v>0</v>
      </c>
      <c r="J44" s="15"/>
      <c r="L44" s="13">
        <f>('TUSD BE'!$L$44+'TUSD BF'!$L$44+'TUSD CVA'!$L$44)*(1 - CUSTOS!$M$40)</f>
        <v>0</v>
      </c>
      <c r="M44" s="13">
        <f>('TUSD BE'!$M$44+'TUSD BF'!$M$44+'TUSD CVA'!$M$44)*(1 - CUSTOS!$M$40)</f>
        <v>2.0253196526467261</v>
      </c>
      <c r="N44" s="13">
        <f ca="1">('TUSD BE'!$N$44+'TUSD BF'!$N$44+'TUSD CVA'!$N$44)*(1 - CUSTOS!$M$40)</f>
        <v>0</v>
      </c>
      <c r="O44" s="13">
        <f>('TUSD BE'!$O$44+'TUSD BF'!$O$44+'TUSD CVA'!$O$44)*(1 - CUSTOS!$M$40)</f>
        <v>0</v>
      </c>
      <c r="P44" s="13">
        <f>('TUSD BE'!$P$44+'TUSD BF'!$P$44+'TUSD CVA'!$P$44)*(1 - CUSTOS!$M$40)</f>
        <v>0</v>
      </c>
      <c r="Q44" s="13">
        <f>('TUSD BE'!$Q$44+'TUSD BF'!$Q$44+'TUSD CVA'!$Q$44)*(1 - CUSTOS!$M$40)</f>
        <v>82.706192158373213</v>
      </c>
      <c r="R44" s="13">
        <f>('TUSD BE'!$R$44+'TUSD BF'!$R$44+'TUSD CVA'!$R$44)*(1 - CUSTOS!$M$40)</f>
        <v>13.049978758672168</v>
      </c>
      <c r="S44" s="13">
        <f>('TUSD BE'!$S$44+'TUSD BF'!$S$44+'TUSD CVA'!$S$44)*(1 - CUSTOS!$M$40)</f>
        <v>0</v>
      </c>
      <c r="T44" s="13">
        <f>('TUSD BE'!$U$44+'TUSD BF'!$U$44+'TUSD CVA'!$U$44)*(1 - CUSTOS!$M$40)</f>
        <v>0</v>
      </c>
      <c r="U44" s="13">
        <f>('TUSD BE'!$V$44+'TUSD BF'!$V$44+'TUSD CVA'!$V$44)*(1 - CUSTOS!$M$40)</f>
        <v>0</v>
      </c>
      <c r="V44" s="13">
        <f>('TUSD BE'!$W$44+'TUSD BF'!$W$44+'TUSD CVA'!$W$44)*(1 - CUSTOS!$M$40)</f>
        <v>0</v>
      </c>
      <c r="W44" s="13">
        <f>('TUSD BE'!$X$44+'TUSD BF'!$X$44+'TUSD CVA'!$X$44)*(1 - CUSTOS!$M$40)</f>
        <v>0</v>
      </c>
      <c r="X44" s="13">
        <f>('TUSD BE'!$Y$44+'TUSD BF'!$Y$44+'TUSD CVA'!$Y$44)*(1 - CUSTOS!$M$40)</f>
        <v>131.10332125425745</v>
      </c>
      <c r="Y44" s="13">
        <f>('TUSD BE'!$Z$44+'TUSD BF'!$Z$44+'TUSD CVA'!$Z$44)*(1 - CUSTOS!$M$40)</f>
        <v>0</v>
      </c>
      <c r="Z44" s="13">
        <f>('TUSD BE'!$AA$44+'TUSD BF'!$AA$44+'TUSD CVA'!$AA$44)*(1 - CUSTOS!$M$40)</f>
        <v>0</v>
      </c>
      <c r="AA44" s="13">
        <f>('TUSD BE'!$AC$44+'TUSD BF'!$AC$44+'TUSD CVA'!$AC$44)*(1 - CUSTOS!$M$40)</f>
        <v>267.24014228426773</v>
      </c>
      <c r="AB44" s="13">
        <f ca="1">('TUSD BE'!$AE$44+'TUSD BF'!$AE$44+'TUSD CVA'!$AE$44)*(1 - CUSTOS!$M$40)</f>
        <v>0</v>
      </c>
      <c r="AC44" s="13">
        <f ca="1">('TUSD BE'!$AF$44+'TUSD BF'!$AF$44+'TUSD CVA'!$AF$44)*(1 - CUSTOS!$M$40)</f>
        <v>0</v>
      </c>
      <c r="AD44" s="13">
        <f>('TUSD BE'!$AH$44+'TUSD BF'!$AH$44+'TUSD CVA'!$AH$44)*(1 - CUSTOS!$M$40)</f>
        <v>28.105670105711805</v>
      </c>
      <c r="AE44" s="13">
        <f>('TUSD BE'!$AI$44+'TUSD BF'!$AI$44+'TUSD CVA'!$AI$44)*(1 - CUSTOS!$M$40)</f>
        <v>0.985965151871117</v>
      </c>
      <c r="AF44" s="13">
        <f ca="1">('TUSD BE'!$AJ$44+'TUSD BF'!$AJ$44+'TUSD CVA'!$AJ$44)*(1 - CUSTOS!$M$40)</f>
        <v>0</v>
      </c>
      <c r="AG44" s="13">
        <f ca="1">('TUSD BE'!$AK$44+'TUSD BF'!$AK$44+'TUSD CVA'!$AK$44)*(1 - CUSTOS!$M$40)</f>
        <v>0</v>
      </c>
      <c r="AI44" s="13">
        <v>0</v>
      </c>
      <c r="AJ44" s="13">
        <v>1.7975199945889999</v>
      </c>
      <c r="AK44" s="13">
        <v>0</v>
      </c>
      <c r="AL44" s="13">
        <v>0</v>
      </c>
      <c r="AM44" s="13">
        <v>0</v>
      </c>
      <c r="AN44" s="13">
        <v>47.905724508264697</v>
      </c>
      <c r="AO44" s="13">
        <v>7.4695571242906302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105.976988033243</v>
      </c>
      <c r="AV44" s="13">
        <v>0</v>
      </c>
      <c r="AW44" s="13">
        <v>0</v>
      </c>
      <c r="AX44" s="13">
        <v>231.03291536789101</v>
      </c>
      <c r="AY44" s="13">
        <v>0</v>
      </c>
      <c r="AZ44" s="13">
        <v>0</v>
      </c>
      <c r="BA44" s="13">
        <v>16.605820487407701</v>
      </c>
      <c r="BB44" s="13">
        <v>0</v>
      </c>
      <c r="BC44" s="13">
        <v>0</v>
      </c>
      <c r="BD44" s="13">
        <v>0</v>
      </c>
    </row>
    <row r="45" spans="1:56" ht="11.25" customHeight="1" x14ac:dyDescent="0.25">
      <c r="A45" s="109" t="s">
        <v>33</v>
      </c>
      <c r="B45" s="109" t="s">
        <v>86</v>
      </c>
      <c r="C45" s="109" t="s">
        <v>25</v>
      </c>
      <c r="D45" s="109" t="s">
        <v>25</v>
      </c>
      <c r="E45" s="109" t="s">
        <v>25</v>
      </c>
      <c r="F45" s="109" t="s">
        <v>25</v>
      </c>
      <c r="G45" s="24" t="s">
        <v>74</v>
      </c>
      <c r="H45" s="24" t="s">
        <v>73</v>
      </c>
      <c r="I45" s="24">
        <f>'MERCADO TUSD'!$U$42</f>
        <v>0</v>
      </c>
      <c r="J45" s="15"/>
      <c r="L45" s="13">
        <f>('TUSD BE'!$L$45+'TUSD BF'!$L$45+'TUSD CVA'!$L$45)*1</f>
        <v>0</v>
      </c>
      <c r="M45" s="13">
        <f>('TUSD BE'!$M$45+'TUSD BF'!$M$45+'TUSD CVA'!$M$45)*1</f>
        <v>2.2014344050507892</v>
      </c>
      <c r="N45" s="13">
        <f ca="1">('TUSD BE'!$N$45+'TUSD BF'!$N$45+'TUSD CVA'!$N$45)*1</f>
        <v>0</v>
      </c>
      <c r="O45" s="13">
        <f>('TUSD BE'!$O$45+'TUSD BF'!$O$45+'TUSD CVA'!$O$45)*1</f>
        <v>0</v>
      </c>
      <c r="P45" s="13">
        <f>('TUSD BE'!$P$45+'TUSD BF'!$P$45+'TUSD CVA'!$P$45)*1</f>
        <v>0</v>
      </c>
      <c r="Q45" s="13">
        <f>('TUSD BE'!$Q$45+'TUSD BF'!$Q$45+'TUSD CVA'!$Q$45)*1</f>
        <v>89.898034954753484</v>
      </c>
      <c r="R45" s="13">
        <f>('TUSD BE'!$R$45+'TUSD BF'!$R$45+'TUSD CVA'!$R$45)*1</f>
        <v>14.184759520295835</v>
      </c>
      <c r="S45" s="13">
        <f>('TUSD BE'!$S$45+'TUSD BF'!$S$45+'TUSD CVA'!$S$45)*1</f>
        <v>0</v>
      </c>
      <c r="T45" s="13">
        <f>('TUSD BE'!$U$45+'TUSD BF'!$U$45+'TUSD CVA'!$U$45)*1</f>
        <v>0</v>
      </c>
      <c r="U45" s="13">
        <f>('TUSD BE'!$V$45+'TUSD BF'!$V$45+'TUSD CVA'!$V$45)*1</f>
        <v>0</v>
      </c>
      <c r="V45" s="13">
        <f>('TUSD BE'!$W$45+'TUSD BF'!$W$45+'TUSD CVA'!$W$45)*1</f>
        <v>0</v>
      </c>
      <c r="W45" s="13">
        <f>('TUSD BE'!$X$45+'TUSD BF'!$X$45+'TUSD CVA'!$X$45)*1</f>
        <v>0</v>
      </c>
      <c r="X45" s="13">
        <f>('TUSD BE'!$Y$45+'TUSD BF'!$Y$45+'TUSD CVA'!$Y$45)*1</f>
        <v>463.13670418102657</v>
      </c>
      <c r="Y45" s="13">
        <f>('TUSD BE'!$Z$45+'TUSD BF'!$Z$45+'TUSD CVA'!$Z$45)*1</f>
        <v>0</v>
      </c>
      <c r="Z45" s="13">
        <f>('TUSD BE'!$AA$45+'TUSD BF'!$AA$45+'TUSD CVA'!$AA$45)*1</f>
        <v>0</v>
      </c>
      <c r="AA45" s="13">
        <f>('TUSD BE'!$AC$45+'TUSD BF'!$AC$45+'TUSD CVA'!$AC$45)*1</f>
        <v>944.05482039793071</v>
      </c>
      <c r="AB45" s="13">
        <f ca="1">('TUSD BE'!$AE$45+'TUSD BF'!$AE$45+'TUSD CVA'!$AE$45)*1</f>
        <v>0</v>
      </c>
      <c r="AC45" s="13">
        <f ca="1">('TUSD BE'!$AF$45+'TUSD BF'!$AF$45+'TUSD CVA'!$AF$45)*1</f>
        <v>0</v>
      </c>
      <c r="AD45" s="13">
        <f>('TUSD BE'!$AH$45+'TUSD BF'!$AH$45+'TUSD CVA'!$AH$45)*1</f>
        <v>30.549641419251962</v>
      </c>
      <c r="AE45" s="13">
        <f>('TUSD BE'!$AI$45+'TUSD BF'!$AI$45+'TUSD CVA'!$AI$45)*1</f>
        <v>1.0717012520338227</v>
      </c>
      <c r="AF45" s="13">
        <f ca="1">('TUSD BE'!$AJ$45+'TUSD BF'!$AJ$45+'TUSD CVA'!$AJ$45)*1</f>
        <v>0</v>
      </c>
      <c r="AG45" s="13">
        <f ca="1">('TUSD BE'!$AK$45+'TUSD BF'!$AK$45+'TUSD CVA'!$AK$45)*1</f>
        <v>0</v>
      </c>
      <c r="AI45" s="13">
        <v>0</v>
      </c>
      <c r="AJ45" s="13">
        <v>2.1399047554630899</v>
      </c>
      <c r="AK45" s="13">
        <v>0</v>
      </c>
      <c r="AL45" s="13">
        <v>0</v>
      </c>
      <c r="AM45" s="13">
        <v>0</v>
      </c>
      <c r="AN45" s="13">
        <v>57.030624414600901</v>
      </c>
      <c r="AO45" s="13">
        <v>8.8923299098697992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378.48805959666697</v>
      </c>
      <c r="AV45" s="13">
        <v>0</v>
      </c>
      <c r="AW45" s="13">
        <v>0</v>
      </c>
      <c r="AX45" s="13">
        <v>825.11741996689204</v>
      </c>
      <c r="AY45" s="13">
        <v>0</v>
      </c>
      <c r="AZ45" s="13">
        <v>0</v>
      </c>
      <c r="BA45" s="13">
        <v>19.768833913580501</v>
      </c>
      <c r="BB45" s="13">
        <v>0</v>
      </c>
      <c r="BC45" s="13">
        <v>0</v>
      </c>
      <c r="BD45" s="13">
        <v>0</v>
      </c>
    </row>
    <row r="46" spans="1:56" ht="11.25" customHeight="1" x14ac:dyDescent="0.25">
      <c r="A46" s="109"/>
      <c r="B46" s="109"/>
      <c r="C46" s="109"/>
      <c r="D46" s="109"/>
      <c r="E46" s="109"/>
      <c r="F46" s="109"/>
      <c r="G46" s="24" t="s">
        <v>85</v>
      </c>
      <c r="H46" s="24" t="s">
        <v>73</v>
      </c>
      <c r="I46" s="24">
        <f>'MERCADO TUSD'!$U$43</f>
        <v>0</v>
      </c>
      <c r="J46" s="15"/>
      <c r="L46" s="13">
        <f>('TUSD BE'!$L$46+'TUSD BF'!$L$46+'TUSD CVA'!$L$46)*1</f>
        <v>0</v>
      </c>
      <c r="M46" s="13">
        <f>('TUSD BE'!$M$46+'TUSD BF'!$M$46+'TUSD CVA'!$M$46)*1</f>
        <v>2.2014344050507892</v>
      </c>
      <c r="N46" s="13">
        <f ca="1">('TUSD BE'!$N$46+'TUSD BF'!$N$46+'TUSD CVA'!$N$46)*1</f>
        <v>0</v>
      </c>
      <c r="O46" s="13">
        <f>('TUSD BE'!$O$46+'TUSD BF'!$O$46+'TUSD CVA'!$O$46)*1</f>
        <v>0</v>
      </c>
      <c r="P46" s="13">
        <f>('TUSD BE'!$P$46+'TUSD BF'!$P$46+'TUSD CVA'!$P$46)*1</f>
        <v>0</v>
      </c>
      <c r="Q46" s="13">
        <f>('TUSD BE'!$Q$46+'TUSD BF'!$Q$46+'TUSD CVA'!$Q$46)*1</f>
        <v>89.898034954753484</v>
      </c>
      <c r="R46" s="13">
        <f>('TUSD BE'!$R$46+'TUSD BF'!$R$46+'TUSD CVA'!$R$46)*1</f>
        <v>14.184759520295835</v>
      </c>
      <c r="S46" s="13">
        <f>('TUSD BE'!$S$46+'TUSD BF'!$S$46+'TUSD CVA'!$S$46)*1</f>
        <v>0</v>
      </c>
      <c r="T46" s="13">
        <f>('TUSD BE'!$U$46+'TUSD BF'!$U$46+'TUSD CVA'!$U$46)*1</f>
        <v>0</v>
      </c>
      <c r="U46" s="13">
        <f>('TUSD BE'!$V$46+'TUSD BF'!$V$46+'TUSD CVA'!$V$46)*1</f>
        <v>0</v>
      </c>
      <c r="V46" s="13">
        <f>('TUSD BE'!$W$46+'TUSD BF'!$W$46+'TUSD CVA'!$W$46)*1</f>
        <v>0</v>
      </c>
      <c r="W46" s="13">
        <f>('TUSD BE'!$X$46+'TUSD BF'!$X$46+'TUSD CVA'!$X$46)*1</f>
        <v>0</v>
      </c>
      <c r="X46" s="13">
        <f>('TUSD BE'!$Y$46+'TUSD BF'!$Y$46+'TUSD CVA'!$Y$46)*1</f>
        <v>277.88195408307104</v>
      </c>
      <c r="Y46" s="13">
        <f>('TUSD BE'!$Z$46+'TUSD BF'!$Z$46+'TUSD CVA'!$Z$46)*1</f>
        <v>0</v>
      </c>
      <c r="Z46" s="13">
        <f>('TUSD BE'!$AA$46+'TUSD BF'!$AA$46+'TUSD CVA'!$AA$46)*1</f>
        <v>0</v>
      </c>
      <c r="AA46" s="13">
        <f>('TUSD BE'!$AC$46+'TUSD BF'!$AC$46+'TUSD CVA'!$AC$46)*1</f>
        <v>566.43289223875843</v>
      </c>
      <c r="AB46" s="13">
        <f ca="1">('TUSD BE'!$AE$46+'TUSD BF'!$AE$46+'TUSD CVA'!$AE$46)*1</f>
        <v>0</v>
      </c>
      <c r="AC46" s="13">
        <f ca="1">('TUSD BE'!$AF$46+'TUSD BF'!$AF$46+'TUSD CVA'!$AF$46)*1</f>
        <v>0</v>
      </c>
      <c r="AD46" s="13">
        <f>('TUSD BE'!$AH$46+'TUSD BF'!$AH$46+'TUSD CVA'!$AH$46)*1</f>
        <v>30.549641419251962</v>
      </c>
      <c r="AE46" s="13">
        <f>('TUSD BE'!$AI$46+'TUSD BF'!$AI$46+'TUSD CVA'!$AI$46)*1</f>
        <v>1.0717012520338227</v>
      </c>
      <c r="AF46" s="13">
        <f ca="1">('TUSD BE'!$AJ$46+'TUSD BF'!$AJ$46+'TUSD CVA'!$AJ$46)*1</f>
        <v>0</v>
      </c>
      <c r="AG46" s="13">
        <f ca="1">('TUSD BE'!$AK$46+'TUSD BF'!$AK$46+'TUSD CVA'!$AK$46)*1</f>
        <v>0</v>
      </c>
      <c r="AI46" s="13">
        <v>0</v>
      </c>
      <c r="AJ46" s="13">
        <v>2.1399047554630899</v>
      </c>
      <c r="AK46" s="13">
        <v>0</v>
      </c>
      <c r="AL46" s="13">
        <v>0</v>
      </c>
      <c r="AM46" s="13">
        <v>0</v>
      </c>
      <c r="AN46" s="13">
        <v>57.030624414600901</v>
      </c>
      <c r="AO46" s="13">
        <v>8.8923299098697992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227.093230217734</v>
      </c>
      <c r="AV46" s="13">
        <v>0</v>
      </c>
      <c r="AW46" s="13">
        <v>0</v>
      </c>
      <c r="AX46" s="13">
        <v>495.070371029076</v>
      </c>
      <c r="AY46" s="13">
        <v>0</v>
      </c>
      <c r="AZ46" s="13">
        <v>0</v>
      </c>
      <c r="BA46" s="13">
        <v>19.768833913580501</v>
      </c>
      <c r="BB46" s="13">
        <v>0</v>
      </c>
      <c r="BC46" s="13">
        <v>0</v>
      </c>
      <c r="BD46" s="13">
        <v>0</v>
      </c>
    </row>
    <row r="47" spans="1:56" ht="11.25" customHeight="1" x14ac:dyDescent="0.25">
      <c r="A47" s="109"/>
      <c r="B47" s="109"/>
      <c r="C47" s="109"/>
      <c r="D47" s="109"/>
      <c r="E47" s="109"/>
      <c r="F47" s="109"/>
      <c r="G47" s="24" t="s">
        <v>75</v>
      </c>
      <c r="H47" s="24" t="s">
        <v>73</v>
      </c>
      <c r="I47" s="24">
        <f>'MERCADO TUSD'!$U$44</f>
        <v>0</v>
      </c>
      <c r="J47" s="15"/>
      <c r="L47" s="13">
        <f>('TUSD BE'!$L$47+'TUSD BF'!$L$47+'TUSD CVA'!$L$47)*1</f>
        <v>0</v>
      </c>
      <c r="M47" s="13">
        <f>('TUSD BE'!$M$47+'TUSD BF'!$M$47+'TUSD CVA'!$M$47)*1</f>
        <v>2.2014344050507892</v>
      </c>
      <c r="N47" s="13">
        <f ca="1">('TUSD BE'!$N$47+'TUSD BF'!$N$47+'TUSD CVA'!$N$47)*1</f>
        <v>0</v>
      </c>
      <c r="O47" s="13">
        <f>('TUSD BE'!$O$47+'TUSD BF'!$O$47+'TUSD CVA'!$O$47)*1</f>
        <v>0</v>
      </c>
      <c r="P47" s="13">
        <f>('TUSD BE'!$P$47+'TUSD BF'!$P$47+'TUSD CVA'!$P$47)*1</f>
        <v>0</v>
      </c>
      <c r="Q47" s="13">
        <f>('TUSD BE'!$Q$47+'TUSD BF'!$Q$47+'TUSD CVA'!$Q$47)*1</f>
        <v>89.898034954753484</v>
      </c>
      <c r="R47" s="13">
        <f>('TUSD BE'!$R$47+'TUSD BF'!$R$47+'TUSD CVA'!$R$47)*1</f>
        <v>14.184759520295835</v>
      </c>
      <c r="S47" s="13">
        <f>('TUSD BE'!$S$47+'TUSD BF'!$S$47+'TUSD CVA'!$S$47)*1</f>
        <v>0</v>
      </c>
      <c r="T47" s="13">
        <f>('TUSD BE'!$U$47+'TUSD BF'!$U$47+'TUSD CVA'!$U$47)*1</f>
        <v>0</v>
      </c>
      <c r="U47" s="13">
        <f>('TUSD BE'!$V$47+'TUSD BF'!$V$47+'TUSD CVA'!$V$47)*1</f>
        <v>0</v>
      </c>
      <c r="V47" s="13">
        <f>('TUSD BE'!$W$47+'TUSD BF'!$W$47+'TUSD CVA'!$W$47)*1</f>
        <v>0</v>
      </c>
      <c r="W47" s="13">
        <f>('TUSD BE'!$X$47+'TUSD BF'!$X$47+'TUSD CVA'!$X$47)*1</f>
        <v>0</v>
      </c>
      <c r="X47" s="13">
        <f>('TUSD BE'!$Y$47+'TUSD BF'!$Y$47+'TUSD CVA'!$Y$47)*1</f>
        <v>92.62731802769035</v>
      </c>
      <c r="Y47" s="13">
        <f>('TUSD BE'!$Z$47+'TUSD BF'!$Z$47+'TUSD CVA'!$Z$47)*1</f>
        <v>0</v>
      </c>
      <c r="Z47" s="13">
        <f>('TUSD BE'!$AA$47+'TUSD BF'!$AA$47+'TUSD CVA'!$AA$47)*1</f>
        <v>0</v>
      </c>
      <c r="AA47" s="13">
        <f>('TUSD BE'!$AC$47+'TUSD BF'!$AC$47+'TUSD CVA'!$AC$47)*1</f>
        <v>188.81096407958614</v>
      </c>
      <c r="AB47" s="13">
        <f ca="1">('TUSD BE'!$AE$47+'TUSD BF'!$AE$47+'TUSD CVA'!$AE$47)*1</f>
        <v>0</v>
      </c>
      <c r="AC47" s="13">
        <f ca="1">('TUSD BE'!$AF$47+'TUSD BF'!$AF$47+'TUSD CVA'!$AF$47)*1</f>
        <v>0</v>
      </c>
      <c r="AD47" s="13">
        <f>('TUSD BE'!$AH$47+'TUSD BF'!$AH$47+'TUSD CVA'!$AH$47)*1</f>
        <v>30.549641419251962</v>
      </c>
      <c r="AE47" s="13">
        <f>('TUSD BE'!$AI$47+'TUSD BF'!$AI$47+'TUSD CVA'!$AI$47)*1</f>
        <v>1.0717012520338227</v>
      </c>
      <c r="AF47" s="13">
        <f ca="1">('TUSD BE'!$AJ$47+'TUSD BF'!$AJ$47+'TUSD CVA'!$AJ$47)*1</f>
        <v>0</v>
      </c>
      <c r="AG47" s="13">
        <f ca="1">('TUSD BE'!$AK$47+'TUSD BF'!$AK$47+'TUSD CVA'!$AK$47)*1</f>
        <v>0</v>
      </c>
      <c r="AI47" s="13">
        <v>0</v>
      </c>
      <c r="AJ47" s="13">
        <v>2.1399047554630899</v>
      </c>
      <c r="AK47" s="13">
        <v>0</v>
      </c>
      <c r="AL47" s="13">
        <v>0</v>
      </c>
      <c r="AM47" s="13">
        <v>0</v>
      </c>
      <c r="AN47" s="13">
        <v>57.030624414600901</v>
      </c>
      <c r="AO47" s="13">
        <v>8.8923299098697992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75.697743405911396</v>
      </c>
      <c r="AV47" s="13">
        <v>0</v>
      </c>
      <c r="AW47" s="13">
        <v>0</v>
      </c>
      <c r="AX47" s="13">
        <v>165.02332209125899</v>
      </c>
      <c r="AY47" s="13">
        <v>0</v>
      </c>
      <c r="AZ47" s="13">
        <v>0</v>
      </c>
      <c r="BA47" s="13">
        <v>19.768833913580501</v>
      </c>
      <c r="BB47" s="13">
        <v>0</v>
      </c>
      <c r="BC47" s="13">
        <v>0</v>
      </c>
      <c r="BD47" s="13">
        <v>0</v>
      </c>
    </row>
    <row r="48" spans="1:56" ht="11.25" customHeight="1" x14ac:dyDescent="0.25">
      <c r="A48" s="109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77</v>
      </c>
      <c r="H48" s="24" t="s">
        <v>73</v>
      </c>
      <c r="I48" s="24">
        <f>'MERCADO TUSD'!$U$45</f>
        <v>3162.4160000000002</v>
      </c>
      <c r="J48" s="15"/>
      <c r="L48" s="13">
        <f>('TUSD BE'!$L$48+'TUSD BF'!$L$48+'TUSD CVA'!$L$48)*1</f>
        <v>0</v>
      </c>
      <c r="M48" s="13">
        <f>('TUSD BE'!$M$48+'TUSD BF'!$M$48+'TUSD CVA'!$M$48)*1</f>
        <v>2.2014344050507892</v>
      </c>
      <c r="N48" s="13">
        <f ca="1">('TUSD BE'!$N$48+'TUSD BF'!$N$48+'TUSD CVA'!$N$48)*1</f>
        <v>0</v>
      </c>
      <c r="O48" s="13">
        <f>('TUSD BE'!$O$48+'TUSD BF'!$O$48+'TUSD CVA'!$O$48)*1</f>
        <v>0</v>
      </c>
      <c r="P48" s="13">
        <f>('TUSD BE'!$P$48+'TUSD BF'!$P$48+'TUSD CVA'!$P$48)*1</f>
        <v>0</v>
      </c>
      <c r="Q48" s="13">
        <f>('TUSD BE'!$Q$48+'TUSD BF'!$Q$48+'TUSD CVA'!$Q$48)*1</f>
        <v>89.898034954753484</v>
      </c>
      <c r="R48" s="13">
        <f>('TUSD BE'!$R$48+'TUSD BF'!$R$48+'TUSD CVA'!$R$48)*1</f>
        <v>14.184759520295835</v>
      </c>
      <c r="S48" s="13">
        <f>('TUSD BE'!$S$48+'TUSD BF'!$S$48+'TUSD CVA'!$S$48)*1</f>
        <v>0</v>
      </c>
      <c r="T48" s="13">
        <f>('TUSD BE'!$U$48+'TUSD BF'!$U$48+'TUSD CVA'!$U$48)*1</f>
        <v>0</v>
      </c>
      <c r="U48" s="13">
        <f>('TUSD BE'!$V$48+'TUSD BF'!$V$48+'TUSD CVA'!$V$48)*1</f>
        <v>0</v>
      </c>
      <c r="V48" s="13">
        <f>('TUSD BE'!$W$48+'TUSD BF'!$W$48+'TUSD CVA'!$W$48)*1</f>
        <v>0</v>
      </c>
      <c r="W48" s="13">
        <f>('TUSD BE'!$X$48+'TUSD BF'!$X$48+'TUSD CVA'!$X$48)*1</f>
        <v>0</v>
      </c>
      <c r="X48" s="13">
        <f>('TUSD BE'!$Y$48+'TUSD BF'!$Y$48+'TUSD CVA'!$Y$48)*1</f>
        <v>142.50361005897548</v>
      </c>
      <c r="Y48" s="13">
        <f>('TUSD BE'!$Z$48+'TUSD BF'!$Z$48+'TUSD CVA'!$Z$48)*1</f>
        <v>0</v>
      </c>
      <c r="Z48" s="13">
        <f>('TUSD BE'!$AA$48+'TUSD BF'!$AA$48+'TUSD CVA'!$AA$48)*1</f>
        <v>0</v>
      </c>
      <c r="AA48" s="13">
        <f>('TUSD BE'!$AC$48+'TUSD BF'!$AC$48+'TUSD CVA'!$AC$48)*1</f>
        <v>290.47841552637794</v>
      </c>
      <c r="AB48" s="13">
        <f ca="1">('TUSD BE'!$AE$48+'TUSD BF'!$AE$48+'TUSD CVA'!$AE$48)*1</f>
        <v>0</v>
      </c>
      <c r="AC48" s="13">
        <f ca="1">('TUSD BE'!$AF$48+'TUSD BF'!$AF$48+'TUSD CVA'!$AF$48)*1</f>
        <v>0</v>
      </c>
      <c r="AD48" s="13">
        <f>('TUSD BE'!$AH$48+'TUSD BF'!$AH$48+'TUSD CVA'!$AH$48)*1</f>
        <v>30.549641419251962</v>
      </c>
      <c r="AE48" s="13">
        <f>('TUSD BE'!$AI$48+'TUSD BF'!$AI$48+'TUSD CVA'!$AI$48)*1</f>
        <v>1.0717012520338227</v>
      </c>
      <c r="AF48" s="13">
        <f ca="1">('TUSD BE'!$AJ$48+'TUSD BF'!$AJ$48+'TUSD CVA'!$AJ$48)*1</f>
        <v>0</v>
      </c>
      <c r="AG48" s="13">
        <f ca="1">('TUSD BE'!$AK$48+'TUSD BF'!$AK$48+'TUSD CVA'!$AK$48)*1</f>
        <v>0</v>
      </c>
      <c r="AI48" s="13">
        <v>0</v>
      </c>
      <c r="AJ48" s="13">
        <v>2.1399047554630899</v>
      </c>
      <c r="AK48" s="13">
        <v>0</v>
      </c>
      <c r="AL48" s="13">
        <v>0</v>
      </c>
      <c r="AM48" s="13">
        <v>0</v>
      </c>
      <c r="AN48" s="13">
        <v>57.030624414600901</v>
      </c>
      <c r="AO48" s="13">
        <v>8.8923299098697992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126.163080991957</v>
      </c>
      <c r="AV48" s="13">
        <v>0</v>
      </c>
      <c r="AW48" s="13">
        <v>0</v>
      </c>
      <c r="AX48" s="13">
        <v>275.03918496177499</v>
      </c>
      <c r="AY48" s="13">
        <v>0</v>
      </c>
      <c r="AZ48" s="13">
        <v>0</v>
      </c>
      <c r="BA48" s="13">
        <v>19.768833913580501</v>
      </c>
      <c r="BB48" s="13">
        <v>0</v>
      </c>
      <c r="BC48" s="13">
        <v>0</v>
      </c>
      <c r="BD48" s="13">
        <v>0</v>
      </c>
    </row>
    <row r="49" spans="1:56" ht="11.25" customHeight="1" x14ac:dyDescent="0.25">
      <c r="A49" s="109"/>
      <c r="B49" s="23" t="s">
        <v>88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77</v>
      </c>
      <c r="H49" s="24" t="s">
        <v>73</v>
      </c>
      <c r="I49" s="24">
        <f>'MERCADO TUSD'!$U$46</f>
        <v>0</v>
      </c>
      <c r="J49" s="15"/>
      <c r="L49" s="13">
        <f>('TUSD BE'!$L$49+'TUSD BF'!$L$49+'TUSD CVA'!$L$49)*1</f>
        <v>0</v>
      </c>
      <c r="M49" s="13">
        <f>('TUSD BE'!$M$49+'TUSD BF'!$M$49+'TUSD CVA'!$M$49)*1</f>
        <v>2.2014344050507892</v>
      </c>
      <c r="N49" s="13">
        <f ca="1">('TUSD BE'!$N$49+'TUSD BF'!$N$49+'TUSD CVA'!$N$49)*1</f>
        <v>0</v>
      </c>
      <c r="O49" s="13">
        <f>('TUSD BE'!$O$49+'TUSD BF'!$O$49+'TUSD CVA'!$O$49)*1</f>
        <v>0</v>
      </c>
      <c r="P49" s="13">
        <f>('TUSD BE'!$P$49+'TUSD BF'!$P$49+'TUSD CVA'!$P$49)*1</f>
        <v>0</v>
      </c>
      <c r="Q49" s="13">
        <f>('TUSD BE'!$Q$49+'TUSD BF'!$Q$49+'TUSD CVA'!$Q$49)*1</f>
        <v>89.898034954753484</v>
      </c>
      <c r="R49" s="13">
        <f>('TUSD BE'!$R$49+'TUSD BF'!$R$49+'TUSD CVA'!$R$49)*1</f>
        <v>14.184759520295835</v>
      </c>
      <c r="S49" s="13">
        <f>('TUSD BE'!$S$49+'TUSD BF'!$S$49+'TUSD CVA'!$S$49)*1</f>
        <v>0</v>
      </c>
      <c r="T49" s="13">
        <f>('TUSD BE'!$U$49+'TUSD BF'!$U$49+'TUSD CVA'!$U$49)*1</f>
        <v>0</v>
      </c>
      <c r="U49" s="13">
        <f>('TUSD BE'!$V$49+'TUSD BF'!$V$49+'TUSD CVA'!$V$49)*1</f>
        <v>0</v>
      </c>
      <c r="V49" s="13">
        <f>('TUSD BE'!$W$49+'TUSD BF'!$W$49+'TUSD CVA'!$W$49)*1</f>
        <v>0</v>
      </c>
      <c r="W49" s="13">
        <f>('TUSD BE'!$X$49+'TUSD BF'!$X$49+'TUSD CVA'!$X$49)*1</f>
        <v>0</v>
      </c>
      <c r="X49" s="13">
        <f>('TUSD BE'!$Y$49+'TUSD BF'!$Y$49+'TUSD CVA'!$Y$49)*1</f>
        <v>142.50361005897548</v>
      </c>
      <c r="Y49" s="13">
        <f>('TUSD BE'!$Z$49+'TUSD BF'!$Z$49+'TUSD CVA'!$Z$49)*1</f>
        <v>0</v>
      </c>
      <c r="Z49" s="13">
        <f>('TUSD BE'!$AA$49+'TUSD BF'!$AA$49+'TUSD CVA'!$AA$49)*1</f>
        <v>0</v>
      </c>
      <c r="AA49" s="13">
        <f>('TUSD BE'!$AC$49+'TUSD BF'!$AC$49+'TUSD CVA'!$AC$49)*1</f>
        <v>290.47841552637794</v>
      </c>
      <c r="AB49" s="13">
        <f ca="1">('TUSD BE'!$AE$49+'TUSD BF'!$AE$49+'TUSD CVA'!$AE$49)*1</f>
        <v>0</v>
      </c>
      <c r="AC49" s="13">
        <f ca="1">('TUSD BE'!$AF$49+'TUSD BF'!$AF$49+'TUSD CVA'!$AF$49)*1</f>
        <v>0</v>
      </c>
      <c r="AD49" s="13">
        <f>('TUSD BE'!$AH$49+'TUSD BF'!$AH$49+'TUSD CVA'!$AH$49)*1</f>
        <v>30.549641419251962</v>
      </c>
      <c r="AE49" s="13">
        <f>('TUSD BE'!$AI$49+'TUSD BF'!$AI$49+'TUSD CVA'!$AI$49)*1</f>
        <v>1.0717012520338227</v>
      </c>
      <c r="AF49" s="13">
        <f ca="1">('TUSD BE'!$AJ$49+'TUSD BF'!$AJ$49+'TUSD CVA'!$AJ$49)*1</f>
        <v>0</v>
      </c>
      <c r="AG49" s="13">
        <f ca="1">('TUSD BE'!$AK$49+'TUSD BF'!$AK$49+'TUSD CVA'!$AK$49)*1</f>
        <v>0</v>
      </c>
      <c r="AI49" s="13">
        <v>0</v>
      </c>
      <c r="AJ49" s="13">
        <v>2.1399047554630899</v>
      </c>
      <c r="AK49" s="13">
        <v>0</v>
      </c>
      <c r="AL49" s="13">
        <v>0</v>
      </c>
      <c r="AM49" s="13">
        <v>0</v>
      </c>
      <c r="AN49" s="13">
        <v>57.030624414600901</v>
      </c>
      <c r="AO49" s="13">
        <v>8.8923299098697992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126.163080991957</v>
      </c>
      <c r="AV49" s="13">
        <v>0</v>
      </c>
      <c r="AW49" s="13">
        <v>0</v>
      </c>
      <c r="AX49" s="13">
        <v>275.03918496177499</v>
      </c>
      <c r="AY49" s="13">
        <v>0</v>
      </c>
      <c r="AZ49" s="13">
        <v>0</v>
      </c>
      <c r="BA49" s="13">
        <v>19.768833913580501</v>
      </c>
      <c r="BB49" s="13">
        <v>0</v>
      </c>
      <c r="BC49" s="13">
        <v>0</v>
      </c>
      <c r="BD49" s="13">
        <v>0</v>
      </c>
    </row>
    <row r="50" spans="1:56" ht="11.25" customHeight="1" x14ac:dyDescent="0.25">
      <c r="A50" s="109" t="s">
        <v>44</v>
      </c>
      <c r="B50" s="109" t="s">
        <v>23</v>
      </c>
      <c r="C50" s="109" t="s">
        <v>45</v>
      </c>
      <c r="D50" s="23" t="s">
        <v>46</v>
      </c>
      <c r="E50" s="23" t="s">
        <v>25</v>
      </c>
      <c r="F50" s="23" t="s">
        <v>25</v>
      </c>
      <c r="G50" s="24" t="s">
        <v>77</v>
      </c>
      <c r="H50" s="24" t="s">
        <v>73</v>
      </c>
      <c r="I50" s="24">
        <f>'MERCADO TUSD'!$U$47</f>
        <v>905.86099999999999</v>
      </c>
      <c r="J50" s="15"/>
      <c r="L50" s="13">
        <f>('TUSD BE'!$L$50+'TUSD BF'!$L$50+'TUSD CVA'!$L$50)*1</f>
        <v>0</v>
      </c>
      <c r="M50" s="13">
        <f>('TUSD BE'!$M$50+'TUSD BF'!$M$50+'TUSD CVA'!$M$50)*1</f>
        <v>1.210788922777934</v>
      </c>
      <c r="N50" s="13">
        <f ca="1">('TUSD BE'!$N$50+'TUSD BF'!$N$50+'TUSD CVA'!$N$50)*1</f>
        <v>0</v>
      </c>
      <c r="O50" s="13">
        <f>('TUSD BE'!$O$50+'TUSD BF'!$O$50+'TUSD CVA'!$O$50)*1</f>
        <v>0</v>
      </c>
      <c r="P50" s="13">
        <f>('TUSD BE'!$P$50+'TUSD BF'!$P$50+'TUSD CVA'!$P$50)*1</f>
        <v>0</v>
      </c>
      <c r="Q50" s="13">
        <f>('TUSD BE'!$Q$50+'TUSD BF'!$Q$50+'TUSD CVA'!$Q$50)*1</f>
        <v>49.443919225114421</v>
      </c>
      <c r="R50" s="13">
        <f>('TUSD BE'!$R$50+'TUSD BF'!$R$50+'TUSD CVA'!$R$50)*1</f>
        <v>7.8016177361627097</v>
      </c>
      <c r="S50" s="13">
        <f>('TUSD BE'!$S$50+'TUSD BF'!$S$50+'TUSD CVA'!$S$50)*1</f>
        <v>0</v>
      </c>
      <c r="T50" s="13">
        <f>('TUSD BE'!$U$50+'TUSD BF'!$U$50+'TUSD CVA'!$U$50)*1</f>
        <v>0</v>
      </c>
      <c r="U50" s="13">
        <f>('TUSD BE'!$V$50+'TUSD BF'!$V$50+'TUSD CVA'!$V$50)*1</f>
        <v>0</v>
      </c>
      <c r="V50" s="13">
        <f>('TUSD BE'!$W$50+'TUSD BF'!$W$50+'TUSD CVA'!$W$50)*1</f>
        <v>0</v>
      </c>
      <c r="W50" s="13">
        <f>('TUSD BE'!$X$50+'TUSD BF'!$X$50+'TUSD CVA'!$X$50)*1</f>
        <v>0</v>
      </c>
      <c r="X50" s="13">
        <f>('TUSD BE'!$Y$50+'TUSD BF'!$Y$50+'TUSD CVA'!$Y$50)*1</f>
        <v>78.376985532436521</v>
      </c>
      <c r="Y50" s="13">
        <f>('TUSD BE'!$Z$50+'TUSD BF'!$Z$50+'TUSD CVA'!$Z$50)*1</f>
        <v>0</v>
      </c>
      <c r="Z50" s="13">
        <f>('TUSD BE'!$AA$50+'TUSD BF'!$AA$50+'TUSD CVA'!$AA$50)*1</f>
        <v>0</v>
      </c>
      <c r="AA50" s="13">
        <f>('TUSD BE'!$AC$50+'TUSD BF'!$AC$50+'TUSD CVA'!$AC$50)*1</f>
        <v>159.76312853950787</v>
      </c>
      <c r="AB50" s="13">
        <f ca="1">('TUSD BE'!$AE$50+'TUSD BF'!$AE$50+'TUSD CVA'!$AE$50)*1</f>
        <v>0</v>
      </c>
      <c r="AC50" s="13">
        <f ca="1">('TUSD BE'!$AF$50+'TUSD BF'!$AF$50+'TUSD CVA'!$AF$50)*1</f>
        <v>0</v>
      </c>
      <c r="AD50" s="13">
        <f>('TUSD BE'!$AH$50+'TUSD BF'!$AH$50+'TUSD CVA'!$AH$50)*1</f>
        <v>16.802302780588583</v>
      </c>
      <c r="AE50" s="13">
        <f>('TUSD BE'!$AI$50+'TUSD BF'!$AI$50+'TUSD CVA'!$AI$50)*1</f>
        <v>0.58943568861860252</v>
      </c>
      <c r="AF50" s="13">
        <f ca="1">('TUSD BE'!$AJ$50+'TUSD BF'!$AJ$50+'TUSD CVA'!$AJ$50)*1</f>
        <v>0</v>
      </c>
      <c r="AG50" s="13">
        <f ca="1">('TUSD BE'!$AK$50+'TUSD BF'!$AK$50+'TUSD CVA'!$AK$50)*1</f>
        <v>0</v>
      </c>
      <c r="AI50" s="13">
        <v>0</v>
      </c>
      <c r="AJ50" s="13">
        <v>1.1769476155047001</v>
      </c>
      <c r="AK50" s="13">
        <v>0</v>
      </c>
      <c r="AL50" s="13">
        <v>0</v>
      </c>
      <c r="AM50" s="13">
        <v>0</v>
      </c>
      <c r="AN50" s="13">
        <v>31.366843428030499</v>
      </c>
      <c r="AO50" s="13">
        <v>4.8907814504283902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69.389694545576106</v>
      </c>
      <c r="AV50" s="13">
        <v>0</v>
      </c>
      <c r="AW50" s="13">
        <v>0</v>
      </c>
      <c r="AX50" s="13">
        <v>151.27155172897599</v>
      </c>
      <c r="AY50" s="13">
        <v>0</v>
      </c>
      <c r="AZ50" s="13">
        <v>0</v>
      </c>
      <c r="BA50" s="13">
        <v>10.872858652469301</v>
      </c>
      <c r="BB50" s="13">
        <v>0</v>
      </c>
      <c r="BC50" s="13">
        <v>0</v>
      </c>
      <c r="BD50" s="13">
        <v>0</v>
      </c>
    </row>
    <row r="51" spans="1:56" ht="11.25" customHeight="1" x14ac:dyDescent="0.25">
      <c r="A51" s="109"/>
      <c r="B51" s="109"/>
      <c r="C51" s="109"/>
      <c r="D51" s="24" t="s">
        <v>91</v>
      </c>
      <c r="E51" s="24" t="s">
        <v>25</v>
      </c>
      <c r="F51" s="24" t="s">
        <v>25</v>
      </c>
      <c r="G51" s="24" t="s">
        <v>77</v>
      </c>
      <c r="H51" s="24" t="s">
        <v>73</v>
      </c>
      <c r="I51" s="24">
        <f>'MERCADO TUSD'!$U$48</f>
        <v>0</v>
      </c>
      <c r="J51" s="15"/>
      <c r="L51" s="13">
        <f>('TUSD BE'!$L$51+'TUSD BF'!$L$51+'TUSD CVA'!$L$51)*1</f>
        <v>0</v>
      </c>
      <c r="M51" s="13">
        <f>('TUSD BE'!$M$51+'TUSD BF'!$M$51+'TUSD CVA'!$M$51)*1</f>
        <v>1.3208606430304732</v>
      </c>
      <c r="N51" s="13">
        <f ca="1">('TUSD BE'!$N$51+'TUSD BF'!$N$51+'TUSD CVA'!$N$51)*1</f>
        <v>0</v>
      </c>
      <c r="O51" s="13">
        <f>('TUSD BE'!$O$51+'TUSD BF'!$O$51+'TUSD CVA'!$O$51)*1</f>
        <v>0</v>
      </c>
      <c r="P51" s="13">
        <f>('TUSD BE'!$P$51+'TUSD BF'!$P$51+'TUSD CVA'!$P$51)*1</f>
        <v>0</v>
      </c>
      <c r="Q51" s="13">
        <f>('TUSD BE'!$Q$51+'TUSD BF'!$Q$51+'TUSD CVA'!$Q$51)*1</f>
        <v>53.938820972852092</v>
      </c>
      <c r="R51" s="13">
        <f>('TUSD BE'!$R$51+'TUSD BF'!$R$51+'TUSD CVA'!$R$51)*1</f>
        <v>8.5108557121775004</v>
      </c>
      <c r="S51" s="13">
        <f>('TUSD BE'!$S$51+'TUSD BF'!$S$51+'TUSD CVA'!$S$51)*1</f>
        <v>0</v>
      </c>
      <c r="T51" s="13">
        <f>('TUSD BE'!$U$51+'TUSD BF'!$U$51+'TUSD CVA'!$U$51)*1</f>
        <v>0</v>
      </c>
      <c r="U51" s="13">
        <f>('TUSD BE'!$V$51+'TUSD BF'!$V$51+'TUSD CVA'!$V$51)*1</f>
        <v>0</v>
      </c>
      <c r="V51" s="13">
        <f>('TUSD BE'!$W$51+'TUSD BF'!$W$51+'TUSD CVA'!$W$51)*1</f>
        <v>0</v>
      </c>
      <c r="W51" s="13">
        <f>('TUSD BE'!$X$51+'TUSD BF'!$X$51+'TUSD CVA'!$X$51)*1</f>
        <v>0</v>
      </c>
      <c r="X51" s="13">
        <f>('TUSD BE'!$Y$51+'TUSD BF'!$Y$51+'TUSD CVA'!$Y$51)*1</f>
        <v>85.502166035385287</v>
      </c>
      <c r="Y51" s="13">
        <f>('TUSD BE'!$Z$51+'TUSD BF'!$Z$51+'TUSD CVA'!$Z$51)*1</f>
        <v>0</v>
      </c>
      <c r="Z51" s="13">
        <f>('TUSD BE'!$AA$51+'TUSD BF'!$AA$51+'TUSD CVA'!$AA$51)*1</f>
        <v>0</v>
      </c>
      <c r="AA51" s="13">
        <f>('TUSD BE'!$AC$51+'TUSD BF'!$AC$51+'TUSD CVA'!$AC$51)*1</f>
        <v>174.28704931582678</v>
      </c>
      <c r="AB51" s="13">
        <f ca="1">('TUSD BE'!$AE$51+'TUSD BF'!$AE$51+'TUSD CVA'!$AE$51)*1</f>
        <v>0</v>
      </c>
      <c r="AC51" s="13">
        <f ca="1">('TUSD BE'!$AF$51+'TUSD BF'!$AF$51+'TUSD CVA'!$AF$51)*1</f>
        <v>0</v>
      </c>
      <c r="AD51" s="13">
        <f>('TUSD BE'!$AH$51+'TUSD BF'!$AH$51+'TUSD CVA'!$AH$51)*1</f>
        <v>18.329784851551178</v>
      </c>
      <c r="AE51" s="13">
        <f>('TUSD BE'!$AI$51+'TUSD BF'!$AI$51+'TUSD CVA'!$AI$51)*1</f>
        <v>0.64302075122029367</v>
      </c>
      <c r="AF51" s="13">
        <f ca="1">('TUSD BE'!$AJ$51+'TUSD BF'!$AJ$51+'TUSD CVA'!$AJ$51)*1</f>
        <v>0</v>
      </c>
      <c r="AG51" s="13">
        <f ca="1">('TUSD BE'!$AK$51+'TUSD BF'!$AK$51+'TUSD CVA'!$AK$51)*1</f>
        <v>0</v>
      </c>
      <c r="AI51" s="13">
        <v>0</v>
      </c>
      <c r="AJ51" s="13">
        <v>1.2839428532778501</v>
      </c>
      <c r="AK51" s="13">
        <v>0</v>
      </c>
      <c r="AL51" s="13">
        <v>0</v>
      </c>
      <c r="AM51" s="13">
        <v>0</v>
      </c>
      <c r="AN51" s="13">
        <v>34.218374648760502</v>
      </c>
      <c r="AO51" s="13">
        <v>5.3353979459218799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75.697848595173895</v>
      </c>
      <c r="AV51" s="13">
        <v>0</v>
      </c>
      <c r="AW51" s="13">
        <v>0</v>
      </c>
      <c r="AX51" s="13">
        <v>165.023510977065</v>
      </c>
      <c r="AY51" s="13">
        <v>0</v>
      </c>
      <c r="AZ51" s="13">
        <v>0</v>
      </c>
      <c r="BA51" s="13">
        <v>11.861300348148299</v>
      </c>
      <c r="BB51" s="13">
        <v>0</v>
      </c>
      <c r="BC51" s="13">
        <v>0</v>
      </c>
      <c r="BD51" s="13">
        <v>0</v>
      </c>
    </row>
    <row r="53" spans="1:56" ht="11.25" customHeight="1" x14ac:dyDescent="0.25">
      <c r="L53" s="111" t="s">
        <v>686</v>
      </c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  <c r="AD53" s="111"/>
      <c r="AE53" s="111"/>
      <c r="AF53" s="111"/>
      <c r="AG53" s="111"/>
      <c r="AI53" s="111" t="s">
        <v>687</v>
      </c>
      <c r="AJ53" s="111"/>
      <c r="AK53" s="111"/>
      <c r="AL53" s="111"/>
      <c r="AM53" s="111"/>
      <c r="AN53" s="111"/>
      <c r="AO53" s="111"/>
      <c r="AP53" s="111"/>
      <c r="AQ53" s="111"/>
      <c r="AR53" s="111"/>
      <c r="AS53" s="111"/>
      <c r="AT53" s="111"/>
      <c r="AU53" s="111"/>
      <c r="AV53" s="111"/>
      <c r="AW53" s="111"/>
      <c r="AX53" s="111"/>
      <c r="AY53" s="111"/>
      <c r="AZ53" s="111"/>
      <c r="BA53" s="111"/>
      <c r="BB53" s="111"/>
      <c r="BC53" s="111"/>
      <c r="BD53" s="111"/>
    </row>
    <row r="54" spans="1:56" ht="11.25" customHeight="1" x14ac:dyDescent="0.25">
      <c r="L54" s="111" t="s">
        <v>387</v>
      </c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111"/>
      <c r="AD54" s="111"/>
      <c r="AE54" s="111"/>
      <c r="AF54" s="111"/>
      <c r="AG54" s="111"/>
      <c r="AI54" s="111" t="s">
        <v>387</v>
      </c>
      <c r="AJ54" s="111"/>
      <c r="AK54" s="111"/>
      <c r="AL54" s="111"/>
      <c r="AM54" s="111"/>
      <c r="AN54" s="111"/>
      <c r="AO54" s="111"/>
      <c r="AP54" s="111"/>
      <c r="AQ54" s="111"/>
      <c r="AR54" s="111"/>
      <c r="AS54" s="111"/>
      <c r="AT54" s="111"/>
      <c r="AU54" s="111"/>
      <c r="AV54" s="111"/>
      <c r="AW54" s="111"/>
      <c r="AX54" s="111"/>
      <c r="AY54" s="111"/>
      <c r="AZ54" s="111"/>
      <c r="BA54" s="111"/>
      <c r="BB54" s="111"/>
      <c r="BC54" s="111"/>
      <c r="BD54" s="111"/>
    </row>
    <row r="55" spans="1:56" ht="11.25" customHeight="1" x14ac:dyDescent="0.25">
      <c r="L55" s="111" t="s">
        <v>388</v>
      </c>
      <c r="M55" s="111"/>
      <c r="N55" s="111"/>
      <c r="O55" s="111"/>
      <c r="P55" s="111"/>
      <c r="Q55" s="111"/>
      <c r="R55" s="111"/>
      <c r="S55" s="111"/>
      <c r="T55" s="111" t="s">
        <v>397</v>
      </c>
      <c r="U55" s="111"/>
      <c r="V55" s="111"/>
      <c r="W55" s="111"/>
      <c r="X55" s="111"/>
      <c r="Y55" s="111"/>
      <c r="Z55" s="111"/>
      <c r="AA55" s="10" t="s">
        <v>405</v>
      </c>
      <c r="AB55" s="111" t="s">
        <v>407</v>
      </c>
      <c r="AC55" s="111"/>
      <c r="AD55" s="111" t="s">
        <v>410</v>
      </c>
      <c r="AE55" s="111"/>
      <c r="AF55" s="111"/>
      <c r="AG55" s="111"/>
      <c r="AI55" s="111" t="s">
        <v>388</v>
      </c>
      <c r="AJ55" s="111"/>
      <c r="AK55" s="111"/>
      <c r="AL55" s="111"/>
      <c r="AM55" s="111"/>
      <c r="AN55" s="111"/>
      <c r="AO55" s="111"/>
      <c r="AP55" s="111"/>
      <c r="AQ55" s="111" t="s">
        <v>397</v>
      </c>
      <c r="AR55" s="111"/>
      <c r="AS55" s="111"/>
      <c r="AT55" s="111"/>
      <c r="AU55" s="111"/>
      <c r="AV55" s="111"/>
      <c r="AW55" s="111"/>
      <c r="AX55" s="10" t="s">
        <v>405</v>
      </c>
      <c r="AY55" s="111" t="s">
        <v>407</v>
      </c>
      <c r="AZ55" s="111"/>
      <c r="BA55" s="111" t="s">
        <v>410</v>
      </c>
      <c r="BB55" s="111"/>
      <c r="BC55" s="111"/>
      <c r="BD55" s="111"/>
    </row>
    <row r="56" spans="1:56" ht="11.25" customHeight="1" x14ac:dyDescent="0.25">
      <c r="L56" s="10" t="s">
        <v>473</v>
      </c>
      <c r="M56" s="10" t="s">
        <v>389</v>
      </c>
      <c r="N56" s="10" t="s">
        <v>390</v>
      </c>
      <c r="O56" s="10" t="s">
        <v>391</v>
      </c>
      <c r="P56" s="10" t="s">
        <v>392</v>
      </c>
      <c r="Q56" s="10" t="s">
        <v>393</v>
      </c>
      <c r="R56" s="10" t="s">
        <v>394</v>
      </c>
      <c r="S56" s="10" t="s">
        <v>395</v>
      </c>
      <c r="T56" s="10" t="s">
        <v>398</v>
      </c>
      <c r="U56" s="10" t="s">
        <v>399</v>
      </c>
      <c r="V56" s="10" t="s">
        <v>400</v>
      </c>
      <c r="W56" s="10" t="s">
        <v>401</v>
      </c>
      <c r="X56" s="10" t="s">
        <v>402</v>
      </c>
      <c r="Y56" s="10" t="s">
        <v>403</v>
      </c>
      <c r="Z56" s="10" t="s">
        <v>404</v>
      </c>
      <c r="AA56" s="10" t="s">
        <v>406</v>
      </c>
      <c r="AB56" s="10" t="s">
        <v>408</v>
      </c>
      <c r="AC56" s="10" t="s">
        <v>409</v>
      </c>
      <c r="AD56" s="10" t="s">
        <v>411</v>
      </c>
      <c r="AE56" s="10" t="s">
        <v>412</v>
      </c>
      <c r="AF56" s="10" t="s">
        <v>413</v>
      </c>
      <c r="AG56" s="10" t="s">
        <v>414</v>
      </c>
      <c r="AI56" s="10" t="s">
        <v>473</v>
      </c>
      <c r="AJ56" s="10" t="s">
        <v>389</v>
      </c>
      <c r="AK56" s="10" t="s">
        <v>390</v>
      </c>
      <c r="AL56" s="10" t="s">
        <v>391</v>
      </c>
      <c r="AM56" s="10" t="s">
        <v>392</v>
      </c>
      <c r="AN56" s="10" t="s">
        <v>393</v>
      </c>
      <c r="AO56" s="10" t="s">
        <v>394</v>
      </c>
      <c r="AP56" s="10" t="s">
        <v>395</v>
      </c>
      <c r="AQ56" s="10" t="s">
        <v>398</v>
      </c>
      <c r="AR56" s="10" t="s">
        <v>399</v>
      </c>
      <c r="AS56" s="10" t="s">
        <v>400</v>
      </c>
      <c r="AT56" s="10" t="s">
        <v>401</v>
      </c>
      <c r="AU56" s="10" t="s">
        <v>402</v>
      </c>
      <c r="AV56" s="10" t="s">
        <v>403</v>
      </c>
      <c r="AW56" s="10" t="s">
        <v>404</v>
      </c>
      <c r="AX56" s="10" t="s">
        <v>406</v>
      </c>
      <c r="AY56" s="10" t="s">
        <v>408</v>
      </c>
      <c r="AZ56" s="10" t="s">
        <v>409</v>
      </c>
      <c r="BA56" s="10" t="s">
        <v>411</v>
      </c>
      <c r="BB56" s="10" t="s">
        <v>412</v>
      </c>
      <c r="BC56" s="10" t="s">
        <v>413</v>
      </c>
      <c r="BD56" s="10" t="s">
        <v>414</v>
      </c>
    </row>
    <row r="57" spans="1:56" ht="11.25" customHeight="1" x14ac:dyDescent="0.25">
      <c r="A57" s="9" t="s">
        <v>35</v>
      </c>
      <c r="B57" s="9" t="s">
        <v>688</v>
      </c>
      <c r="C57" s="9" t="s">
        <v>689</v>
      </c>
      <c r="D57" s="9" t="s">
        <v>690</v>
      </c>
      <c r="E57" s="9" t="s">
        <v>691</v>
      </c>
      <c r="F57" s="9" t="s">
        <v>692</v>
      </c>
      <c r="G57" s="9" t="s">
        <v>693</v>
      </c>
      <c r="L57" s="13">
        <f>$I$5*$L$5</f>
        <v>0</v>
      </c>
      <c r="M57" s="13">
        <f>$I$5*$M$5</f>
        <v>0</v>
      </c>
      <c r="N57" s="13">
        <f ca="1">$I$5*$N$5</f>
        <v>0</v>
      </c>
      <c r="O57" s="13">
        <f>$I$5*$O$5</f>
        <v>0</v>
      </c>
      <c r="P57" s="13">
        <f>$I$5*$P$5</f>
        <v>0</v>
      </c>
      <c r="Q57" s="13">
        <f>$I$5*$Q$5</f>
        <v>0</v>
      </c>
      <c r="R57" s="13">
        <f>$I$5*$R$5</f>
        <v>0</v>
      </c>
      <c r="S57" s="13">
        <f>$I$5*$S$5</f>
        <v>0</v>
      </c>
      <c r="T57" s="13">
        <f>$I$5*$T$5</f>
        <v>0</v>
      </c>
      <c r="U57" s="13">
        <f>$I$5*$U$5</f>
        <v>0</v>
      </c>
      <c r="V57" s="13">
        <f>$I$5*$V$5</f>
        <v>0</v>
      </c>
      <c r="W57" s="13">
        <f>$I$5*$W$5</f>
        <v>0</v>
      </c>
      <c r="X57" s="13">
        <f>$I$5*$X$5</f>
        <v>2629426.3314369586</v>
      </c>
      <c r="Y57" s="13">
        <f>$I$5*$Y$5</f>
        <v>0</v>
      </c>
      <c r="Z57" s="13">
        <f>$I$5*$Z$5</f>
        <v>0</v>
      </c>
      <c r="AA57" s="13">
        <f>$I$5*$AA$5</f>
        <v>2861203.7946740594</v>
      </c>
      <c r="AB57" s="13">
        <f ca="1">$I$5*$AB$5</f>
        <v>0</v>
      </c>
      <c r="AC57" s="13">
        <f ca="1">$I$5*$AC$5</f>
        <v>0</v>
      </c>
      <c r="AD57" s="13">
        <f>$I$5*$AD$5</f>
        <v>0</v>
      </c>
      <c r="AE57" s="13">
        <f>$I$5*$AE$5</f>
        <v>0</v>
      </c>
      <c r="AF57" s="13">
        <f ca="1">$I$5*$AF$5</f>
        <v>0</v>
      </c>
      <c r="AG57" s="13">
        <f ca="1">$I$5*$AG$5</f>
        <v>0</v>
      </c>
      <c r="AI57" s="13">
        <f>$I$5*$AI$5</f>
        <v>0</v>
      </c>
      <c r="AJ57" s="13">
        <f>$I$5*$AJ$5</f>
        <v>0</v>
      </c>
      <c r="AK57" s="13">
        <f>$I$5*$AK$5</f>
        <v>0</v>
      </c>
      <c r="AL57" s="13">
        <f>$I$5*$AL$5</f>
        <v>0</v>
      </c>
      <c r="AM57" s="13">
        <f>$I$5*$AM$5</f>
        <v>0</v>
      </c>
      <c r="AN57" s="13">
        <f>$I$5*$AN$5</f>
        <v>0</v>
      </c>
      <c r="AO57" s="13">
        <f>$I$5*$AO$5</f>
        <v>0</v>
      </c>
      <c r="AP57" s="13">
        <f>$I$5*$AP$5</f>
        <v>0</v>
      </c>
      <c r="AQ57" s="13">
        <f>$I$5*$AQ$5</f>
        <v>0</v>
      </c>
      <c r="AR57" s="13">
        <f>$I$5*$AR$5</f>
        <v>0</v>
      </c>
      <c r="AS57" s="13">
        <f>$I$5*$AS$5</f>
        <v>0</v>
      </c>
      <c r="AT57" s="13">
        <f>$I$5*$AT$5</f>
        <v>0</v>
      </c>
      <c r="AU57" s="13">
        <f>$I$5*$AU$5</f>
        <v>1657435.5118159833</v>
      </c>
      <c r="AV57" s="13">
        <f>$I$5*$AV$5</f>
        <v>0</v>
      </c>
      <c r="AW57" s="13">
        <f>$I$5*$AW$5</f>
        <v>0</v>
      </c>
      <c r="AX57" s="13">
        <f>$I$5*$AX$5</f>
        <v>3480081.2598570613</v>
      </c>
      <c r="AY57" s="13">
        <f>$I$5*$AY$5</f>
        <v>0</v>
      </c>
      <c r="AZ57" s="13">
        <f>$I$5*$AZ$5</f>
        <v>0</v>
      </c>
      <c r="BA57" s="13">
        <f>$I$5*$BA$5</f>
        <v>0</v>
      </c>
      <c r="BB57" s="13">
        <f>$I$5*$BB$5</f>
        <v>0</v>
      </c>
      <c r="BC57" s="13">
        <f>$I$5*$BC$5</f>
        <v>0</v>
      </c>
      <c r="BD57" s="13">
        <f>$I$5*$BD$5</f>
        <v>0</v>
      </c>
    </row>
    <row r="58" spans="1:56" ht="11.25" customHeight="1" x14ac:dyDescent="0.25">
      <c r="A58" s="9" t="s">
        <v>35</v>
      </c>
      <c r="B58" s="9" t="s">
        <v>688</v>
      </c>
      <c r="C58" s="9" t="s">
        <v>689</v>
      </c>
      <c r="D58" s="9" t="s">
        <v>690</v>
      </c>
      <c r="E58" s="9" t="s">
        <v>691</v>
      </c>
      <c r="F58" s="9" t="s">
        <v>692</v>
      </c>
      <c r="G58" s="9" t="s">
        <v>694</v>
      </c>
      <c r="L58" s="13">
        <f>$I$6*$L$6</f>
        <v>0</v>
      </c>
      <c r="M58" s="13">
        <f>$I$6*$M$6</f>
        <v>0</v>
      </c>
      <c r="N58" s="13">
        <f ca="1">$I$6*$N$6</f>
        <v>0</v>
      </c>
      <c r="O58" s="13">
        <f>$I$6*$O$6</f>
        <v>0</v>
      </c>
      <c r="P58" s="13">
        <f>$I$6*$P$6</f>
        <v>0</v>
      </c>
      <c r="Q58" s="13">
        <f>$I$6*$Q$6</f>
        <v>0</v>
      </c>
      <c r="R58" s="13">
        <f>$I$6*$R$6</f>
        <v>0</v>
      </c>
      <c r="S58" s="13">
        <f>$I$6*$S$6</f>
        <v>0</v>
      </c>
      <c r="T58" s="13">
        <f>$I$6*$T$6</f>
        <v>0</v>
      </c>
      <c r="U58" s="13">
        <f>$I$6*$U$6</f>
        <v>0</v>
      </c>
      <c r="V58" s="13">
        <f>$I$6*$V$6</f>
        <v>0</v>
      </c>
      <c r="W58" s="13">
        <f>$I$6*$W$6</f>
        <v>0</v>
      </c>
      <c r="X58" s="13">
        <f>$I$6*$X$6</f>
        <v>1517539.075489135</v>
      </c>
      <c r="Y58" s="13">
        <f>$I$6*$Y$6</f>
        <v>0</v>
      </c>
      <c r="Z58" s="13">
        <f>$I$6*$Z$6</f>
        <v>0</v>
      </c>
      <c r="AA58" s="13">
        <f>$I$6*$AA$6</f>
        <v>1402375.6590878547</v>
      </c>
      <c r="AB58" s="13">
        <f ca="1">$I$6*$AB$6</f>
        <v>0</v>
      </c>
      <c r="AC58" s="13">
        <f ca="1">$I$6*$AC$6</f>
        <v>0</v>
      </c>
      <c r="AD58" s="13">
        <f>$I$6*$AD$6</f>
        <v>0</v>
      </c>
      <c r="AE58" s="13">
        <f>$I$6*$AE$6</f>
        <v>0</v>
      </c>
      <c r="AF58" s="13">
        <f ca="1">$I$6*$AF$6</f>
        <v>0</v>
      </c>
      <c r="AG58" s="13">
        <f ca="1">$I$6*$AG$6</f>
        <v>0</v>
      </c>
      <c r="AI58" s="13">
        <f>$I$6*$AI$6</f>
        <v>0</v>
      </c>
      <c r="AJ58" s="13">
        <f>$I$6*$AJ$6</f>
        <v>0</v>
      </c>
      <c r="AK58" s="13">
        <f>$I$6*$AK$6</f>
        <v>0</v>
      </c>
      <c r="AL58" s="13">
        <f>$I$6*$AL$6</f>
        <v>0</v>
      </c>
      <c r="AM58" s="13">
        <f>$I$6*$AM$6</f>
        <v>0</v>
      </c>
      <c r="AN58" s="13">
        <f>$I$6*$AN$6</f>
        <v>0</v>
      </c>
      <c r="AO58" s="13">
        <f>$I$6*$AO$6</f>
        <v>0</v>
      </c>
      <c r="AP58" s="13">
        <f>$I$6*$AP$6</f>
        <v>0</v>
      </c>
      <c r="AQ58" s="13">
        <f>$I$6*$AQ$6</f>
        <v>0</v>
      </c>
      <c r="AR58" s="13">
        <f>$I$6*$AR$6</f>
        <v>0</v>
      </c>
      <c r="AS58" s="13">
        <f>$I$6*$AS$6</f>
        <v>0</v>
      </c>
      <c r="AT58" s="13">
        <f>$I$6*$AT$6</f>
        <v>0</v>
      </c>
      <c r="AU58" s="13">
        <f>$I$6*$AU$6</f>
        <v>1688726.8516308924</v>
      </c>
      <c r="AV58" s="13">
        <f>$I$6*$AV$6</f>
        <v>0</v>
      </c>
      <c r="AW58" s="13">
        <f>$I$6*$AW$6</f>
        <v>0</v>
      </c>
      <c r="AX58" s="13">
        <f>$I$6*$AX$6</f>
        <v>853093.49712080241</v>
      </c>
      <c r="AY58" s="13">
        <f>$I$6*$AY$6</f>
        <v>0</v>
      </c>
      <c r="AZ58" s="13">
        <f>$I$6*$AZ$6</f>
        <v>0</v>
      </c>
      <c r="BA58" s="13">
        <f>$I$6*$BA$6</f>
        <v>0</v>
      </c>
      <c r="BB58" s="13">
        <f>$I$6*$BB$6</f>
        <v>0</v>
      </c>
      <c r="BC58" s="13">
        <f>$I$6*$BC$6</f>
        <v>0</v>
      </c>
      <c r="BD58" s="13">
        <f>$I$6*$BD$6</f>
        <v>0</v>
      </c>
    </row>
    <row r="59" spans="1:56" ht="11.25" customHeight="1" x14ac:dyDescent="0.25">
      <c r="A59" s="9" t="s">
        <v>35</v>
      </c>
      <c r="B59" s="9" t="s">
        <v>688</v>
      </c>
      <c r="C59" s="9" t="s">
        <v>689</v>
      </c>
      <c r="D59" s="9" t="s">
        <v>690</v>
      </c>
      <c r="E59" s="9" t="s">
        <v>691</v>
      </c>
      <c r="F59" s="9" t="s">
        <v>692</v>
      </c>
      <c r="G59" s="9" t="s">
        <v>695</v>
      </c>
      <c r="L59" s="13">
        <f>$I$7*$L$7</f>
        <v>0</v>
      </c>
      <c r="M59" s="13">
        <f>$I$7*$M$7</f>
        <v>29215.679587995088</v>
      </c>
      <c r="N59" s="13">
        <f ca="1">$I$7*$N$7</f>
        <v>0</v>
      </c>
      <c r="O59" s="13">
        <f>$I$7*$O$7</f>
        <v>0</v>
      </c>
      <c r="P59" s="13">
        <f>$I$7*$P$7</f>
        <v>0</v>
      </c>
      <c r="Q59" s="13">
        <f>$I$7*$Q$7</f>
        <v>1961856.3021905313</v>
      </c>
      <c r="R59" s="13">
        <f>$I$7*$R$7</f>
        <v>368518.83244796703</v>
      </c>
      <c r="S59" s="13">
        <f>$I$7*$S$7</f>
        <v>0</v>
      </c>
      <c r="T59" s="13">
        <f>$I$7*$T$7</f>
        <v>0</v>
      </c>
      <c r="U59" s="13">
        <f>$I$7*$U$7</f>
        <v>0</v>
      </c>
      <c r="V59" s="13">
        <f>$I$7*$V$7</f>
        <v>0</v>
      </c>
      <c r="W59" s="13">
        <f>$I$7*$W$7</f>
        <v>0</v>
      </c>
      <c r="X59" s="13">
        <f>$I$7*$X$7</f>
        <v>0</v>
      </c>
      <c r="Y59" s="13">
        <f>$I$7*$Y$7</f>
        <v>0</v>
      </c>
      <c r="Z59" s="13">
        <f>$I$7*$Z$7</f>
        <v>0</v>
      </c>
      <c r="AA59" s="13">
        <f>$I$7*$AA$7</f>
        <v>0</v>
      </c>
      <c r="AB59" s="13">
        <f ca="1">$I$7*$AB$7</f>
        <v>0</v>
      </c>
      <c r="AC59" s="13">
        <f ca="1">$I$7*$AC$7</f>
        <v>0</v>
      </c>
      <c r="AD59" s="13">
        <f>$I$7*$AD$7</f>
        <v>147334.16554979904</v>
      </c>
      <c r="AE59" s="13">
        <f>$I$7*$AE$7</f>
        <v>5168.5781682390834</v>
      </c>
      <c r="AF59" s="13">
        <f ca="1">$I$7*$AF$7</f>
        <v>0</v>
      </c>
      <c r="AG59" s="13">
        <f ca="1">$I$7*$AG$7</f>
        <v>0</v>
      </c>
      <c r="AI59" s="13">
        <f>$I$7*$AI$7</f>
        <v>0</v>
      </c>
      <c r="AJ59" s="13">
        <f>$I$7*$AJ$7</f>
        <v>24303.962162135362</v>
      </c>
      <c r="AK59" s="13">
        <f>$I$7*$AK$7</f>
        <v>0</v>
      </c>
      <c r="AL59" s="13">
        <f>$I$7*$AL$7</f>
        <v>0</v>
      </c>
      <c r="AM59" s="13">
        <f>$I$7*$AM$7</f>
        <v>0</v>
      </c>
      <c r="AN59" s="13">
        <f>$I$7*$AN$7</f>
        <v>1289036.12436214</v>
      </c>
      <c r="AO59" s="13">
        <f>$I$7*$AO$7</f>
        <v>231021.96631804513</v>
      </c>
      <c r="AP59" s="13">
        <f>$I$7*$AP$7</f>
        <v>0</v>
      </c>
      <c r="AQ59" s="13">
        <f>$I$7*$AQ$7</f>
        <v>0</v>
      </c>
      <c r="AR59" s="13">
        <f>$I$7*$AR$7</f>
        <v>0</v>
      </c>
      <c r="AS59" s="13">
        <f>$I$7*$AS$7</f>
        <v>0</v>
      </c>
      <c r="AT59" s="13">
        <f>$I$7*$AT$7</f>
        <v>0</v>
      </c>
      <c r="AU59" s="13">
        <f>$I$7*$AU$7</f>
        <v>0</v>
      </c>
      <c r="AV59" s="13">
        <f>$I$7*$AV$7</f>
        <v>0</v>
      </c>
      <c r="AW59" s="13">
        <f>$I$7*$AW$7</f>
        <v>0</v>
      </c>
      <c r="AX59" s="13">
        <f>$I$7*$AX$7</f>
        <v>0</v>
      </c>
      <c r="AY59" s="13">
        <f>$I$7*$AY$7</f>
        <v>0</v>
      </c>
      <c r="AZ59" s="13">
        <f>$I$7*$AZ$7</f>
        <v>0</v>
      </c>
      <c r="BA59" s="13">
        <f>$I$7*$BA$7</f>
        <v>236431.62701016371</v>
      </c>
      <c r="BB59" s="13">
        <f>$I$7*$BB$7</f>
        <v>0</v>
      </c>
      <c r="BC59" s="13">
        <f>$I$7*$BC$7</f>
        <v>0</v>
      </c>
      <c r="BD59" s="13">
        <f>$I$7*$BD$7</f>
        <v>0</v>
      </c>
    </row>
    <row r="60" spans="1:56" ht="11.25" customHeight="1" x14ac:dyDescent="0.25">
      <c r="A60" s="9" t="s">
        <v>35</v>
      </c>
      <c r="B60" s="9" t="s">
        <v>688</v>
      </c>
      <c r="C60" s="9" t="s">
        <v>689</v>
      </c>
      <c r="D60" s="9" t="s">
        <v>690</v>
      </c>
      <c r="E60" s="9" t="s">
        <v>696</v>
      </c>
      <c r="F60" s="9" t="s">
        <v>697</v>
      </c>
      <c r="G60" s="9" t="s">
        <v>698</v>
      </c>
      <c r="L60" s="13">
        <f>$I$8*$L$8</f>
        <v>0</v>
      </c>
      <c r="M60" s="13">
        <f>$I$8*$M$8</f>
        <v>0</v>
      </c>
      <c r="N60" s="13">
        <f ca="1">$I$8*$N$8</f>
        <v>0</v>
      </c>
      <c r="O60" s="13">
        <f>$I$8*$O$8</f>
        <v>0</v>
      </c>
      <c r="P60" s="13">
        <f>$I$8*$P$8</f>
        <v>0</v>
      </c>
      <c r="Q60" s="13">
        <f>$I$8*$Q$8</f>
        <v>0</v>
      </c>
      <c r="R60" s="13">
        <f>$I$8*$R$8</f>
        <v>0</v>
      </c>
      <c r="S60" s="13">
        <f>$I$8*$S$8</f>
        <v>0</v>
      </c>
      <c r="T60" s="13">
        <f>$I$8*$T$8</f>
        <v>0</v>
      </c>
      <c r="U60" s="13">
        <f>$I$8*$U$8</f>
        <v>0</v>
      </c>
      <c r="V60" s="13">
        <f>$I$8*$V$8</f>
        <v>0</v>
      </c>
      <c r="W60" s="13">
        <f>$I$8*$W$8</f>
        <v>0</v>
      </c>
      <c r="X60" s="13">
        <f>$I$8*$X$8</f>
        <v>0</v>
      </c>
      <c r="Y60" s="13">
        <f>$I$8*$Y$8</f>
        <v>0</v>
      </c>
      <c r="Z60" s="13">
        <f>$I$8*$Z$8</f>
        <v>0</v>
      </c>
      <c r="AA60" s="13">
        <f>$I$8*$AA$8</f>
        <v>0</v>
      </c>
      <c r="AB60" s="13">
        <f ca="1">$I$8*$AB$8</f>
        <v>0</v>
      </c>
      <c r="AC60" s="13">
        <f ca="1">$I$8*$AC$8</f>
        <v>0</v>
      </c>
      <c r="AD60" s="13">
        <f>$I$8*$AD$8</f>
        <v>0</v>
      </c>
      <c r="AE60" s="13">
        <f>$I$8*$AE$8</f>
        <v>0</v>
      </c>
      <c r="AF60" s="13">
        <f ca="1">$I$8*$AF$8</f>
        <v>0</v>
      </c>
      <c r="AG60" s="13">
        <f ca="1">$I$8*$AG$8</f>
        <v>0</v>
      </c>
      <c r="AI60" s="13">
        <f>$I$8*$AI$8</f>
        <v>0</v>
      </c>
      <c r="AJ60" s="13">
        <f>$I$8*$AJ$8</f>
        <v>0</v>
      </c>
      <c r="AK60" s="13">
        <f>$I$8*$AK$8</f>
        <v>0</v>
      </c>
      <c r="AL60" s="13">
        <f>$I$8*$AL$8</f>
        <v>0</v>
      </c>
      <c r="AM60" s="13">
        <f>$I$8*$AM$8</f>
        <v>0</v>
      </c>
      <c r="AN60" s="13">
        <f>$I$8*$AN$8</f>
        <v>0</v>
      </c>
      <c r="AO60" s="13">
        <f>$I$8*$AO$8</f>
        <v>0</v>
      </c>
      <c r="AP60" s="13">
        <f>$I$8*$AP$8</f>
        <v>0</v>
      </c>
      <c r="AQ60" s="13">
        <f>$I$8*$AQ$8</f>
        <v>0</v>
      </c>
      <c r="AR60" s="13">
        <f>$I$8*$AR$8</f>
        <v>0</v>
      </c>
      <c r="AS60" s="13">
        <f>$I$8*$AS$8</f>
        <v>0</v>
      </c>
      <c r="AT60" s="13">
        <f>$I$8*$AT$8</f>
        <v>0</v>
      </c>
      <c r="AU60" s="13">
        <f>$I$8*$AU$8</f>
        <v>0</v>
      </c>
      <c r="AV60" s="13">
        <f>$I$8*$AV$8</f>
        <v>0</v>
      </c>
      <c r="AW60" s="13">
        <f>$I$8*$AW$8</f>
        <v>0</v>
      </c>
      <c r="AX60" s="13">
        <f>$I$8*$AX$8</f>
        <v>0</v>
      </c>
      <c r="AY60" s="13">
        <f>$I$8*$AY$8</f>
        <v>0</v>
      </c>
      <c r="AZ60" s="13">
        <f>$I$8*$AZ$8</f>
        <v>0</v>
      </c>
      <c r="BA60" s="13">
        <f>$I$8*$BA$8</f>
        <v>0</v>
      </c>
      <c r="BB60" s="13">
        <f>$I$8*$BB$8</f>
        <v>0</v>
      </c>
      <c r="BC60" s="13">
        <f>$I$8*$BC$8</f>
        <v>0</v>
      </c>
      <c r="BD60" s="13">
        <f>$I$8*$BD$8</f>
        <v>0</v>
      </c>
    </row>
    <row r="61" spans="1:56" ht="11.25" customHeight="1" x14ac:dyDescent="0.25">
      <c r="A61" s="9" t="s">
        <v>35</v>
      </c>
      <c r="B61" s="9" t="s">
        <v>699</v>
      </c>
      <c r="C61" s="9" t="s">
        <v>700</v>
      </c>
      <c r="D61" s="9" t="s">
        <v>701</v>
      </c>
      <c r="E61" s="9" t="s">
        <v>702</v>
      </c>
      <c r="F61" s="9" t="s">
        <v>703</v>
      </c>
      <c r="G61" s="9" t="s">
        <v>704</v>
      </c>
      <c r="L61" s="13">
        <f>$I$9*$L$9</f>
        <v>0</v>
      </c>
      <c r="M61" s="13">
        <f>$I$9*$M$9</f>
        <v>3240.6507763201248</v>
      </c>
      <c r="N61" s="13">
        <f ca="1">$I$9*$N$9</f>
        <v>0</v>
      </c>
      <c r="O61" s="13">
        <f>$I$9*$O$9</f>
        <v>0</v>
      </c>
      <c r="P61" s="13">
        <f>$I$9*$P$9</f>
        <v>0</v>
      </c>
      <c r="Q61" s="13">
        <f>$I$9*$Q$9</f>
        <v>0</v>
      </c>
      <c r="R61" s="13">
        <f>$I$9*$R$9</f>
        <v>0</v>
      </c>
      <c r="S61" s="13">
        <f>$I$9*$S$9</f>
        <v>0</v>
      </c>
      <c r="T61" s="13">
        <f>$I$9*$T$9</f>
        <v>0</v>
      </c>
      <c r="U61" s="13">
        <f>$I$9*$U$9</f>
        <v>0</v>
      </c>
      <c r="V61" s="13">
        <f>$I$9*$V$9</f>
        <v>0</v>
      </c>
      <c r="W61" s="13">
        <f>$I$9*$W$9</f>
        <v>0</v>
      </c>
      <c r="X61" s="13">
        <f>$I$9*$X$9</f>
        <v>0</v>
      </c>
      <c r="Y61" s="13">
        <f>$I$9*$Y$9</f>
        <v>0</v>
      </c>
      <c r="Z61" s="13">
        <f>$I$9*$Z$9</f>
        <v>0</v>
      </c>
      <c r="AA61" s="13">
        <f>$I$9*$AA$9</f>
        <v>246333.24621712608</v>
      </c>
      <c r="AB61" s="13">
        <f ca="1">$I$9*$AB$9</f>
        <v>0</v>
      </c>
      <c r="AC61" s="13">
        <f ca="1">$I$9*$AC$9</f>
        <v>0</v>
      </c>
      <c r="AD61" s="13">
        <f>$I$9*$AD$9</f>
        <v>0</v>
      </c>
      <c r="AE61" s="13">
        <f>$I$9*$AE$9</f>
        <v>0</v>
      </c>
      <c r="AF61" s="13">
        <f ca="1">$I$9*$AF$9</f>
        <v>0</v>
      </c>
      <c r="AG61" s="13">
        <f ca="1">$I$9*$AG$9</f>
        <v>0</v>
      </c>
      <c r="AI61" s="13">
        <f>$I$9*$AI$9</f>
        <v>0</v>
      </c>
      <c r="AJ61" s="13">
        <f>$I$9*$AJ$9</f>
        <v>409.04884835863686</v>
      </c>
      <c r="AK61" s="13">
        <f>$I$9*$AK$9</f>
        <v>0</v>
      </c>
      <c r="AL61" s="13">
        <f>$I$9*$AL$9</f>
        <v>0</v>
      </c>
      <c r="AM61" s="13">
        <f>$I$9*$AM$9</f>
        <v>0</v>
      </c>
      <c r="AN61" s="13">
        <f>$I$9*$AN$9</f>
        <v>0</v>
      </c>
      <c r="AO61" s="13">
        <f>$I$9*$AO$9</f>
        <v>0</v>
      </c>
      <c r="AP61" s="13">
        <f>$I$9*$AP$9</f>
        <v>0</v>
      </c>
      <c r="AQ61" s="13">
        <f>$I$9*$AQ$9</f>
        <v>0</v>
      </c>
      <c r="AR61" s="13">
        <f>$I$9*$AR$9</f>
        <v>0</v>
      </c>
      <c r="AS61" s="13">
        <f>$I$9*$AS$9</f>
        <v>0</v>
      </c>
      <c r="AT61" s="13">
        <f>$I$9*$AT$9</f>
        <v>0</v>
      </c>
      <c r="AU61" s="13">
        <f>$I$9*$AU$9</f>
        <v>0</v>
      </c>
      <c r="AV61" s="13">
        <f>$I$9*$AV$9</f>
        <v>0</v>
      </c>
      <c r="AW61" s="13">
        <f>$I$9*$AW$9</f>
        <v>0</v>
      </c>
      <c r="AX61" s="13">
        <f>$I$9*$AX$9</f>
        <v>187352.93790804819</v>
      </c>
      <c r="AY61" s="13">
        <f>$I$9*$AY$9</f>
        <v>0</v>
      </c>
      <c r="AZ61" s="13">
        <f>$I$9*$AZ$9</f>
        <v>0</v>
      </c>
      <c r="BA61" s="13">
        <f>$I$9*$BA$9</f>
        <v>13.333128513527921</v>
      </c>
      <c r="BB61" s="13">
        <f>$I$9*$BB$9</f>
        <v>0</v>
      </c>
      <c r="BC61" s="13">
        <f>$I$9*$BC$9</f>
        <v>0</v>
      </c>
      <c r="BD61" s="13">
        <f>$I$9*$BD$9</f>
        <v>0</v>
      </c>
    </row>
    <row r="62" spans="1:56" ht="11.25" customHeight="1" x14ac:dyDescent="0.25">
      <c r="A62" s="9" t="s">
        <v>35</v>
      </c>
      <c r="B62" s="9" t="s">
        <v>705</v>
      </c>
      <c r="C62" s="9" t="s">
        <v>706</v>
      </c>
      <c r="D62" s="9" t="s">
        <v>707</v>
      </c>
      <c r="E62" s="9" t="s">
        <v>708</v>
      </c>
      <c r="F62" s="9" t="s">
        <v>709</v>
      </c>
      <c r="G62" s="9" t="s">
        <v>710</v>
      </c>
      <c r="L62" s="13">
        <f>$I$10*$L$10</f>
        <v>0</v>
      </c>
      <c r="M62" s="13">
        <f>$I$10*$M$10</f>
        <v>0</v>
      </c>
      <c r="N62" s="13">
        <f ca="1">$I$10*$N$10</f>
        <v>0</v>
      </c>
      <c r="O62" s="13">
        <f>$I$10*$O$10</f>
        <v>0</v>
      </c>
      <c r="P62" s="13">
        <f>$I$10*$P$10</f>
        <v>0</v>
      </c>
      <c r="Q62" s="13">
        <f>$I$10*$Q$10</f>
        <v>0</v>
      </c>
      <c r="R62" s="13">
        <f>$I$10*$R$10</f>
        <v>0</v>
      </c>
      <c r="S62" s="13">
        <f>$I$10*$S$10</f>
        <v>0</v>
      </c>
      <c r="T62" s="13">
        <f>$I$10*$T$10</f>
        <v>0</v>
      </c>
      <c r="U62" s="13">
        <f>$I$10*$U$10</f>
        <v>0</v>
      </c>
      <c r="V62" s="13">
        <f>$I$10*$V$10</f>
        <v>0</v>
      </c>
      <c r="W62" s="13">
        <f>$I$10*$W$10</f>
        <v>0</v>
      </c>
      <c r="X62" s="13">
        <f>$I$10*$X$10</f>
        <v>1644776.926405425</v>
      </c>
      <c r="Y62" s="13">
        <f>$I$10*$Y$10</f>
        <v>0</v>
      </c>
      <c r="Z62" s="13">
        <f>$I$10*$Z$10</f>
        <v>0</v>
      </c>
      <c r="AA62" s="13">
        <f>$I$10*$AA$10</f>
        <v>1519957.649510171</v>
      </c>
      <c r="AB62" s="13">
        <f ca="1">$I$10*$AB$10</f>
        <v>0</v>
      </c>
      <c r="AC62" s="13">
        <f ca="1">$I$10*$AC$10</f>
        <v>0</v>
      </c>
      <c r="AD62" s="13">
        <f>$I$10*$AD$10</f>
        <v>0</v>
      </c>
      <c r="AE62" s="13">
        <f>$I$10*$AE$10</f>
        <v>0</v>
      </c>
      <c r="AF62" s="13">
        <f ca="1">$I$10*$AF$10</f>
        <v>0</v>
      </c>
      <c r="AG62" s="13">
        <f ca="1">$I$10*$AG$10</f>
        <v>0</v>
      </c>
      <c r="AI62" s="13">
        <f>$I$10*$AI$10</f>
        <v>0</v>
      </c>
      <c r="AJ62" s="13">
        <f>$I$10*$AJ$10</f>
        <v>0</v>
      </c>
      <c r="AK62" s="13">
        <f>$I$10*$AK$10</f>
        <v>0</v>
      </c>
      <c r="AL62" s="13">
        <f>$I$10*$AL$10</f>
        <v>0</v>
      </c>
      <c r="AM62" s="13">
        <f>$I$10*$AM$10</f>
        <v>0</v>
      </c>
      <c r="AN62" s="13">
        <f>$I$10*$AN$10</f>
        <v>0</v>
      </c>
      <c r="AO62" s="13">
        <f>$I$10*$AO$10</f>
        <v>0</v>
      </c>
      <c r="AP62" s="13">
        <f>$I$10*$AP$10</f>
        <v>0</v>
      </c>
      <c r="AQ62" s="13">
        <f>$I$10*$AQ$10</f>
        <v>0</v>
      </c>
      <c r="AR62" s="13">
        <f>$I$10*$AR$10</f>
        <v>0</v>
      </c>
      <c r="AS62" s="13">
        <f>$I$10*$AS$10</f>
        <v>0</v>
      </c>
      <c r="AT62" s="13">
        <f>$I$10*$AT$10</f>
        <v>0</v>
      </c>
      <c r="AU62" s="13">
        <f>$I$10*$AU$10</f>
        <v>1830317.9176249527</v>
      </c>
      <c r="AV62" s="13">
        <f>$I$10*$AV$10</f>
        <v>0</v>
      </c>
      <c r="AW62" s="13">
        <f>$I$10*$AW$10</f>
        <v>0</v>
      </c>
      <c r="AX62" s="13">
        <f>$I$10*$AX$10</f>
        <v>924621.00172184641</v>
      </c>
      <c r="AY62" s="13">
        <f>$I$10*$AY$10</f>
        <v>0</v>
      </c>
      <c r="AZ62" s="13">
        <f>$I$10*$AZ$10</f>
        <v>0</v>
      </c>
      <c r="BA62" s="13">
        <f>$I$10*$BA$10</f>
        <v>0</v>
      </c>
      <c r="BB62" s="13">
        <f>$I$10*$BB$10</f>
        <v>0</v>
      </c>
      <c r="BC62" s="13">
        <f>$I$10*$BC$10</f>
        <v>0</v>
      </c>
      <c r="BD62" s="13">
        <f>$I$10*$BD$10</f>
        <v>0</v>
      </c>
    </row>
    <row r="63" spans="1:56" ht="11.25" customHeight="1" x14ac:dyDescent="0.25">
      <c r="A63" s="9" t="s">
        <v>35</v>
      </c>
      <c r="B63" s="9" t="s">
        <v>705</v>
      </c>
      <c r="C63" s="9" t="s">
        <v>706</v>
      </c>
      <c r="D63" s="9" t="s">
        <v>707</v>
      </c>
      <c r="E63" s="9" t="s">
        <v>708</v>
      </c>
      <c r="F63" s="9" t="s">
        <v>709</v>
      </c>
      <c r="G63" s="9" t="s">
        <v>711</v>
      </c>
      <c r="L63" s="13">
        <f>$I$11*$L$11</f>
        <v>0</v>
      </c>
      <c r="M63" s="13">
        <f>$I$11*$M$11</f>
        <v>397.83160821259929</v>
      </c>
      <c r="N63" s="13">
        <f ca="1">$I$11*$N$11</f>
        <v>0</v>
      </c>
      <c r="O63" s="13">
        <f>$I$11*$O$11</f>
        <v>0</v>
      </c>
      <c r="P63" s="13">
        <f>$I$11*$P$11</f>
        <v>0</v>
      </c>
      <c r="Q63" s="13">
        <f>$I$11*$Q$11</f>
        <v>26714.711373792241</v>
      </c>
      <c r="R63" s="13">
        <f>$I$11*$R$11</f>
        <v>5018.1423754950583</v>
      </c>
      <c r="S63" s="13">
        <f>$I$11*$S$11</f>
        <v>0</v>
      </c>
      <c r="T63" s="13">
        <f>$I$11*$T$11</f>
        <v>0</v>
      </c>
      <c r="U63" s="13">
        <f>$I$11*$U$11</f>
        <v>0</v>
      </c>
      <c r="V63" s="13">
        <f>$I$11*$V$11</f>
        <v>0</v>
      </c>
      <c r="W63" s="13">
        <f>$I$11*$W$11</f>
        <v>0</v>
      </c>
      <c r="X63" s="13">
        <f>$I$11*$X$11</f>
        <v>370605.86007951619</v>
      </c>
      <c r="Y63" s="13">
        <f>$I$11*$Y$11</f>
        <v>0</v>
      </c>
      <c r="Z63" s="13">
        <f>$I$11*$Z$11</f>
        <v>0</v>
      </c>
      <c r="AA63" s="13">
        <f>$I$11*$AA$11</f>
        <v>403273.88720878348</v>
      </c>
      <c r="AB63" s="13">
        <f ca="1">$I$11*$AB$11</f>
        <v>0</v>
      </c>
      <c r="AC63" s="13">
        <f ca="1">$I$11*$AC$11</f>
        <v>0</v>
      </c>
      <c r="AD63" s="13">
        <f>$I$11*$AD$11</f>
        <v>2006.2579016448019</v>
      </c>
      <c r="AE63" s="13">
        <f>$I$11*$AE$11</f>
        <v>70.380829535384166</v>
      </c>
      <c r="AF63" s="13">
        <f ca="1">$I$11*$AF$11</f>
        <v>0</v>
      </c>
      <c r="AG63" s="13">
        <f ca="1">$I$11*$AG$11</f>
        <v>0</v>
      </c>
      <c r="AI63" s="13">
        <f>$I$11*$AI$11</f>
        <v>0</v>
      </c>
      <c r="AJ63" s="13">
        <f>$I$11*$AJ$11</f>
        <v>330.94846634590965</v>
      </c>
      <c r="AK63" s="13">
        <f>$I$11*$AK$11</f>
        <v>0</v>
      </c>
      <c r="AL63" s="13">
        <f>$I$11*$AL$11</f>
        <v>0</v>
      </c>
      <c r="AM63" s="13">
        <f>$I$11*$AM$11</f>
        <v>0</v>
      </c>
      <c r="AN63" s="13">
        <f>$I$11*$AN$11</f>
        <v>17552.87987926343</v>
      </c>
      <c r="AO63" s="13">
        <f>$I$11*$AO$11</f>
        <v>3145.8395522146393</v>
      </c>
      <c r="AP63" s="13">
        <f>$I$11*$AP$11</f>
        <v>0</v>
      </c>
      <c r="AQ63" s="13">
        <f>$I$11*$AQ$11</f>
        <v>0</v>
      </c>
      <c r="AR63" s="13">
        <f>$I$11*$AR$11</f>
        <v>0</v>
      </c>
      <c r="AS63" s="13">
        <f>$I$11*$AS$11</f>
        <v>0</v>
      </c>
      <c r="AT63" s="13">
        <f>$I$11*$AT$11</f>
        <v>0</v>
      </c>
      <c r="AU63" s="13">
        <f>$I$11*$AU$11</f>
        <v>233607.20009492006</v>
      </c>
      <c r="AV63" s="13">
        <f>$I$11*$AV$11</f>
        <v>0</v>
      </c>
      <c r="AW63" s="13">
        <f>$I$11*$AW$11</f>
        <v>0</v>
      </c>
      <c r="AX63" s="13">
        <f>$I$11*$AX$11</f>
        <v>490501.53160977509</v>
      </c>
      <c r="AY63" s="13">
        <f>$I$11*$AY$11</f>
        <v>0</v>
      </c>
      <c r="AZ63" s="13">
        <f>$I$11*$AZ$11</f>
        <v>0</v>
      </c>
      <c r="BA63" s="13">
        <f>$I$11*$BA$11</f>
        <v>3219.503216499701</v>
      </c>
      <c r="BB63" s="13">
        <f>$I$11*$BB$11</f>
        <v>0</v>
      </c>
      <c r="BC63" s="13">
        <f>$I$11*$BC$11</f>
        <v>0</v>
      </c>
      <c r="BD63" s="13">
        <f>$I$11*$BD$11</f>
        <v>0</v>
      </c>
    </row>
    <row r="64" spans="1:56" ht="11.25" customHeight="1" x14ac:dyDescent="0.25">
      <c r="A64" s="9" t="s">
        <v>35</v>
      </c>
      <c r="B64" s="9" t="s">
        <v>705</v>
      </c>
      <c r="C64" s="9" t="s">
        <v>706</v>
      </c>
      <c r="D64" s="9" t="s">
        <v>707</v>
      </c>
      <c r="E64" s="9" t="s">
        <v>708</v>
      </c>
      <c r="F64" s="9" t="s">
        <v>709</v>
      </c>
      <c r="G64" s="9" t="s">
        <v>712</v>
      </c>
      <c r="L64" s="13">
        <f>$I$12*$L$12</f>
        <v>0</v>
      </c>
      <c r="M64" s="13">
        <f>$I$12*$M$12</f>
        <v>17274.167350614094</v>
      </c>
      <c r="N64" s="13">
        <f ca="1">$I$12*$N$12</f>
        <v>0</v>
      </c>
      <c r="O64" s="13">
        <f>$I$12*$O$12</f>
        <v>0</v>
      </c>
      <c r="P64" s="13">
        <f>$I$12*$P$12</f>
        <v>0</v>
      </c>
      <c r="Q64" s="13">
        <f>$I$12*$Q$12</f>
        <v>1159974.1837195379</v>
      </c>
      <c r="R64" s="13">
        <f>$I$12*$R$12</f>
        <v>217891.76474179534</v>
      </c>
      <c r="S64" s="13">
        <f>$I$12*$S$12</f>
        <v>0</v>
      </c>
      <c r="T64" s="13">
        <f>$I$12*$T$12</f>
        <v>0</v>
      </c>
      <c r="U64" s="13">
        <f>$I$12*$U$12</f>
        <v>0</v>
      </c>
      <c r="V64" s="13">
        <f>$I$12*$V$12</f>
        <v>0</v>
      </c>
      <c r="W64" s="13">
        <f>$I$12*$W$12</f>
        <v>0</v>
      </c>
      <c r="X64" s="13">
        <f>$I$12*$X$12</f>
        <v>0</v>
      </c>
      <c r="Y64" s="13">
        <f>$I$12*$Y$12</f>
        <v>0</v>
      </c>
      <c r="Z64" s="13">
        <f>$I$12*$Z$12</f>
        <v>0</v>
      </c>
      <c r="AA64" s="13">
        <f>$I$12*$AA$12</f>
        <v>0</v>
      </c>
      <c r="AB64" s="13">
        <f ca="1">$I$12*$AB$12</f>
        <v>0</v>
      </c>
      <c r="AC64" s="13">
        <f ca="1">$I$12*$AC$12</f>
        <v>0</v>
      </c>
      <c r="AD64" s="13">
        <f>$I$12*$AD$12</f>
        <v>87113.326407649205</v>
      </c>
      <c r="AE64" s="13">
        <f>$I$12*$AE$12</f>
        <v>3055.9920392739823</v>
      </c>
      <c r="AF64" s="13">
        <f ca="1">$I$12*$AF$12</f>
        <v>0</v>
      </c>
      <c r="AG64" s="13">
        <f ca="1">$I$12*$AG$12</f>
        <v>0</v>
      </c>
      <c r="AI64" s="13">
        <f>$I$12*$AI$12</f>
        <v>0</v>
      </c>
      <c r="AJ64" s="13">
        <f>$I$12*$AJ$12</f>
        <v>14370.047713838911</v>
      </c>
      <c r="AK64" s="13">
        <f>$I$12*$AK$12</f>
        <v>0</v>
      </c>
      <c r="AL64" s="13">
        <f>$I$12*$AL$12</f>
        <v>0</v>
      </c>
      <c r="AM64" s="13">
        <f>$I$12*$AM$12</f>
        <v>0</v>
      </c>
      <c r="AN64" s="13">
        <f>$I$12*$AN$12</f>
        <v>762160.11563764117</v>
      </c>
      <c r="AO64" s="13">
        <f>$I$12*$AO$12</f>
        <v>136594.87522192206</v>
      </c>
      <c r="AP64" s="13">
        <f>$I$12*$AP$12</f>
        <v>0</v>
      </c>
      <c r="AQ64" s="13">
        <f>$I$12*$AQ$12</f>
        <v>0</v>
      </c>
      <c r="AR64" s="13">
        <f>$I$12*$AR$12</f>
        <v>0</v>
      </c>
      <c r="AS64" s="13">
        <f>$I$12*$AS$12</f>
        <v>0</v>
      </c>
      <c r="AT64" s="13">
        <f>$I$12*$AT$12</f>
        <v>0</v>
      </c>
      <c r="AU64" s="13">
        <f>$I$12*$AU$12</f>
        <v>0</v>
      </c>
      <c r="AV64" s="13">
        <f>$I$12*$AV$12</f>
        <v>0</v>
      </c>
      <c r="AW64" s="13">
        <f>$I$12*$AW$12</f>
        <v>0</v>
      </c>
      <c r="AX64" s="13">
        <f>$I$12*$AX$12</f>
        <v>0</v>
      </c>
      <c r="AY64" s="13">
        <f>$I$12*$AY$12</f>
        <v>0</v>
      </c>
      <c r="AZ64" s="13">
        <f>$I$12*$AZ$12</f>
        <v>0</v>
      </c>
      <c r="BA64" s="13">
        <f>$I$12*$BA$12</f>
        <v>139793.41057771412</v>
      </c>
      <c r="BB64" s="13">
        <f>$I$12*$BB$12</f>
        <v>0</v>
      </c>
      <c r="BC64" s="13">
        <f>$I$12*$BC$12</f>
        <v>0</v>
      </c>
      <c r="BD64" s="13">
        <f>$I$12*$BD$12</f>
        <v>0</v>
      </c>
    </row>
    <row r="65" spans="1:56" ht="11.25" customHeight="1" x14ac:dyDescent="0.25">
      <c r="A65" s="9" t="s">
        <v>35</v>
      </c>
      <c r="B65" s="9" t="s">
        <v>705</v>
      </c>
      <c r="C65" s="9" t="s">
        <v>706</v>
      </c>
      <c r="D65" s="9" t="s">
        <v>707</v>
      </c>
      <c r="E65" s="9" t="s">
        <v>713</v>
      </c>
      <c r="F65" s="9" t="s">
        <v>714</v>
      </c>
      <c r="G65" s="9" t="s">
        <v>715</v>
      </c>
      <c r="L65" s="13">
        <f>$I$13*$L$13</f>
        <v>0</v>
      </c>
      <c r="M65" s="13">
        <f>$I$13*$M$13</f>
        <v>0</v>
      </c>
      <c r="N65" s="13">
        <f ca="1">$I$13*$N$13</f>
        <v>0</v>
      </c>
      <c r="O65" s="13">
        <f>$I$13*$O$13</f>
        <v>0</v>
      </c>
      <c r="P65" s="13">
        <f>$I$13*$P$13</f>
        <v>0</v>
      </c>
      <c r="Q65" s="13">
        <f>$I$13*$Q$13</f>
        <v>0</v>
      </c>
      <c r="R65" s="13">
        <f>$I$13*$R$13</f>
        <v>0</v>
      </c>
      <c r="S65" s="13">
        <f>$I$13*$S$13</f>
        <v>0</v>
      </c>
      <c r="T65" s="13">
        <f>$I$13*$T$13</f>
        <v>0</v>
      </c>
      <c r="U65" s="13">
        <f>$I$13*$U$13</f>
        <v>0</v>
      </c>
      <c r="V65" s="13">
        <f>$I$13*$V$13</f>
        <v>0</v>
      </c>
      <c r="W65" s="13">
        <f>$I$13*$W$13</f>
        <v>0</v>
      </c>
      <c r="X65" s="13">
        <f>$I$13*$X$13</f>
        <v>0</v>
      </c>
      <c r="Y65" s="13">
        <f>$I$13*$Y$13</f>
        <v>0</v>
      </c>
      <c r="Z65" s="13">
        <f>$I$13*$Z$13</f>
        <v>0</v>
      </c>
      <c r="AA65" s="13">
        <f>$I$13*$AA$13</f>
        <v>0</v>
      </c>
      <c r="AB65" s="13">
        <f ca="1">$I$13*$AB$13</f>
        <v>0</v>
      </c>
      <c r="AC65" s="13">
        <f ca="1">$I$13*$AC$13</f>
        <v>0</v>
      </c>
      <c r="AD65" s="13">
        <f>$I$13*$AD$13</f>
        <v>0</v>
      </c>
      <c r="AE65" s="13">
        <f>$I$13*$AE$13</f>
        <v>0</v>
      </c>
      <c r="AF65" s="13">
        <f ca="1">$I$13*$AF$13</f>
        <v>0</v>
      </c>
      <c r="AG65" s="13">
        <f ca="1">$I$13*$AG$13</f>
        <v>0</v>
      </c>
      <c r="AI65" s="13">
        <f>$I$13*$AI$13</f>
        <v>0</v>
      </c>
      <c r="AJ65" s="13">
        <f>$I$13*$AJ$13</f>
        <v>0</v>
      </c>
      <c r="AK65" s="13">
        <f>$I$13*$AK$13</f>
        <v>0</v>
      </c>
      <c r="AL65" s="13">
        <f>$I$13*$AL$13</f>
        <v>0</v>
      </c>
      <c r="AM65" s="13">
        <f>$I$13*$AM$13</f>
        <v>0</v>
      </c>
      <c r="AN65" s="13">
        <f>$I$13*$AN$13</f>
        <v>0</v>
      </c>
      <c r="AO65" s="13">
        <f>$I$13*$AO$13</f>
        <v>0</v>
      </c>
      <c r="AP65" s="13">
        <f>$I$13*$AP$13</f>
        <v>0</v>
      </c>
      <c r="AQ65" s="13">
        <f>$I$13*$AQ$13</f>
        <v>0</v>
      </c>
      <c r="AR65" s="13">
        <f>$I$13*$AR$13</f>
        <v>0</v>
      </c>
      <c r="AS65" s="13">
        <f>$I$13*$AS$13</f>
        <v>0</v>
      </c>
      <c r="AT65" s="13">
        <f>$I$13*$AT$13</f>
        <v>0</v>
      </c>
      <c r="AU65" s="13">
        <f>$I$13*$AU$13</f>
        <v>0</v>
      </c>
      <c r="AV65" s="13">
        <f>$I$13*$AV$13</f>
        <v>0</v>
      </c>
      <c r="AW65" s="13">
        <f>$I$13*$AW$13</f>
        <v>0</v>
      </c>
      <c r="AX65" s="13">
        <f>$I$13*$AX$13</f>
        <v>0</v>
      </c>
      <c r="AY65" s="13">
        <f>$I$13*$AY$13</f>
        <v>0</v>
      </c>
      <c r="AZ65" s="13">
        <f>$I$13*$AZ$13</f>
        <v>0</v>
      </c>
      <c r="BA65" s="13">
        <f>$I$13*$BA$13</f>
        <v>0</v>
      </c>
      <c r="BB65" s="13">
        <f>$I$13*$BB$13</f>
        <v>0</v>
      </c>
      <c r="BC65" s="13">
        <f>$I$13*$BC$13</f>
        <v>0</v>
      </c>
      <c r="BD65" s="13">
        <f>$I$13*$BD$13</f>
        <v>0</v>
      </c>
    </row>
    <row r="66" spans="1:56" ht="11.25" customHeight="1" x14ac:dyDescent="0.25">
      <c r="A66" s="9" t="s">
        <v>35</v>
      </c>
      <c r="B66" s="9" t="s">
        <v>705</v>
      </c>
      <c r="C66" s="9" t="s">
        <v>706</v>
      </c>
      <c r="D66" s="9" t="s">
        <v>707</v>
      </c>
      <c r="E66" s="9" t="s">
        <v>713</v>
      </c>
      <c r="F66" s="9" t="s">
        <v>714</v>
      </c>
      <c r="G66" s="9" t="s">
        <v>716</v>
      </c>
      <c r="L66" s="13">
        <f>$I$14*$L$14</f>
        <v>0</v>
      </c>
      <c r="M66" s="13">
        <f>$I$14*$M$14</f>
        <v>0</v>
      </c>
      <c r="N66" s="13">
        <f ca="1">$I$14*$N$14</f>
        <v>0</v>
      </c>
      <c r="O66" s="13">
        <f>$I$14*$O$14</f>
        <v>0</v>
      </c>
      <c r="P66" s="13">
        <f>$I$14*$P$14</f>
        <v>0</v>
      </c>
      <c r="Q66" s="13">
        <f>$I$14*$Q$14</f>
        <v>0</v>
      </c>
      <c r="R66" s="13">
        <f>$I$14*$R$14</f>
        <v>0</v>
      </c>
      <c r="S66" s="13">
        <f>$I$14*$S$14</f>
        <v>0</v>
      </c>
      <c r="T66" s="13">
        <f>$I$14*$T$14</f>
        <v>0</v>
      </c>
      <c r="U66" s="13">
        <f>$I$14*$U$14</f>
        <v>0</v>
      </c>
      <c r="V66" s="13">
        <f>$I$14*$V$14</f>
        <v>0</v>
      </c>
      <c r="W66" s="13">
        <f>$I$14*$W$14</f>
        <v>0</v>
      </c>
      <c r="X66" s="13">
        <f>$I$14*$X$14</f>
        <v>0</v>
      </c>
      <c r="Y66" s="13">
        <f>$I$14*$Y$14</f>
        <v>0</v>
      </c>
      <c r="Z66" s="13">
        <f>$I$14*$Z$14</f>
        <v>0</v>
      </c>
      <c r="AA66" s="13">
        <f>$I$14*$AA$14</f>
        <v>0</v>
      </c>
      <c r="AB66" s="13">
        <f ca="1">$I$14*$AB$14</f>
        <v>0</v>
      </c>
      <c r="AC66" s="13">
        <f ca="1">$I$14*$AC$14</f>
        <v>0</v>
      </c>
      <c r="AD66" s="13">
        <f>$I$14*$AD$14</f>
        <v>0</v>
      </c>
      <c r="AE66" s="13">
        <f>$I$14*$AE$14</f>
        <v>0</v>
      </c>
      <c r="AF66" s="13">
        <f ca="1">$I$14*$AF$14</f>
        <v>0</v>
      </c>
      <c r="AG66" s="13">
        <f ca="1">$I$14*$AG$14</f>
        <v>0</v>
      </c>
      <c r="AI66" s="13">
        <f>$I$14*$AI$14</f>
        <v>0</v>
      </c>
      <c r="AJ66" s="13">
        <f>$I$14*$AJ$14</f>
        <v>0</v>
      </c>
      <c r="AK66" s="13">
        <f>$I$14*$AK$14</f>
        <v>0</v>
      </c>
      <c r="AL66" s="13">
        <f>$I$14*$AL$14</f>
        <v>0</v>
      </c>
      <c r="AM66" s="13">
        <f>$I$14*$AM$14</f>
        <v>0</v>
      </c>
      <c r="AN66" s="13">
        <f>$I$14*$AN$14</f>
        <v>0</v>
      </c>
      <c r="AO66" s="13">
        <f>$I$14*$AO$14</f>
        <v>0</v>
      </c>
      <c r="AP66" s="13">
        <f>$I$14*$AP$14</f>
        <v>0</v>
      </c>
      <c r="AQ66" s="13">
        <f>$I$14*$AQ$14</f>
        <v>0</v>
      </c>
      <c r="AR66" s="13">
        <f>$I$14*$AR$14</f>
        <v>0</v>
      </c>
      <c r="AS66" s="13">
        <f>$I$14*$AS$14</f>
        <v>0</v>
      </c>
      <c r="AT66" s="13">
        <f>$I$14*$AT$14</f>
        <v>0</v>
      </c>
      <c r="AU66" s="13">
        <f>$I$14*$AU$14</f>
        <v>0</v>
      </c>
      <c r="AV66" s="13">
        <f>$I$14*$AV$14</f>
        <v>0</v>
      </c>
      <c r="AW66" s="13">
        <f>$I$14*$AW$14</f>
        <v>0</v>
      </c>
      <c r="AX66" s="13">
        <f>$I$14*$AX$14</f>
        <v>0</v>
      </c>
      <c r="AY66" s="13">
        <f>$I$14*$AY$14</f>
        <v>0</v>
      </c>
      <c r="AZ66" s="13">
        <f>$I$14*$AZ$14</f>
        <v>0</v>
      </c>
      <c r="BA66" s="13">
        <f>$I$14*$BA$14</f>
        <v>0</v>
      </c>
      <c r="BB66" s="13">
        <f>$I$14*$BB$14</f>
        <v>0</v>
      </c>
      <c r="BC66" s="13">
        <f>$I$14*$BC$14</f>
        <v>0</v>
      </c>
      <c r="BD66" s="13">
        <f>$I$14*$BD$14</f>
        <v>0</v>
      </c>
    </row>
    <row r="67" spans="1:56" ht="11.25" customHeight="1" x14ac:dyDescent="0.25">
      <c r="A67" s="9" t="s">
        <v>82</v>
      </c>
      <c r="B67" s="9" t="s">
        <v>717</v>
      </c>
      <c r="C67" s="9" t="s">
        <v>718</v>
      </c>
      <c r="D67" s="9" t="s">
        <v>719</v>
      </c>
      <c r="E67" s="9" t="s">
        <v>720</v>
      </c>
      <c r="F67" s="9" t="s">
        <v>721</v>
      </c>
      <c r="G67" s="9" t="s">
        <v>722</v>
      </c>
      <c r="L67" s="13">
        <f>$I$15*$L$15</f>
        <v>0</v>
      </c>
      <c r="M67" s="13">
        <f>$I$15*$M$15</f>
        <v>7.0693272004571877E-10</v>
      </c>
      <c r="N67" s="13">
        <f ca="1">$I$15*$N$15</f>
        <v>0</v>
      </c>
      <c r="O67" s="13">
        <f>$I$15*$O$15</f>
        <v>0</v>
      </c>
      <c r="P67" s="13">
        <f>$I$15*$P$15</f>
        <v>0</v>
      </c>
      <c r="Q67" s="13">
        <f>$I$15*$Q$15</f>
        <v>0</v>
      </c>
      <c r="R67" s="13">
        <f>$I$15*$R$15</f>
        <v>0</v>
      </c>
      <c r="S67" s="13">
        <f>$I$15*$S$15</f>
        <v>0</v>
      </c>
      <c r="T67" s="13">
        <f>$I$15*$T$15</f>
        <v>0</v>
      </c>
      <c r="U67" s="13">
        <f>$I$15*$U$15</f>
        <v>0</v>
      </c>
      <c r="V67" s="13">
        <f>$I$15*$V$15</f>
        <v>0</v>
      </c>
      <c r="W67" s="13">
        <f>$I$15*$W$15</f>
        <v>0</v>
      </c>
      <c r="X67" s="13">
        <f>$I$15*$X$15</f>
        <v>0</v>
      </c>
      <c r="Y67" s="13">
        <f>$I$15*$Y$15</f>
        <v>0</v>
      </c>
      <c r="Z67" s="13">
        <f>$I$15*$Z$15</f>
        <v>0</v>
      </c>
      <c r="AA67" s="13">
        <f>$I$15*$AA$15</f>
        <v>1.0743962885207989E-7</v>
      </c>
      <c r="AB67" s="13">
        <f ca="1">$I$15*$AB$15</f>
        <v>0</v>
      </c>
      <c r="AC67" s="13">
        <f ca="1">$I$15*$AC$15</f>
        <v>0</v>
      </c>
      <c r="AD67" s="13">
        <f>$I$15*$AD$15</f>
        <v>0</v>
      </c>
      <c r="AE67" s="13">
        <f>$I$15*$AE$15</f>
        <v>0</v>
      </c>
      <c r="AF67" s="13">
        <f ca="1">$I$15*$AF$15</f>
        <v>0</v>
      </c>
      <c r="AG67" s="13">
        <f ca="1">$I$15*$AG$15</f>
        <v>0</v>
      </c>
      <c r="AI67" s="13">
        <f>$I$15*$AI$15</f>
        <v>0</v>
      </c>
      <c r="AJ67" s="13">
        <f>$I$15*$AJ$15</f>
        <v>0</v>
      </c>
      <c r="AK67" s="13">
        <f>$I$15*$AK$15</f>
        <v>0</v>
      </c>
      <c r="AL67" s="13">
        <f>$I$15*$AL$15</f>
        <v>0</v>
      </c>
      <c r="AM67" s="13">
        <f>$I$15*$AM$15</f>
        <v>0</v>
      </c>
      <c r="AN67" s="13">
        <f>$I$15*$AN$15</f>
        <v>0</v>
      </c>
      <c r="AO67" s="13">
        <f>$I$15*$AO$15</f>
        <v>0</v>
      </c>
      <c r="AP67" s="13">
        <f>$I$15*$AP$15</f>
        <v>0</v>
      </c>
      <c r="AQ67" s="13">
        <f>$I$15*$AQ$15</f>
        <v>0</v>
      </c>
      <c r="AR67" s="13">
        <f>$I$15*$AR$15</f>
        <v>0</v>
      </c>
      <c r="AS67" s="13">
        <f>$I$15*$AS$15</f>
        <v>0</v>
      </c>
      <c r="AT67" s="13">
        <f>$I$15*$AT$15</f>
        <v>0</v>
      </c>
      <c r="AU67" s="13">
        <f>$I$15*$AU$15</f>
        <v>0</v>
      </c>
      <c r="AV67" s="13">
        <f>$I$15*$AV$15</f>
        <v>0</v>
      </c>
      <c r="AW67" s="13">
        <f>$I$15*$AW$15</f>
        <v>0</v>
      </c>
      <c r="AX67" s="13">
        <f>$I$15*$AX$15</f>
        <v>0</v>
      </c>
      <c r="AY67" s="13">
        <f>$I$15*$AY$15</f>
        <v>0</v>
      </c>
      <c r="AZ67" s="13">
        <f>$I$15*$AZ$15</f>
        <v>0</v>
      </c>
      <c r="BA67" s="13">
        <f>$I$15*$BA$15</f>
        <v>0</v>
      </c>
      <c r="BB67" s="13">
        <f>$I$15*$BB$15</f>
        <v>0</v>
      </c>
      <c r="BC67" s="13">
        <f>$I$15*$BC$15</f>
        <v>0</v>
      </c>
      <c r="BD67" s="13">
        <f>$I$15*$BD$15</f>
        <v>0</v>
      </c>
    </row>
    <row r="68" spans="1:56" ht="11.25" customHeight="1" x14ac:dyDescent="0.25">
      <c r="A68" s="9" t="s">
        <v>82</v>
      </c>
      <c r="B68" s="9" t="s">
        <v>717</v>
      </c>
      <c r="C68" s="9" t="s">
        <v>718</v>
      </c>
      <c r="D68" s="9" t="s">
        <v>719</v>
      </c>
      <c r="E68" s="9" t="s">
        <v>723</v>
      </c>
      <c r="F68" s="9" t="s">
        <v>724</v>
      </c>
      <c r="G68" s="9" t="s">
        <v>725</v>
      </c>
      <c r="L68" s="13">
        <f>$I$16*$L$16</f>
        <v>0</v>
      </c>
      <c r="M68" s="13">
        <f>$I$16*$M$16</f>
        <v>7.0693272004571877E-10</v>
      </c>
      <c r="N68" s="13">
        <f ca="1">$I$16*$N$16</f>
        <v>0</v>
      </c>
      <c r="O68" s="13">
        <f>$I$16*$O$16</f>
        <v>0</v>
      </c>
      <c r="P68" s="13">
        <f>$I$16*$P$16</f>
        <v>0</v>
      </c>
      <c r="Q68" s="13">
        <f>$I$16*$Q$16</f>
        <v>0</v>
      </c>
      <c r="R68" s="13">
        <f>$I$16*$R$16</f>
        <v>0</v>
      </c>
      <c r="S68" s="13">
        <f>$I$16*$S$16</f>
        <v>0</v>
      </c>
      <c r="T68" s="13">
        <f>$I$16*$T$16</f>
        <v>0</v>
      </c>
      <c r="U68" s="13">
        <f>$I$16*$U$16</f>
        <v>0</v>
      </c>
      <c r="V68" s="13">
        <f>$I$16*$V$16</f>
        <v>0</v>
      </c>
      <c r="W68" s="13">
        <f>$I$16*$W$16</f>
        <v>0</v>
      </c>
      <c r="X68" s="13">
        <f>$I$16*$X$16</f>
        <v>0</v>
      </c>
      <c r="Y68" s="13">
        <f>$I$16*$Y$16</f>
        <v>0</v>
      </c>
      <c r="Z68" s="13">
        <f>$I$16*$Z$16</f>
        <v>0</v>
      </c>
      <c r="AA68" s="13">
        <f>$I$16*$AA$16</f>
        <v>2.667538176087493E-7</v>
      </c>
      <c r="AB68" s="13">
        <f ca="1">$I$16*$AB$16</f>
        <v>0</v>
      </c>
      <c r="AC68" s="13">
        <f ca="1">$I$16*$AC$16</f>
        <v>0</v>
      </c>
      <c r="AD68" s="13">
        <f>$I$16*$AD$16</f>
        <v>0</v>
      </c>
      <c r="AE68" s="13">
        <f>$I$16*$AE$16</f>
        <v>0</v>
      </c>
      <c r="AF68" s="13">
        <f ca="1">$I$16*$AF$16</f>
        <v>0</v>
      </c>
      <c r="AG68" s="13">
        <f ca="1">$I$16*$AG$16</f>
        <v>0</v>
      </c>
      <c r="AI68" s="13">
        <f>$I$16*$AI$16</f>
        <v>0</v>
      </c>
      <c r="AJ68" s="13">
        <f>$I$16*$AJ$16</f>
        <v>0</v>
      </c>
      <c r="AK68" s="13">
        <f>$I$16*$AK$16</f>
        <v>0</v>
      </c>
      <c r="AL68" s="13">
        <f>$I$16*$AL$16</f>
        <v>0</v>
      </c>
      <c r="AM68" s="13">
        <f>$I$16*$AM$16</f>
        <v>0</v>
      </c>
      <c r="AN68" s="13">
        <f>$I$16*$AN$16</f>
        <v>0</v>
      </c>
      <c r="AO68" s="13">
        <f>$I$16*$AO$16</f>
        <v>0</v>
      </c>
      <c r="AP68" s="13">
        <f>$I$16*$AP$16</f>
        <v>0</v>
      </c>
      <c r="AQ68" s="13">
        <f>$I$16*$AQ$16</f>
        <v>0</v>
      </c>
      <c r="AR68" s="13">
        <f>$I$16*$AR$16</f>
        <v>0</v>
      </c>
      <c r="AS68" s="13">
        <f>$I$16*$AS$16</f>
        <v>0</v>
      </c>
      <c r="AT68" s="13">
        <f>$I$16*$AT$16</f>
        <v>0</v>
      </c>
      <c r="AU68" s="13">
        <f>$I$16*$AU$16</f>
        <v>0</v>
      </c>
      <c r="AV68" s="13">
        <f>$I$16*$AV$16</f>
        <v>0</v>
      </c>
      <c r="AW68" s="13">
        <f>$I$16*$AW$16</f>
        <v>0</v>
      </c>
      <c r="AX68" s="13">
        <f>$I$16*$AX$16</f>
        <v>0</v>
      </c>
      <c r="AY68" s="13">
        <f>$I$16*$AY$16</f>
        <v>0</v>
      </c>
      <c r="AZ68" s="13">
        <f>$I$16*$AZ$16</f>
        <v>0</v>
      </c>
      <c r="BA68" s="13">
        <f>$I$16*$BA$16</f>
        <v>0</v>
      </c>
      <c r="BB68" s="13">
        <f>$I$16*$BB$16</f>
        <v>0</v>
      </c>
      <c r="BC68" s="13">
        <f>$I$16*$BC$16</f>
        <v>0</v>
      </c>
      <c r="BD68" s="13">
        <f>$I$16*$BD$16</f>
        <v>0</v>
      </c>
    </row>
    <row r="69" spans="1:56" ht="11.25" customHeight="1" x14ac:dyDescent="0.25">
      <c r="A69" s="9" t="s">
        <v>22</v>
      </c>
      <c r="B69" s="9" t="s">
        <v>726</v>
      </c>
      <c r="C69" s="9" t="s">
        <v>727</v>
      </c>
      <c r="D69" s="9" t="s">
        <v>728</v>
      </c>
      <c r="E69" s="9" t="s">
        <v>729</v>
      </c>
      <c r="F69" s="9" t="s">
        <v>730</v>
      </c>
      <c r="G69" s="9" t="s">
        <v>731</v>
      </c>
      <c r="L69" s="13">
        <f>$I$17*$L$17</f>
        <v>0</v>
      </c>
      <c r="M69" s="13">
        <f>$I$17*$M$17</f>
        <v>0</v>
      </c>
      <c r="N69" s="13">
        <f ca="1">$I$17*$N$17</f>
        <v>0</v>
      </c>
      <c r="O69" s="13">
        <f>$I$17*$O$17</f>
        <v>0</v>
      </c>
      <c r="P69" s="13">
        <f>$I$17*$P$17</f>
        <v>0</v>
      </c>
      <c r="Q69" s="13">
        <f>$I$17*$Q$17</f>
        <v>0</v>
      </c>
      <c r="R69" s="13">
        <f>$I$17*$R$17</f>
        <v>0</v>
      </c>
      <c r="S69" s="13">
        <f>$I$17*$S$17</f>
        <v>0</v>
      </c>
      <c r="T69" s="13">
        <f>$I$17*$T$17</f>
        <v>0</v>
      </c>
      <c r="U69" s="13">
        <f>$I$17*$U$17</f>
        <v>0</v>
      </c>
      <c r="V69" s="13">
        <f>$I$17*$V$17</f>
        <v>0</v>
      </c>
      <c r="W69" s="13">
        <f>$I$17*$W$17</f>
        <v>0</v>
      </c>
      <c r="X69" s="13">
        <f>$I$17*$X$17</f>
        <v>0</v>
      </c>
      <c r="Y69" s="13">
        <f>$I$17*$Y$17</f>
        <v>0</v>
      </c>
      <c r="Z69" s="13">
        <f>$I$17*$Z$17</f>
        <v>0</v>
      </c>
      <c r="AA69" s="13">
        <f>$I$17*$AA$17</f>
        <v>0</v>
      </c>
      <c r="AB69" s="13">
        <f ca="1">$I$17*$AB$17</f>
        <v>0</v>
      </c>
      <c r="AC69" s="13">
        <f ca="1">$I$17*$AC$17</f>
        <v>0</v>
      </c>
      <c r="AD69" s="13">
        <f>$I$17*$AD$17</f>
        <v>0</v>
      </c>
      <c r="AE69" s="13">
        <f>$I$17*$AE$17</f>
        <v>0</v>
      </c>
      <c r="AF69" s="13">
        <f ca="1">$I$17*$AF$17</f>
        <v>0</v>
      </c>
      <c r="AG69" s="13">
        <f ca="1">$I$17*$AG$17</f>
        <v>0</v>
      </c>
      <c r="AI69" s="13">
        <f>$I$17*$AI$17</f>
        <v>0</v>
      </c>
      <c r="AJ69" s="13">
        <f>$I$17*$AJ$17</f>
        <v>0</v>
      </c>
      <c r="AK69" s="13">
        <f>$I$17*$AK$17</f>
        <v>0</v>
      </c>
      <c r="AL69" s="13">
        <f>$I$17*$AL$17</f>
        <v>0</v>
      </c>
      <c r="AM69" s="13">
        <f>$I$17*$AM$17</f>
        <v>0</v>
      </c>
      <c r="AN69" s="13">
        <f>$I$17*$AN$17</f>
        <v>0</v>
      </c>
      <c r="AO69" s="13">
        <f>$I$17*$AO$17</f>
        <v>0</v>
      </c>
      <c r="AP69" s="13">
        <f>$I$17*$AP$17</f>
        <v>0</v>
      </c>
      <c r="AQ69" s="13">
        <f>$I$17*$AQ$17</f>
        <v>0</v>
      </c>
      <c r="AR69" s="13">
        <f>$I$17*$AR$17</f>
        <v>0</v>
      </c>
      <c r="AS69" s="13">
        <f>$I$17*$AS$17</f>
        <v>0</v>
      </c>
      <c r="AT69" s="13">
        <f>$I$17*$AT$17</f>
        <v>0</v>
      </c>
      <c r="AU69" s="13">
        <f>$I$17*$AU$17</f>
        <v>0</v>
      </c>
      <c r="AV69" s="13">
        <f>$I$17*$AV$17</f>
        <v>0</v>
      </c>
      <c r="AW69" s="13">
        <f>$I$17*$AW$17</f>
        <v>0</v>
      </c>
      <c r="AX69" s="13">
        <f>$I$17*$AX$17</f>
        <v>0</v>
      </c>
      <c r="AY69" s="13">
        <f>$I$17*$AY$17</f>
        <v>0</v>
      </c>
      <c r="AZ69" s="13">
        <f>$I$17*$AZ$17</f>
        <v>0</v>
      </c>
      <c r="BA69" s="13">
        <f>$I$17*$BA$17</f>
        <v>0</v>
      </c>
      <c r="BB69" s="13">
        <f>$I$17*$BB$17</f>
        <v>0</v>
      </c>
      <c r="BC69" s="13">
        <f>$I$17*$BC$17</f>
        <v>0</v>
      </c>
      <c r="BD69" s="13">
        <f>$I$17*$BD$17</f>
        <v>0</v>
      </c>
    </row>
    <row r="70" spans="1:56" ht="11.25" customHeight="1" x14ac:dyDescent="0.25">
      <c r="A70" s="9" t="s">
        <v>22</v>
      </c>
      <c r="B70" s="9" t="s">
        <v>726</v>
      </c>
      <c r="C70" s="9" t="s">
        <v>727</v>
      </c>
      <c r="D70" s="9" t="s">
        <v>728</v>
      </c>
      <c r="E70" s="9" t="s">
        <v>729</v>
      </c>
      <c r="F70" s="9" t="s">
        <v>730</v>
      </c>
      <c r="G70" s="9" t="s">
        <v>732</v>
      </c>
      <c r="L70" s="13">
        <f>$I$18*$L$18</f>
        <v>0</v>
      </c>
      <c r="M70" s="13">
        <f>$I$18*$M$18</f>
        <v>0</v>
      </c>
      <c r="N70" s="13">
        <f ca="1">$I$18*$N$18</f>
        <v>0</v>
      </c>
      <c r="O70" s="13">
        <f>$I$18*$O$18</f>
        <v>0</v>
      </c>
      <c r="P70" s="13">
        <f>$I$18*$P$18</f>
        <v>0</v>
      </c>
      <c r="Q70" s="13">
        <f>$I$18*$Q$18</f>
        <v>0</v>
      </c>
      <c r="R70" s="13">
        <f>$I$18*$R$18</f>
        <v>0</v>
      </c>
      <c r="S70" s="13">
        <f>$I$18*$S$18</f>
        <v>0</v>
      </c>
      <c r="T70" s="13">
        <f>$I$18*$T$18</f>
        <v>0</v>
      </c>
      <c r="U70" s="13">
        <f>$I$18*$U$18</f>
        <v>0</v>
      </c>
      <c r="V70" s="13">
        <f>$I$18*$V$18</f>
        <v>0</v>
      </c>
      <c r="W70" s="13">
        <f>$I$18*$W$18</f>
        <v>0</v>
      </c>
      <c r="X70" s="13">
        <f>$I$18*$X$18</f>
        <v>0</v>
      </c>
      <c r="Y70" s="13">
        <f>$I$18*$Y$18</f>
        <v>0</v>
      </c>
      <c r="Z70" s="13">
        <f>$I$18*$Z$18</f>
        <v>0</v>
      </c>
      <c r="AA70" s="13">
        <f>$I$18*$AA$18</f>
        <v>0</v>
      </c>
      <c r="AB70" s="13">
        <f ca="1">$I$18*$AB$18</f>
        <v>0</v>
      </c>
      <c r="AC70" s="13">
        <f ca="1">$I$18*$AC$18</f>
        <v>0</v>
      </c>
      <c r="AD70" s="13">
        <f>$I$18*$AD$18</f>
        <v>0</v>
      </c>
      <c r="AE70" s="13">
        <f>$I$18*$AE$18</f>
        <v>0</v>
      </c>
      <c r="AF70" s="13">
        <f ca="1">$I$18*$AF$18</f>
        <v>0</v>
      </c>
      <c r="AG70" s="13">
        <f ca="1">$I$18*$AG$18</f>
        <v>0</v>
      </c>
      <c r="AI70" s="13">
        <f>$I$18*$AI$18</f>
        <v>0</v>
      </c>
      <c r="AJ70" s="13">
        <f>$I$18*$AJ$18</f>
        <v>0</v>
      </c>
      <c r="AK70" s="13">
        <f>$I$18*$AK$18</f>
        <v>0</v>
      </c>
      <c r="AL70" s="13">
        <f>$I$18*$AL$18</f>
        <v>0</v>
      </c>
      <c r="AM70" s="13">
        <f>$I$18*$AM$18</f>
        <v>0</v>
      </c>
      <c r="AN70" s="13">
        <f>$I$18*$AN$18</f>
        <v>0</v>
      </c>
      <c r="AO70" s="13">
        <f>$I$18*$AO$18</f>
        <v>0</v>
      </c>
      <c r="AP70" s="13">
        <f>$I$18*$AP$18</f>
        <v>0</v>
      </c>
      <c r="AQ70" s="13">
        <f>$I$18*$AQ$18</f>
        <v>0</v>
      </c>
      <c r="AR70" s="13">
        <f>$I$18*$AR$18</f>
        <v>0</v>
      </c>
      <c r="AS70" s="13">
        <f>$I$18*$AS$18</f>
        <v>0</v>
      </c>
      <c r="AT70" s="13">
        <f>$I$18*$AT$18</f>
        <v>0</v>
      </c>
      <c r="AU70" s="13">
        <f>$I$18*$AU$18</f>
        <v>0</v>
      </c>
      <c r="AV70" s="13">
        <f>$I$18*$AV$18</f>
        <v>0</v>
      </c>
      <c r="AW70" s="13">
        <f>$I$18*$AW$18</f>
        <v>0</v>
      </c>
      <c r="AX70" s="13">
        <f>$I$18*$AX$18</f>
        <v>0</v>
      </c>
      <c r="AY70" s="13">
        <f>$I$18*$AY$18</f>
        <v>0</v>
      </c>
      <c r="AZ70" s="13">
        <f>$I$18*$AZ$18</f>
        <v>0</v>
      </c>
      <c r="BA70" s="13">
        <f>$I$18*$BA$18</f>
        <v>0</v>
      </c>
      <c r="BB70" s="13">
        <f>$I$18*$BB$18</f>
        <v>0</v>
      </c>
      <c r="BC70" s="13">
        <f>$I$18*$BC$18</f>
        <v>0</v>
      </c>
      <c r="BD70" s="13">
        <f>$I$18*$BD$18</f>
        <v>0</v>
      </c>
    </row>
    <row r="71" spans="1:56" ht="11.25" customHeight="1" x14ac:dyDescent="0.25">
      <c r="A71" s="9" t="s">
        <v>22</v>
      </c>
      <c r="B71" s="9" t="s">
        <v>726</v>
      </c>
      <c r="C71" s="9" t="s">
        <v>727</v>
      </c>
      <c r="D71" s="9" t="s">
        <v>728</v>
      </c>
      <c r="E71" s="9" t="s">
        <v>729</v>
      </c>
      <c r="F71" s="9" t="s">
        <v>730</v>
      </c>
      <c r="G71" s="9" t="s">
        <v>733</v>
      </c>
      <c r="L71" s="13">
        <f>$I$19*$L$19</f>
        <v>0</v>
      </c>
      <c r="M71" s="13">
        <f>$I$19*$M$19</f>
        <v>0</v>
      </c>
      <c r="N71" s="13">
        <f ca="1">$I$19*$N$19</f>
        <v>0</v>
      </c>
      <c r="O71" s="13">
        <f>$I$19*$O$19</f>
        <v>0</v>
      </c>
      <c r="P71" s="13">
        <f>$I$19*$P$19</f>
        <v>0</v>
      </c>
      <c r="Q71" s="13">
        <f>$I$19*$Q$19</f>
        <v>0</v>
      </c>
      <c r="R71" s="13">
        <f>$I$19*$R$19</f>
        <v>0</v>
      </c>
      <c r="S71" s="13">
        <f>$I$19*$S$19</f>
        <v>0</v>
      </c>
      <c r="T71" s="13">
        <f>$I$19*$T$19</f>
        <v>0</v>
      </c>
      <c r="U71" s="13">
        <f>$I$19*$U$19</f>
        <v>0</v>
      </c>
      <c r="V71" s="13">
        <f>$I$19*$V$19</f>
        <v>0</v>
      </c>
      <c r="W71" s="13">
        <f>$I$19*$W$19</f>
        <v>0</v>
      </c>
      <c r="X71" s="13">
        <f>$I$19*$X$19</f>
        <v>0</v>
      </c>
      <c r="Y71" s="13">
        <f>$I$19*$Y$19</f>
        <v>0</v>
      </c>
      <c r="Z71" s="13">
        <f>$I$19*$Z$19</f>
        <v>0</v>
      </c>
      <c r="AA71" s="13">
        <f>$I$19*$AA$19</f>
        <v>0</v>
      </c>
      <c r="AB71" s="13">
        <f ca="1">$I$19*$AB$19</f>
        <v>0</v>
      </c>
      <c r="AC71" s="13">
        <f ca="1">$I$19*$AC$19</f>
        <v>0</v>
      </c>
      <c r="AD71" s="13">
        <f>$I$19*$AD$19</f>
        <v>0</v>
      </c>
      <c r="AE71" s="13">
        <f>$I$19*$AE$19</f>
        <v>0</v>
      </c>
      <c r="AF71" s="13">
        <f ca="1">$I$19*$AF$19</f>
        <v>0</v>
      </c>
      <c r="AG71" s="13">
        <f ca="1">$I$19*$AG$19</f>
        <v>0</v>
      </c>
      <c r="AI71" s="13">
        <f>$I$19*$AI$19</f>
        <v>0</v>
      </c>
      <c r="AJ71" s="13">
        <f>$I$19*$AJ$19</f>
        <v>0</v>
      </c>
      <c r="AK71" s="13">
        <f>$I$19*$AK$19</f>
        <v>0</v>
      </c>
      <c r="AL71" s="13">
        <f>$I$19*$AL$19</f>
        <v>0</v>
      </c>
      <c r="AM71" s="13">
        <f>$I$19*$AM$19</f>
        <v>0</v>
      </c>
      <c r="AN71" s="13">
        <f>$I$19*$AN$19</f>
        <v>0</v>
      </c>
      <c r="AO71" s="13">
        <f>$I$19*$AO$19</f>
        <v>0</v>
      </c>
      <c r="AP71" s="13">
        <f>$I$19*$AP$19</f>
        <v>0</v>
      </c>
      <c r="AQ71" s="13">
        <f>$I$19*$AQ$19</f>
        <v>0</v>
      </c>
      <c r="AR71" s="13">
        <f>$I$19*$AR$19</f>
        <v>0</v>
      </c>
      <c r="AS71" s="13">
        <f>$I$19*$AS$19</f>
        <v>0</v>
      </c>
      <c r="AT71" s="13">
        <f>$I$19*$AT$19</f>
        <v>0</v>
      </c>
      <c r="AU71" s="13">
        <f>$I$19*$AU$19</f>
        <v>0</v>
      </c>
      <c r="AV71" s="13">
        <f>$I$19*$AV$19</f>
        <v>0</v>
      </c>
      <c r="AW71" s="13">
        <f>$I$19*$AW$19</f>
        <v>0</v>
      </c>
      <c r="AX71" s="13">
        <f>$I$19*$AX$19</f>
        <v>0</v>
      </c>
      <c r="AY71" s="13">
        <f>$I$19*$AY$19</f>
        <v>0</v>
      </c>
      <c r="AZ71" s="13">
        <f>$I$19*$AZ$19</f>
        <v>0</v>
      </c>
      <c r="BA71" s="13">
        <f>$I$19*$BA$19</f>
        <v>0</v>
      </c>
      <c r="BB71" s="13">
        <f>$I$19*$BB$19</f>
        <v>0</v>
      </c>
      <c r="BC71" s="13">
        <f>$I$19*$BC$19</f>
        <v>0</v>
      </c>
      <c r="BD71" s="13">
        <f>$I$19*$BD$19</f>
        <v>0</v>
      </c>
    </row>
    <row r="72" spans="1:56" ht="11.25" customHeight="1" x14ac:dyDescent="0.25">
      <c r="A72" s="9" t="s">
        <v>22</v>
      </c>
      <c r="B72" s="9" t="s">
        <v>734</v>
      </c>
      <c r="C72" s="9" t="s">
        <v>735</v>
      </c>
      <c r="D72" s="9" t="s">
        <v>736</v>
      </c>
      <c r="E72" s="9" t="s">
        <v>737</v>
      </c>
      <c r="F72" s="9" t="s">
        <v>738</v>
      </c>
      <c r="G72" s="9" t="s">
        <v>739</v>
      </c>
      <c r="L72" s="13">
        <f>$I$20*$L$20</f>
        <v>0</v>
      </c>
      <c r="M72" s="13">
        <f>$I$20*$M$20</f>
        <v>10575.356263834423</v>
      </c>
      <c r="N72" s="13">
        <f ca="1">$I$20*$N$20</f>
        <v>0</v>
      </c>
      <c r="O72" s="13">
        <f>$I$20*$O$20</f>
        <v>0</v>
      </c>
      <c r="P72" s="13">
        <f>$I$20*$P$20</f>
        <v>0</v>
      </c>
      <c r="Q72" s="13">
        <f>$I$20*$Q$20</f>
        <v>431856.49542132259</v>
      </c>
      <c r="R72" s="13">
        <f>$I$20*$R$20</f>
        <v>68141.428652054106</v>
      </c>
      <c r="S72" s="13">
        <f>$I$20*$S$20</f>
        <v>0</v>
      </c>
      <c r="T72" s="13">
        <f>$I$20*$T$20</f>
        <v>0</v>
      </c>
      <c r="U72" s="13">
        <f>$I$20*$U$20</f>
        <v>0</v>
      </c>
      <c r="V72" s="13">
        <f>$I$20*$V$20</f>
        <v>0</v>
      </c>
      <c r="W72" s="13">
        <f>$I$20*$W$20</f>
        <v>0</v>
      </c>
      <c r="X72" s="13">
        <f>$I$20*$X$20</f>
        <v>684565.68217458925</v>
      </c>
      <c r="Y72" s="13">
        <f>$I$20*$Y$20</f>
        <v>0</v>
      </c>
      <c r="Z72" s="13">
        <f>$I$20*$Z$20</f>
        <v>0</v>
      </c>
      <c r="AA72" s="13">
        <f>$I$20*$AA$20</f>
        <v>1395414.1554695596</v>
      </c>
      <c r="AB72" s="13">
        <f ca="1">$I$20*$AB$20</f>
        <v>0</v>
      </c>
      <c r="AC72" s="13">
        <f ca="1">$I$20*$AC$20</f>
        <v>0</v>
      </c>
      <c r="AD72" s="13">
        <f>$I$20*$AD$20</f>
        <v>146755.8338325907</v>
      </c>
      <c r="AE72" s="13">
        <f>$I$20*$AE$20</f>
        <v>5148.2899161801752</v>
      </c>
      <c r="AF72" s="13">
        <f ca="1">$I$20*$AF$20</f>
        <v>0</v>
      </c>
      <c r="AG72" s="13">
        <f ca="1">$I$20*$AG$20</f>
        <v>0</v>
      </c>
      <c r="AI72" s="13">
        <f>$I$20*$AI$20</f>
        <v>0</v>
      </c>
      <c r="AJ72" s="13">
        <f>$I$20*$AJ$20</f>
        <v>10279.777179721854</v>
      </c>
      <c r="AK72" s="13">
        <f>$I$20*$AK$20</f>
        <v>0</v>
      </c>
      <c r="AL72" s="13">
        <f>$I$20*$AL$20</f>
        <v>0</v>
      </c>
      <c r="AM72" s="13">
        <f>$I$20*$AM$20</f>
        <v>0</v>
      </c>
      <c r="AN72" s="13">
        <f>$I$20*$AN$20</f>
        <v>273966.45103283168</v>
      </c>
      <c r="AO72" s="13">
        <f>$I$20*$AO$20</f>
        <v>42717.401252868214</v>
      </c>
      <c r="AP72" s="13">
        <f>$I$20*$AP$20</f>
        <v>0</v>
      </c>
      <c r="AQ72" s="13">
        <f>$I$20*$AQ$20</f>
        <v>0</v>
      </c>
      <c r="AR72" s="13">
        <f>$I$20*$AR$20</f>
        <v>0</v>
      </c>
      <c r="AS72" s="13">
        <f>$I$20*$AS$20</f>
        <v>0</v>
      </c>
      <c r="AT72" s="13">
        <f>$I$20*$AT$20</f>
        <v>0</v>
      </c>
      <c r="AU72" s="13">
        <f>$I$20*$AU$20</f>
        <v>606068.26429705066</v>
      </c>
      <c r="AV72" s="13">
        <f>$I$20*$AV$20</f>
        <v>0</v>
      </c>
      <c r="AW72" s="13">
        <f>$I$20*$AW$20</f>
        <v>0</v>
      </c>
      <c r="AX72" s="13">
        <f>$I$20*$AX$20</f>
        <v>1321246.4386002528</v>
      </c>
      <c r="AY72" s="13">
        <f>$I$20*$AY$20</f>
        <v>0</v>
      </c>
      <c r="AZ72" s="13">
        <f>$I$20*$AZ$20</f>
        <v>0</v>
      </c>
      <c r="BA72" s="13">
        <f>$I$20*$BA$20</f>
        <v>94966.473258085854</v>
      </c>
      <c r="BB72" s="13">
        <f>$I$20*$BB$20</f>
        <v>0</v>
      </c>
      <c r="BC72" s="13">
        <f>$I$20*$BC$20</f>
        <v>0</v>
      </c>
      <c r="BD72" s="13">
        <f>$I$20*$BD$20</f>
        <v>0</v>
      </c>
    </row>
    <row r="73" spans="1:56" ht="11.25" customHeight="1" x14ac:dyDescent="0.25">
      <c r="A73" s="9" t="s">
        <v>22</v>
      </c>
      <c r="B73" s="9" t="s">
        <v>734</v>
      </c>
      <c r="C73" s="9" t="s">
        <v>735</v>
      </c>
      <c r="D73" s="9" t="s">
        <v>740</v>
      </c>
      <c r="E73" s="9" t="s">
        <v>741</v>
      </c>
      <c r="F73" s="9" t="s">
        <v>742</v>
      </c>
      <c r="G73" s="9" t="s">
        <v>743</v>
      </c>
      <c r="L73" s="13">
        <f>$I$21*$L$21</f>
        <v>0</v>
      </c>
      <c r="M73" s="13">
        <f>$I$21*$M$21</f>
        <v>21.797502761610385</v>
      </c>
      <c r="N73" s="13">
        <f ca="1">$I$21*$N$21</f>
        <v>0</v>
      </c>
      <c r="O73" s="13">
        <f>$I$21*$O$21</f>
        <v>0</v>
      </c>
      <c r="P73" s="13">
        <f>$I$21*$P$21</f>
        <v>0</v>
      </c>
      <c r="Q73" s="13">
        <f>$I$21*$Q$21</f>
        <v>0</v>
      </c>
      <c r="R73" s="13">
        <f>$I$21*$R$21</f>
        <v>0</v>
      </c>
      <c r="S73" s="13">
        <f>$I$21*$S$21</f>
        <v>0</v>
      </c>
      <c r="T73" s="13">
        <f>$I$21*$T$21</f>
        <v>0</v>
      </c>
      <c r="U73" s="13">
        <f>$I$21*$U$21</f>
        <v>0</v>
      </c>
      <c r="V73" s="13">
        <f>$I$21*$V$21</f>
        <v>0</v>
      </c>
      <c r="W73" s="13">
        <f>$I$21*$W$21</f>
        <v>0</v>
      </c>
      <c r="X73" s="13">
        <f>$I$21*$X$21</f>
        <v>1410.9994949989457</v>
      </c>
      <c r="Y73" s="13">
        <f>$I$21*$Y$21</f>
        <v>0</v>
      </c>
      <c r="Z73" s="13">
        <f>$I$21*$Z$21</f>
        <v>0</v>
      </c>
      <c r="AA73" s="13">
        <f>$I$21*$AA$21</f>
        <v>2876.1720313344313</v>
      </c>
      <c r="AB73" s="13">
        <f ca="1">$I$21*$AB$21</f>
        <v>0</v>
      </c>
      <c r="AC73" s="13">
        <f ca="1">$I$21*$AC$21</f>
        <v>0</v>
      </c>
      <c r="AD73" s="13">
        <f>$I$21*$AD$21</f>
        <v>302.48727451272327</v>
      </c>
      <c r="AE73" s="13">
        <f>$I$21*$AE$21</f>
        <v>10.611449947012895</v>
      </c>
      <c r="AF73" s="13">
        <f ca="1">$I$21*$AF$21</f>
        <v>0</v>
      </c>
      <c r="AG73" s="13">
        <f ca="1">$I$21*$AG$21</f>
        <v>0</v>
      </c>
      <c r="AI73" s="13">
        <f>$I$21*$AI$21</f>
        <v>0</v>
      </c>
      <c r="AJ73" s="13">
        <f>$I$21*$AJ$21</f>
        <v>21.188266936217801</v>
      </c>
      <c r="AK73" s="13">
        <f>$I$21*$AK$21</f>
        <v>0</v>
      </c>
      <c r="AL73" s="13">
        <f>$I$21*$AL$21</f>
        <v>0</v>
      </c>
      <c r="AM73" s="13">
        <f>$I$21*$AM$21</f>
        <v>0</v>
      </c>
      <c r="AN73" s="13">
        <f>$I$21*$AN$21</f>
        <v>0</v>
      </c>
      <c r="AO73" s="13">
        <f>$I$21*$AO$21</f>
        <v>0</v>
      </c>
      <c r="AP73" s="13">
        <f>$I$21*$AP$21</f>
        <v>0</v>
      </c>
      <c r="AQ73" s="13">
        <f>$I$21*$AQ$21</f>
        <v>0</v>
      </c>
      <c r="AR73" s="13">
        <f>$I$21*$AR$21</f>
        <v>0</v>
      </c>
      <c r="AS73" s="13">
        <f>$I$21*$AS$21</f>
        <v>0</v>
      </c>
      <c r="AT73" s="13">
        <f>$I$21*$AT$21</f>
        <v>0</v>
      </c>
      <c r="AU73" s="13">
        <f>$I$21*$AU$21</f>
        <v>1249.2037464418579</v>
      </c>
      <c r="AV73" s="13">
        <f>$I$21*$AV$21</f>
        <v>0</v>
      </c>
      <c r="AW73" s="13">
        <f>$I$21*$AW$21</f>
        <v>0</v>
      </c>
      <c r="AX73" s="13">
        <f>$I$21*$AX$21</f>
        <v>2723.3004898990134</v>
      </c>
      <c r="AY73" s="13">
        <f>$I$21*$AY$21</f>
        <v>0</v>
      </c>
      <c r="AZ73" s="13">
        <f>$I$21*$AZ$21</f>
        <v>0</v>
      </c>
      <c r="BA73" s="13">
        <f>$I$21*$BA$21</f>
        <v>195.74110899531775</v>
      </c>
      <c r="BB73" s="13">
        <f>$I$21*$BB$21</f>
        <v>0</v>
      </c>
      <c r="BC73" s="13">
        <f>$I$21*$BC$21</f>
        <v>0</v>
      </c>
      <c r="BD73" s="13">
        <f>$I$21*$BD$21</f>
        <v>0</v>
      </c>
    </row>
    <row r="74" spans="1:56" ht="11.25" customHeight="1" x14ac:dyDescent="0.25">
      <c r="A74" s="9" t="s">
        <v>22</v>
      </c>
      <c r="B74" s="9" t="s">
        <v>734</v>
      </c>
      <c r="C74" s="9" t="s">
        <v>735</v>
      </c>
      <c r="D74" s="9" t="s">
        <v>744</v>
      </c>
      <c r="E74" s="9" t="s">
        <v>745</v>
      </c>
      <c r="F74" s="9" t="s">
        <v>746</v>
      </c>
      <c r="G74" s="9" t="s">
        <v>747</v>
      </c>
      <c r="L74" s="13">
        <f>$I$22*$L$22</f>
        <v>0</v>
      </c>
      <c r="M74" s="13">
        <f>$I$22*$M$22</f>
        <v>66.724596243327397</v>
      </c>
      <c r="N74" s="13">
        <f ca="1">$I$22*$N$22</f>
        <v>0</v>
      </c>
      <c r="O74" s="13">
        <f>$I$22*$O$22</f>
        <v>0</v>
      </c>
      <c r="P74" s="13">
        <f>$I$22*$P$22</f>
        <v>0</v>
      </c>
      <c r="Q74" s="13">
        <f>$I$22*$Q$22</f>
        <v>0</v>
      </c>
      <c r="R74" s="13">
        <f>$I$22*$R$22</f>
        <v>0</v>
      </c>
      <c r="S74" s="13">
        <f>$I$22*$S$22</f>
        <v>0</v>
      </c>
      <c r="T74" s="13">
        <f>$I$22*$T$22</f>
        <v>0</v>
      </c>
      <c r="U74" s="13">
        <f>$I$22*$U$22</f>
        <v>0</v>
      </c>
      <c r="V74" s="13">
        <f>$I$22*$V$22</f>
        <v>0</v>
      </c>
      <c r="W74" s="13">
        <f>$I$22*$W$22</f>
        <v>0</v>
      </c>
      <c r="X74" s="13">
        <f>$I$22*$X$22</f>
        <v>4319.227419443524</v>
      </c>
      <c r="Y74" s="13">
        <f>$I$22*$Y$22</f>
        <v>0</v>
      </c>
      <c r="Z74" s="13">
        <f>$I$22*$Z$22</f>
        <v>0</v>
      </c>
      <c r="AA74" s="13">
        <f>$I$22*$AA$22</f>
        <v>8804.2845832383045</v>
      </c>
      <c r="AB74" s="13">
        <f ca="1">$I$22*$AB$22</f>
        <v>0</v>
      </c>
      <c r="AC74" s="13">
        <f ca="1">$I$22*$AC$22</f>
        <v>0</v>
      </c>
      <c r="AD74" s="13">
        <f>$I$22*$AD$22</f>
        <v>925.94741156095938</v>
      </c>
      <c r="AE74" s="13">
        <f>$I$22*$AE$22</f>
        <v>32.482836268644355</v>
      </c>
      <c r="AF74" s="13">
        <f ca="1">$I$22*$AF$22</f>
        <v>0</v>
      </c>
      <c r="AG74" s="13">
        <f ca="1">$I$22*$AG$22</f>
        <v>0</v>
      </c>
      <c r="AI74" s="13">
        <f>$I$22*$AI$22</f>
        <v>0</v>
      </c>
      <c r="AJ74" s="13">
        <f>$I$22*$AJ$22</f>
        <v>64.859657176183887</v>
      </c>
      <c r="AK74" s="13">
        <f>$I$22*$AK$22</f>
        <v>0</v>
      </c>
      <c r="AL74" s="13">
        <f>$I$22*$AL$22</f>
        <v>0</v>
      </c>
      <c r="AM74" s="13">
        <f>$I$22*$AM$22</f>
        <v>0</v>
      </c>
      <c r="AN74" s="13">
        <f>$I$22*$AN$22</f>
        <v>0</v>
      </c>
      <c r="AO74" s="13">
        <f>$I$22*$AO$22</f>
        <v>0</v>
      </c>
      <c r="AP74" s="13">
        <f>$I$22*$AP$22</f>
        <v>0</v>
      </c>
      <c r="AQ74" s="13">
        <f>$I$22*$AQ$22</f>
        <v>0</v>
      </c>
      <c r="AR74" s="13">
        <f>$I$22*$AR$22</f>
        <v>0</v>
      </c>
      <c r="AS74" s="13">
        <f>$I$22*$AS$22</f>
        <v>0</v>
      </c>
      <c r="AT74" s="13">
        <f>$I$22*$AT$22</f>
        <v>0</v>
      </c>
      <c r="AU74" s="13">
        <f>$I$22*$AU$22</f>
        <v>3823.952519633805</v>
      </c>
      <c r="AV74" s="13">
        <f>$I$22*$AV$22</f>
        <v>0</v>
      </c>
      <c r="AW74" s="13">
        <f>$I$22*$AW$22</f>
        <v>0</v>
      </c>
      <c r="AX74" s="13">
        <f>$I$22*$AX$22</f>
        <v>8336.3276805174173</v>
      </c>
      <c r="AY74" s="13">
        <f>$I$22*$AY$22</f>
        <v>0</v>
      </c>
      <c r="AZ74" s="13">
        <f>$I$22*$AZ$22</f>
        <v>0</v>
      </c>
      <c r="BA74" s="13">
        <f>$I$22*$BA$22</f>
        <v>599.18544838705952</v>
      </c>
      <c r="BB74" s="13">
        <f>$I$22*$BB$22</f>
        <v>0</v>
      </c>
      <c r="BC74" s="13">
        <f>$I$22*$BC$22</f>
        <v>0</v>
      </c>
      <c r="BD74" s="13">
        <f>$I$22*$BD$22</f>
        <v>0</v>
      </c>
    </row>
    <row r="75" spans="1:56" ht="11.25" customHeight="1" x14ac:dyDescent="0.25">
      <c r="A75" s="9" t="s">
        <v>22</v>
      </c>
      <c r="B75" s="9" t="s">
        <v>734</v>
      </c>
      <c r="C75" s="9" t="s">
        <v>735</v>
      </c>
      <c r="D75" s="9" t="s">
        <v>748</v>
      </c>
      <c r="E75" s="9" t="s">
        <v>749</v>
      </c>
      <c r="F75" s="9" t="s">
        <v>750</v>
      </c>
      <c r="G75" s="9" t="s">
        <v>751</v>
      </c>
      <c r="L75" s="13">
        <f>$I$23*$L$23</f>
        <v>0</v>
      </c>
      <c r="M75" s="13">
        <f>$I$23*$M$23</f>
        <v>77.490270914347292</v>
      </c>
      <c r="N75" s="13">
        <f ca="1">$I$23*$N$23</f>
        <v>0</v>
      </c>
      <c r="O75" s="13">
        <f>$I$23*$O$23</f>
        <v>0</v>
      </c>
      <c r="P75" s="13">
        <f>$I$23*$P$23</f>
        <v>0</v>
      </c>
      <c r="Q75" s="13">
        <f>$I$23*$Q$23</f>
        <v>0</v>
      </c>
      <c r="R75" s="13">
        <f>$I$23*$R$23</f>
        <v>0</v>
      </c>
      <c r="S75" s="13">
        <f>$I$23*$S$23</f>
        <v>0</v>
      </c>
      <c r="T75" s="13">
        <f>$I$23*$T$23</f>
        <v>0</v>
      </c>
      <c r="U75" s="13">
        <f>$I$23*$U$23</f>
        <v>0</v>
      </c>
      <c r="V75" s="13">
        <f>$I$23*$V$23</f>
        <v>0</v>
      </c>
      <c r="W75" s="13">
        <f>$I$23*$W$23</f>
        <v>0</v>
      </c>
      <c r="X75" s="13">
        <f>$I$23*$X$23</f>
        <v>5016.1128237149323</v>
      </c>
      <c r="Y75" s="13">
        <f>$I$23*$Y$23</f>
        <v>0</v>
      </c>
      <c r="Z75" s="13">
        <f>$I$23*$Z$23</f>
        <v>0</v>
      </c>
      <c r="AA75" s="13">
        <f>$I$23*$AA$23</f>
        <v>10224.811178686952</v>
      </c>
      <c r="AB75" s="13">
        <f ca="1">$I$23*$AB$23</f>
        <v>0</v>
      </c>
      <c r="AC75" s="13">
        <f ca="1">$I$23*$AC$23</f>
        <v>0</v>
      </c>
      <c r="AD75" s="13">
        <f>$I$23*$AD$23</f>
        <v>1075.3443229935272</v>
      </c>
      <c r="AE75" s="13">
        <f>$I$23*$AE$23</f>
        <v>37.723776901465364</v>
      </c>
      <c r="AF75" s="13">
        <f ca="1">$I$23*$AF$23</f>
        <v>0</v>
      </c>
      <c r="AG75" s="13">
        <f ca="1">$I$23*$AG$23</f>
        <v>0</v>
      </c>
      <c r="AI75" s="13">
        <f>$I$23*$AI$23</f>
        <v>0</v>
      </c>
      <c r="AJ75" s="13">
        <f>$I$23*$AJ$23</f>
        <v>75.324433401825189</v>
      </c>
      <c r="AK75" s="13">
        <f>$I$23*$AK$23</f>
        <v>0</v>
      </c>
      <c r="AL75" s="13">
        <f>$I$23*$AL$23</f>
        <v>0</v>
      </c>
      <c r="AM75" s="13">
        <f>$I$23*$AM$23</f>
        <v>0</v>
      </c>
      <c r="AN75" s="13">
        <f>$I$23*$AN$23</f>
        <v>0</v>
      </c>
      <c r="AO75" s="13">
        <f>$I$23*$AO$23</f>
        <v>0</v>
      </c>
      <c r="AP75" s="13">
        <f>$I$23*$AP$23</f>
        <v>0</v>
      </c>
      <c r="AQ75" s="13">
        <f>$I$23*$AQ$23</f>
        <v>0</v>
      </c>
      <c r="AR75" s="13">
        <f>$I$23*$AR$23</f>
        <v>0</v>
      </c>
      <c r="AS75" s="13">
        <f>$I$23*$AS$23</f>
        <v>0</v>
      </c>
      <c r="AT75" s="13">
        <f>$I$23*$AT$23</f>
        <v>0</v>
      </c>
      <c r="AU75" s="13">
        <f>$I$23*$AU$23</f>
        <v>4440.9278346087758</v>
      </c>
      <c r="AV75" s="13">
        <f>$I$23*$AV$23</f>
        <v>0</v>
      </c>
      <c r="AW75" s="13">
        <f>$I$23*$AW$23</f>
        <v>0</v>
      </c>
      <c r="AX75" s="13">
        <f>$I$23*$AX$23</f>
        <v>9681.3518067359655</v>
      </c>
      <c r="AY75" s="13">
        <f>$I$23*$AY$23</f>
        <v>0</v>
      </c>
      <c r="AZ75" s="13">
        <f>$I$23*$AZ$23</f>
        <v>0</v>
      </c>
      <c r="BA75" s="13">
        <f>$I$23*$BA$23</f>
        <v>695.86097687464428</v>
      </c>
      <c r="BB75" s="13">
        <f>$I$23*$BB$23</f>
        <v>0</v>
      </c>
      <c r="BC75" s="13">
        <f>$I$23*$BC$23</f>
        <v>0</v>
      </c>
      <c r="BD75" s="13">
        <f>$I$23*$BD$23</f>
        <v>0</v>
      </c>
    </row>
    <row r="76" spans="1:56" ht="11.25" customHeight="1" x14ac:dyDescent="0.25">
      <c r="A76" s="9" t="s">
        <v>22</v>
      </c>
      <c r="B76" s="9" t="s">
        <v>734</v>
      </c>
      <c r="C76" s="9" t="s">
        <v>735</v>
      </c>
      <c r="D76" s="9" t="s">
        <v>752</v>
      </c>
      <c r="E76" s="9" t="s">
        <v>753</v>
      </c>
      <c r="F76" s="9" t="s">
        <v>754</v>
      </c>
      <c r="G76" s="9" t="s">
        <v>755</v>
      </c>
      <c r="L76" s="13">
        <f>$I$24*$L$24</f>
        <v>0</v>
      </c>
      <c r="M76" s="13">
        <f>$I$24*$M$24</f>
        <v>22.1794516308867</v>
      </c>
      <c r="N76" s="13">
        <f ca="1">$I$24*$N$24</f>
        <v>0</v>
      </c>
      <c r="O76" s="13">
        <f>$I$24*$O$24</f>
        <v>0</v>
      </c>
      <c r="P76" s="13">
        <f>$I$24*$P$24</f>
        <v>0</v>
      </c>
      <c r="Q76" s="13">
        <f>$I$24*$Q$24</f>
        <v>0</v>
      </c>
      <c r="R76" s="13">
        <f>$I$24*$R$24</f>
        <v>0</v>
      </c>
      <c r="S76" s="13">
        <f>$I$24*$S$24</f>
        <v>0</v>
      </c>
      <c r="T76" s="13">
        <f>$I$24*$T$24</f>
        <v>0</v>
      </c>
      <c r="U76" s="13">
        <f>$I$24*$U$24</f>
        <v>0</v>
      </c>
      <c r="V76" s="13">
        <f>$I$24*$V$24</f>
        <v>0</v>
      </c>
      <c r="W76" s="13">
        <f>$I$24*$W$24</f>
        <v>0</v>
      </c>
      <c r="X76" s="13">
        <f>$I$24*$X$24</f>
        <v>1435.723871344178</v>
      </c>
      <c r="Y76" s="13">
        <f>$I$24*$Y$24</f>
        <v>0</v>
      </c>
      <c r="Z76" s="13">
        <f>$I$24*$Z$24</f>
        <v>0</v>
      </c>
      <c r="AA76" s="13">
        <f>$I$24*$AA$24</f>
        <v>2926.5700364282575</v>
      </c>
      <c r="AB76" s="13">
        <f ca="1">$I$24*$AB$24</f>
        <v>0</v>
      </c>
      <c r="AC76" s="13">
        <f ca="1">$I$24*$AC$24</f>
        <v>0</v>
      </c>
      <c r="AD76" s="13">
        <f>$I$24*$AD$24</f>
        <v>307.78763729896349</v>
      </c>
      <c r="AE76" s="13">
        <f>$I$24*$AE$24</f>
        <v>10.797390114240763</v>
      </c>
      <c r="AF76" s="13">
        <f ca="1">$I$24*$AF$24</f>
        <v>0</v>
      </c>
      <c r="AG76" s="13">
        <f ca="1">$I$24*$AG$24</f>
        <v>0</v>
      </c>
      <c r="AI76" s="13">
        <f>$I$24*$AI$24</f>
        <v>0</v>
      </c>
      <c r="AJ76" s="13">
        <f>$I$24*$AJ$24</f>
        <v>21.55954041129063</v>
      </c>
      <c r="AK76" s="13">
        <f>$I$24*$AK$24</f>
        <v>0</v>
      </c>
      <c r="AL76" s="13">
        <f>$I$24*$AL$24</f>
        <v>0</v>
      </c>
      <c r="AM76" s="13">
        <f>$I$24*$AM$24</f>
        <v>0</v>
      </c>
      <c r="AN76" s="13">
        <f>$I$24*$AN$24</f>
        <v>0</v>
      </c>
      <c r="AO76" s="13">
        <f>$I$24*$AO$24</f>
        <v>0</v>
      </c>
      <c r="AP76" s="13">
        <f>$I$24*$AP$24</f>
        <v>0</v>
      </c>
      <c r="AQ76" s="13">
        <f>$I$24*$AQ$24</f>
        <v>0</v>
      </c>
      <c r="AR76" s="13">
        <f>$I$24*$AR$24</f>
        <v>0</v>
      </c>
      <c r="AS76" s="13">
        <f>$I$24*$AS$24</f>
        <v>0</v>
      </c>
      <c r="AT76" s="13">
        <f>$I$24*$AT$24</f>
        <v>0</v>
      </c>
      <c r="AU76" s="13">
        <f>$I$24*$AU$24</f>
        <v>1271.0930409939667</v>
      </c>
      <c r="AV76" s="13">
        <f>$I$24*$AV$24</f>
        <v>0</v>
      </c>
      <c r="AW76" s="13">
        <f>$I$24*$AW$24</f>
        <v>0</v>
      </c>
      <c r="AX76" s="13">
        <f>$I$24*$AX$24</f>
        <v>2771.019788489883</v>
      </c>
      <c r="AY76" s="13">
        <f>$I$24*$AY$24</f>
        <v>0</v>
      </c>
      <c r="AZ76" s="13">
        <f>$I$24*$AZ$24</f>
        <v>0</v>
      </c>
      <c r="BA76" s="13">
        <f>$I$24*$BA$24</f>
        <v>199.17100167932352</v>
      </c>
      <c r="BB76" s="13">
        <f>$I$24*$BB$24</f>
        <v>0</v>
      </c>
      <c r="BC76" s="13">
        <f>$I$24*$BC$24</f>
        <v>0</v>
      </c>
      <c r="BD76" s="13">
        <f>$I$24*$BD$24</f>
        <v>0</v>
      </c>
    </row>
    <row r="77" spans="1:56" ht="11.25" customHeight="1" x14ac:dyDescent="0.25">
      <c r="A77" s="9" t="s">
        <v>22</v>
      </c>
      <c r="B77" s="9" t="s">
        <v>756</v>
      </c>
      <c r="C77" s="9" t="s">
        <v>757</v>
      </c>
      <c r="D77" s="9" t="s">
        <v>758</v>
      </c>
      <c r="E77" s="9" t="s">
        <v>759</v>
      </c>
      <c r="F77" s="9" t="s">
        <v>760</v>
      </c>
      <c r="G77" s="9" t="s">
        <v>761</v>
      </c>
      <c r="L77" s="13">
        <f>$I$25*$L$25</f>
        <v>0</v>
      </c>
      <c r="M77" s="13">
        <f>$I$25*$M$25</f>
        <v>0</v>
      </c>
      <c r="N77" s="13">
        <f ca="1">$I$25*$N$25</f>
        <v>0</v>
      </c>
      <c r="O77" s="13">
        <f>$I$25*$O$25</f>
        <v>0</v>
      </c>
      <c r="P77" s="13">
        <f>$I$25*$P$25</f>
        <v>0</v>
      </c>
      <c r="Q77" s="13">
        <f>$I$25*$Q$25</f>
        <v>0</v>
      </c>
      <c r="R77" s="13">
        <f>$I$25*$R$25</f>
        <v>0</v>
      </c>
      <c r="S77" s="13">
        <f>$I$25*$S$25</f>
        <v>0</v>
      </c>
      <c r="T77" s="13">
        <f>$I$25*$T$25</f>
        <v>0</v>
      </c>
      <c r="U77" s="13">
        <f>$I$25*$U$25</f>
        <v>0</v>
      </c>
      <c r="V77" s="13">
        <f>$I$25*$V$25</f>
        <v>0</v>
      </c>
      <c r="W77" s="13">
        <f>$I$25*$W$25</f>
        <v>0</v>
      </c>
      <c r="X77" s="13">
        <f>$I$25*$X$25</f>
        <v>0</v>
      </c>
      <c r="Y77" s="13">
        <f>$I$25*$Y$25</f>
        <v>0</v>
      </c>
      <c r="Z77" s="13">
        <f>$I$25*$Z$25</f>
        <v>0</v>
      </c>
      <c r="AA77" s="13">
        <f>$I$25*$AA$25</f>
        <v>0</v>
      </c>
      <c r="AB77" s="13">
        <f ca="1">$I$25*$AB$25</f>
        <v>0</v>
      </c>
      <c r="AC77" s="13">
        <f ca="1">$I$25*$AC$25</f>
        <v>0</v>
      </c>
      <c r="AD77" s="13">
        <f>$I$25*$AD$25</f>
        <v>0</v>
      </c>
      <c r="AE77" s="13">
        <f>$I$25*$AE$25</f>
        <v>0</v>
      </c>
      <c r="AF77" s="13">
        <f ca="1">$I$25*$AF$25</f>
        <v>0</v>
      </c>
      <c r="AG77" s="13">
        <f ca="1">$I$25*$AG$25</f>
        <v>0</v>
      </c>
      <c r="AI77" s="13">
        <f>$I$25*$AI$25</f>
        <v>0</v>
      </c>
      <c r="AJ77" s="13">
        <f>$I$25*$AJ$25</f>
        <v>0</v>
      </c>
      <c r="AK77" s="13">
        <f>$I$25*$AK$25</f>
        <v>0</v>
      </c>
      <c r="AL77" s="13">
        <f>$I$25*$AL$25</f>
        <v>0</v>
      </c>
      <c r="AM77" s="13">
        <f>$I$25*$AM$25</f>
        <v>0</v>
      </c>
      <c r="AN77" s="13">
        <f>$I$25*$AN$25</f>
        <v>0</v>
      </c>
      <c r="AO77" s="13">
        <f>$I$25*$AO$25</f>
        <v>0</v>
      </c>
      <c r="AP77" s="13">
        <f>$I$25*$AP$25</f>
        <v>0</v>
      </c>
      <c r="AQ77" s="13">
        <f>$I$25*$AQ$25</f>
        <v>0</v>
      </c>
      <c r="AR77" s="13">
        <f>$I$25*$AR$25</f>
        <v>0</v>
      </c>
      <c r="AS77" s="13">
        <f>$I$25*$AS$25</f>
        <v>0</v>
      </c>
      <c r="AT77" s="13">
        <f>$I$25*$AT$25</f>
        <v>0</v>
      </c>
      <c r="AU77" s="13">
        <f>$I$25*$AU$25</f>
        <v>0</v>
      </c>
      <c r="AV77" s="13">
        <f>$I$25*$AV$25</f>
        <v>0</v>
      </c>
      <c r="AW77" s="13">
        <f>$I$25*$AW$25</f>
        <v>0</v>
      </c>
      <c r="AX77" s="13">
        <f>$I$25*$AX$25</f>
        <v>0</v>
      </c>
      <c r="AY77" s="13">
        <f>$I$25*$AY$25</f>
        <v>0</v>
      </c>
      <c r="AZ77" s="13">
        <f>$I$25*$AZ$25</f>
        <v>0</v>
      </c>
      <c r="BA77" s="13">
        <f>$I$25*$BA$25</f>
        <v>0</v>
      </c>
      <c r="BB77" s="13">
        <f>$I$25*$BB$25</f>
        <v>0</v>
      </c>
      <c r="BC77" s="13">
        <f>$I$25*$BC$25</f>
        <v>0</v>
      </c>
      <c r="BD77" s="13">
        <f>$I$25*$BD$25</f>
        <v>0</v>
      </c>
    </row>
    <row r="78" spans="1:56" ht="11.25" customHeight="1" x14ac:dyDescent="0.25">
      <c r="A78" s="9" t="s">
        <v>22</v>
      </c>
      <c r="B78" s="9" t="s">
        <v>756</v>
      </c>
      <c r="C78" s="9" t="s">
        <v>757</v>
      </c>
      <c r="D78" s="9" t="s">
        <v>762</v>
      </c>
      <c r="E78" s="9" t="s">
        <v>763</v>
      </c>
      <c r="F78" s="9" t="s">
        <v>764</v>
      </c>
      <c r="G78" s="9" t="s">
        <v>765</v>
      </c>
      <c r="L78" s="13">
        <f>$I$26*$L$26</f>
        <v>0</v>
      </c>
      <c r="M78" s="13">
        <f>$I$26*$M$26</f>
        <v>0</v>
      </c>
      <c r="N78" s="13">
        <f ca="1">$I$26*$N$26</f>
        <v>0</v>
      </c>
      <c r="O78" s="13">
        <f>$I$26*$O$26</f>
        <v>0</v>
      </c>
      <c r="P78" s="13">
        <f>$I$26*$P$26</f>
        <v>0</v>
      </c>
      <c r="Q78" s="13">
        <f>$I$26*$Q$26</f>
        <v>0</v>
      </c>
      <c r="R78" s="13">
        <f>$I$26*$R$26</f>
        <v>0</v>
      </c>
      <c r="S78" s="13">
        <f>$I$26*$S$26</f>
        <v>0</v>
      </c>
      <c r="T78" s="13">
        <f>$I$26*$T$26</f>
        <v>0</v>
      </c>
      <c r="U78" s="13">
        <f>$I$26*$U$26</f>
        <v>0</v>
      </c>
      <c r="V78" s="13">
        <f>$I$26*$V$26</f>
        <v>0</v>
      </c>
      <c r="W78" s="13">
        <f>$I$26*$W$26</f>
        <v>0</v>
      </c>
      <c r="X78" s="13">
        <f>$I$26*$X$26</f>
        <v>0</v>
      </c>
      <c r="Y78" s="13">
        <f>$I$26*$Y$26</f>
        <v>0</v>
      </c>
      <c r="Z78" s="13">
        <f>$I$26*$Z$26</f>
        <v>0</v>
      </c>
      <c r="AA78" s="13">
        <f>$I$26*$AA$26</f>
        <v>0</v>
      </c>
      <c r="AB78" s="13">
        <f ca="1">$I$26*$AB$26</f>
        <v>0</v>
      </c>
      <c r="AC78" s="13">
        <f ca="1">$I$26*$AC$26</f>
        <v>0</v>
      </c>
      <c r="AD78" s="13">
        <f>$I$26*$AD$26</f>
        <v>0</v>
      </c>
      <c r="AE78" s="13">
        <f>$I$26*$AE$26</f>
        <v>0</v>
      </c>
      <c r="AF78" s="13">
        <f ca="1">$I$26*$AF$26</f>
        <v>0</v>
      </c>
      <c r="AG78" s="13">
        <f ca="1">$I$26*$AG$26</f>
        <v>0</v>
      </c>
      <c r="AI78" s="13">
        <f>$I$26*$AI$26</f>
        <v>0</v>
      </c>
      <c r="AJ78" s="13">
        <f>$I$26*$AJ$26</f>
        <v>0</v>
      </c>
      <c r="AK78" s="13">
        <f>$I$26*$AK$26</f>
        <v>0</v>
      </c>
      <c r="AL78" s="13">
        <f>$I$26*$AL$26</f>
        <v>0</v>
      </c>
      <c r="AM78" s="13">
        <f>$I$26*$AM$26</f>
        <v>0</v>
      </c>
      <c r="AN78" s="13">
        <f>$I$26*$AN$26</f>
        <v>0</v>
      </c>
      <c r="AO78" s="13">
        <f>$I$26*$AO$26</f>
        <v>0</v>
      </c>
      <c r="AP78" s="13">
        <f>$I$26*$AP$26</f>
        <v>0</v>
      </c>
      <c r="AQ78" s="13">
        <f>$I$26*$AQ$26</f>
        <v>0</v>
      </c>
      <c r="AR78" s="13">
        <f>$I$26*$AR$26</f>
        <v>0</v>
      </c>
      <c r="AS78" s="13">
        <f>$I$26*$AS$26</f>
        <v>0</v>
      </c>
      <c r="AT78" s="13">
        <f>$I$26*$AT$26</f>
        <v>0</v>
      </c>
      <c r="AU78" s="13">
        <f>$I$26*$AU$26</f>
        <v>0</v>
      </c>
      <c r="AV78" s="13">
        <f>$I$26*$AV$26</f>
        <v>0</v>
      </c>
      <c r="AW78" s="13">
        <f>$I$26*$AW$26</f>
        <v>0</v>
      </c>
      <c r="AX78" s="13">
        <f>$I$26*$AX$26</f>
        <v>0</v>
      </c>
      <c r="AY78" s="13">
        <f>$I$26*$AY$26</f>
        <v>0</v>
      </c>
      <c r="AZ78" s="13">
        <f>$I$26*$AZ$26</f>
        <v>0</v>
      </c>
      <c r="BA78" s="13">
        <f>$I$26*$BA$26</f>
        <v>0</v>
      </c>
      <c r="BB78" s="13">
        <f>$I$26*$BB$26</f>
        <v>0</v>
      </c>
      <c r="BC78" s="13">
        <f>$I$26*$BC$26</f>
        <v>0</v>
      </c>
      <c r="BD78" s="13">
        <f>$I$26*$BD$26</f>
        <v>0</v>
      </c>
    </row>
    <row r="79" spans="1:56" ht="11.25" customHeight="1" x14ac:dyDescent="0.25">
      <c r="A79" s="9" t="s">
        <v>22</v>
      </c>
      <c r="B79" s="9" t="s">
        <v>756</v>
      </c>
      <c r="C79" s="9" t="s">
        <v>757</v>
      </c>
      <c r="D79" s="9" t="s">
        <v>766</v>
      </c>
      <c r="E79" s="9" t="s">
        <v>767</v>
      </c>
      <c r="F79" s="9" t="s">
        <v>768</v>
      </c>
      <c r="G79" s="9" t="s">
        <v>769</v>
      </c>
      <c r="L79" s="13">
        <f>$I$27*$L$27</f>
        <v>0</v>
      </c>
      <c r="M79" s="13">
        <f>$I$27*$M$27</f>
        <v>0</v>
      </c>
      <c r="N79" s="13">
        <f ca="1">$I$27*$N$27</f>
        <v>0</v>
      </c>
      <c r="O79" s="13">
        <f>$I$27*$O$27</f>
        <v>0</v>
      </c>
      <c r="P79" s="13">
        <f>$I$27*$P$27</f>
        <v>0</v>
      </c>
      <c r="Q79" s="13">
        <f>$I$27*$Q$27</f>
        <v>0</v>
      </c>
      <c r="R79" s="13">
        <f>$I$27*$R$27</f>
        <v>0</v>
      </c>
      <c r="S79" s="13">
        <f>$I$27*$S$27</f>
        <v>0</v>
      </c>
      <c r="T79" s="13">
        <f>$I$27*$T$27</f>
        <v>0</v>
      </c>
      <c r="U79" s="13">
        <f>$I$27*$U$27</f>
        <v>0</v>
      </c>
      <c r="V79" s="13">
        <f>$I$27*$V$27</f>
        <v>0</v>
      </c>
      <c r="W79" s="13">
        <f>$I$27*$W$27</f>
        <v>0</v>
      </c>
      <c r="X79" s="13">
        <f>$I$27*$X$27</f>
        <v>0</v>
      </c>
      <c r="Y79" s="13">
        <f>$I$27*$Y$27</f>
        <v>0</v>
      </c>
      <c r="Z79" s="13">
        <f>$I$27*$Z$27</f>
        <v>0</v>
      </c>
      <c r="AA79" s="13">
        <f>$I$27*$AA$27</f>
        <v>0</v>
      </c>
      <c r="AB79" s="13">
        <f ca="1">$I$27*$AB$27</f>
        <v>0</v>
      </c>
      <c r="AC79" s="13">
        <f ca="1">$I$27*$AC$27</f>
        <v>0</v>
      </c>
      <c r="AD79" s="13">
        <f>$I$27*$AD$27</f>
        <v>0</v>
      </c>
      <c r="AE79" s="13">
        <f>$I$27*$AE$27</f>
        <v>0</v>
      </c>
      <c r="AF79" s="13">
        <f ca="1">$I$27*$AF$27</f>
        <v>0</v>
      </c>
      <c r="AG79" s="13">
        <f ca="1">$I$27*$AG$27</f>
        <v>0</v>
      </c>
      <c r="AI79" s="13">
        <f>$I$27*$AI$27</f>
        <v>0</v>
      </c>
      <c r="AJ79" s="13">
        <f>$I$27*$AJ$27</f>
        <v>0</v>
      </c>
      <c r="AK79" s="13">
        <f>$I$27*$AK$27</f>
        <v>0</v>
      </c>
      <c r="AL79" s="13">
        <f>$I$27*$AL$27</f>
        <v>0</v>
      </c>
      <c r="AM79" s="13">
        <f>$I$27*$AM$27</f>
        <v>0</v>
      </c>
      <c r="AN79" s="13">
        <f>$I$27*$AN$27</f>
        <v>0</v>
      </c>
      <c r="AO79" s="13">
        <f>$I$27*$AO$27</f>
        <v>0</v>
      </c>
      <c r="AP79" s="13">
        <f>$I$27*$AP$27</f>
        <v>0</v>
      </c>
      <c r="AQ79" s="13">
        <f>$I$27*$AQ$27</f>
        <v>0</v>
      </c>
      <c r="AR79" s="13">
        <f>$I$27*$AR$27</f>
        <v>0</v>
      </c>
      <c r="AS79" s="13">
        <f>$I$27*$AS$27</f>
        <v>0</v>
      </c>
      <c r="AT79" s="13">
        <f>$I$27*$AT$27</f>
        <v>0</v>
      </c>
      <c r="AU79" s="13">
        <f>$I$27*$AU$27</f>
        <v>0</v>
      </c>
      <c r="AV79" s="13">
        <f>$I$27*$AV$27</f>
        <v>0</v>
      </c>
      <c r="AW79" s="13">
        <f>$I$27*$AW$27</f>
        <v>0</v>
      </c>
      <c r="AX79" s="13">
        <f>$I$27*$AX$27</f>
        <v>0</v>
      </c>
      <c r="AY79" s="13">
        <f>$I$27*$AY$27</f>
        <v>0</v>
      </c>
      <c r="AZ79" s="13">
        <f>$I$27*$AZ$27</f>
        <v>0</v>
      </c>
      <c r="BA79" s="13">
        <f>$I$27*$BA$27</f>
        <v>0</v>
      </c>
      <c r="BB79" s="13">
        <f>$I$27*$BB$27</f>
        <v>0</v>
      </c>
      <c r="BC79" s="13">
        <f>$I$27*$BC$27</f>
        <v>0</v>
      </c>
      <c r="BD79" s="13">
        <f>$I$27*$BD$27</f>
        <v>0</v>
      </c>
    </row>
    <row r="80" spans="1:56" ht="11.25" customHeight="1" x14ac:dyDescent="0.25">
      <c r="A80" s="9" t="s">
        <v>22</v>
      </c>
      <c r="B80" s="9" t="s">
        <v>756</v>
      </c>
      <c r="C80" s="9" t="s">
        <v>757</v>
      </c>
      <c r="D80" s="9" t="s">
        <v>770</v>
      </c>
      <c r="E80" s="9" t="s">
        <v>771</v>
      </c>
      <c r="F80" s="9" t="s">
        <v>772</v>
      </c>
      <c r="G80" s="9" t="s">
        <v>773</v>
      </c>
      <c r="L80" s="13">
        <f>$I$28*$L$28</f>
        <v>0</v>
      </c>
      <c r="M80" s="13">
        <f>$I$28*$M$28</f>
        <v>0</v>
      </c>
      <c r="N80" s="13">
        <f ca="1">$I$28*$N$28</f>
        <v>0</v>
      </c>
      <c r="O80" s="13">
        <f>$I$28*$O$28</f>
        <v>0</v>
      </c>
      <c r="P80" s="13">
        <f>$I$28*$P$28</f>
        <v>0</v>
      </c>
      <c r="Q80" s="13">
        <f>$I$28*$Q$28</f>
        <v>0</v>
      </c>
      <c r="R80" s="13">
        <f>$I$28*$R$28</f>
        <v>0</v>
      </c>
      <c r="S80" s="13">
        <f>$I$28*$S$28</f>
        <v>0</v>
      </c>
      <c r="T80" s="13">
        <f>$I$28*$T$28</f>
        <v>0</v>
      </c>
      <c r="U80" s="13">
        <f>$I$28*$U$28</f>
        <v>0</v>
      </c>
      <c r="V80" s="13">
        <f>$I$28*$V$28</f>
        <v>0</v>
      </c>
      <c r="W80" s="13">
        <f>$I$28*$W$28</f>
        <v>0</v>
      </c>
      <c r="X80" s="13">
        <f>$I$28*$X$28</f>
        <v>0</v>
      </c>
      <c r="Y80" s="13">
        <f>$I$28*$Y$28</f>
        <v>0</v>
      </c>
      <c r="Z80" s="13">
        <f>$I$28*$Z$28</f>
        <v>0</v>
      </c>
      <c r="AA80" s="13">
        <f>$I$28*$AA$28</f>
        <v>0</v>
      </c>
      <c r="AB80" s="13">
        <f ca="1">$I$28*$AB$28</f>
        <v>0</v>
      </c>
      <c r="AC80" s="13">
        <f ca="1">$I$28*$AC$28</f>
        <v>0</v>
      </c>
      <c r="AD80" s="13">
        <f>$I$28*$AD$28</f>
        <v>0</v>
      </c>
      <c r="AE80" s="13">
        <f>$I$28*$AE$28</f>
        <v>0</v>
      </c>
      <c r="AF80" s="13">
        <f ca="1">$I$28*$AF$28</f>
        <v>0</v>
      </c>
      <c r="AG80" s="13">
        <f ca="1">$I$28*$AG$28</f>
        <v>0</v>
      </c>
      <c r="AI80" s="13">
        <f>$I$28*$AI$28</f>
        <v>0</v>
      </c>
      <c r="AJ80" s="13">
        <f>$I$28*$AJ$28</f>
        <v>0</v>
      </c>
      <c r="AK80" s="13">
        <f>$I$28*$AK$28</f>
        <v>0</v>
      </c>
      <c r="AL80" s="13">
        <f>$I$28*$AL$28</f>
        <v>0</v>
      </c>
      <c r="AM80" s="13">
        <f>$I$28*$AM$28</f>
        <v>0</v>
      </c>
      <c r="AN80" s="13">
        <f>$I$28*$AN$28</f>
        <v>0</v>
      </c>
      <c r="AO80" s="13">
        <f>$I$28*$AO$28</f>
        <v>0</v>
      </c>
      <c r="AP80" s="13">
        <f>$I$28*$AP$28</f>
        <v>0</v>
      </c>
      <c r="AQ80" s="13">
        <f>$I$28*$AQ$28</f>
        <v>0</v>
      </c>
      <c r="AR80" s="13">
        <f>$I$28*$AR$28</f>
        <v>0</v>
      </c>
      <c r="AS80" s="13">
        <f>$I$28*$AS$28</f>
        <v>0</v>
      </c>
      <c r="AT80" s="13">
        <f>$I$28*$AT$28</f>
        <v>0</v>
      </c>
      <c r="AU80" s="13">
        <f>$I$28*$AU$28</f>
        <v>0</v>
      </c>
      <c r="AV80" s="13">
        <f>$I$28*$AV$28</f>
        <v>0</v>
      </c>
      <c r="AW80" s="13">
        <f>$I$28*$AW$28</f>
        <v>0</v>
      </c>
      <c r="AX80" s="13">
        <f>$I$28*$AX$28</f>
        <v>0</v>
      </c>
      <c r="AY80" s="13">
        <f>$I$28*$AY$28</f>
        <v>0</v>
      </c>
      <c r="AZ80" s="13">
        <f>$I$28*$AZ$28</f>
        <v>0</v>
      </c>
      <c r="BA80" s="13">
        <f>$I$28*$BA$28</f>
        <v>0</v>
      </c>
      <c r="BB80" s="13">
        <f>$I$28*$BB$28</f>
        <v>0</v>
      </c>
      <c r="BC80" s="13">
        <f>$I$28*$BC$28</f>
        <v>0</v>
      </c>
      <c r="BD80" s="13">
        <f>$I$28*$BD$28</f>
        <v>0</v>
      </c>
    </row>
    <row r="81" spans="1:56" ht="11.25" customHeight="1" x14ac:dyDescent="0.25">
      <c r="A81" s="9" t="s">
        <v>22</v>
      </c>
      <c r="B81" s="9" t="s">
        <v>756</v>
      </c>
      <c r="C81" s="9" t="s">
        <v>757</v>
      </c>
      <c r="D81" s="9" t="s">
        <v>774</v>
      </c>
      <c r="E81" s="9" t="s">
        <v>775</v>
      </c>
      <c r="F81" s="9" t="s">
        <v>776</v>
      </c>
      <c r="G81" s="9" t="s">
        <v>777</v>
      </c>
      <c r="L81" s="13">
        <f>$I$29*$L$29</f>
        <v>0</v>
      </c>
      <c r="M81" s="13">
        <f>$I$29*$M$29</f>
        <v>0</v>
      </c>
      <c r="N81" s="13">
        <f ca="1">$I$29*$N$29</f>
        <v>0</v>
      </c>
      <c r="O81" s="13">
        <f>$I$29*$O$29</f>
        <v>0</v>
      </c>
      <c r="P81" s="13">
        <f>$I$29*$P$29</f>
        <v>0</v>
      </c>
      <c r="Q81" s="13">
        <f>$I$29*$Q$29</f>
        <v>0</v>
      </c>
      <c r="R81" s="13">
        <f>$I$29*$R$29</f>
        <v>0</v>
      </c>
      <c r="S81" s="13">
        <f>$I$29*$S$29</f>
        <v>0</v>
      </c>
      <c r="T81" s="13">
        <f>$I$29*$T$29</f>
        <v>0</v>
      </c>
      <c r="U81" s="13">
        <f>$I$29*$U$29</f>
        <v>0</v>
      </c>
      <c r="V81" s="13">
        <f>$I$29*$V$29</f>
        <v>0</v>
      </c>
      <c r="W81" s="13">
        <f>$I$29*$W$29</f>
        <v>0</v>
      </c>
      <c r="X81" s="13">
        <f>$I$29*$X$29</f>
        <v>0</v>
      </c>
      <c r="Y81" s="13">
        <f>$I$29*$Y$29</f>
        <v>0</v>
      </c>
      <c r="Z81" s="13">
        <f>$I$29*$Z$29</f>
        <v>0</v>
      </c>
      <c r="AA81" s="13">
        <f>$I$29*$AA$29</f>
        <v>0</v>
      </c>
      <c r="AB81" s="13">
        <f ca="1">$I$29*$AB$29</f>
        <v>0</v>
      </c>
      <c r="AC81" s="13">
        <f ca="1">$I$29*$AC$29</f>
        <v>0</v>
      </c>
      <c r="AD81" s="13">
        <f>$I$29*$AD$29</f>
        <v>0</v>
      </c>
      <c r="AE81" s="13">
        <f>$I$29*$AE$29</f>
        <v>0</v>
      </c>
      <c r="AF81" s="13">
        <f ca="1">$I$29*$AF$29</f>
        <v>0</v>
      </c>
      <c r="AG81" s="13">
        <f ca="1">$I$29*$AG$29</f>
        <v>0</v>
      </c>
      <c r="AI81" s="13">
        <f>$I$29*$AI$29</f>
        <v>0</v>
      </c>
      <c r="AJ81" s="13">
        <f>$I$29*$AJ$29</f>
        <v>0</v>
      </c>
      <c r="AK81" s="13">
        <f>$I$29*$AK$29</f>
        <v>0</v>
      </c>
      <c r="AL81" s="13">
        <f>$I$29*$AL$29</f>
        <v>0</v>
      </c>
      <c r="AM81" s="13">
        <f>$I$29*$AM$29</f>
        <v>0</v>
      </c>
      <c r="AN81" s="13">
        <f>$I$29*$AN$29</f>
        <v>0</v>
      </c>
      <c r="AO81" s="13">
        <f>$I$29*$AO$29</f>
        <v>0</v>
      </c>
      <c r="AP81" s="13">
        <f>$I$29*$AP$29</f>
        <v>0</v>
      </c>
      <c r="AQ81" s="13">
        <f>$I$29*$AQ$29</f>
        <v>0</v>
      </c>
      <c r="AR81" s="13">
        <f>$I$29*$AR$29</f>
        <v>0</v>
      </c>
      <c r="AS81" s="13">
        <f>$I$29*$AS$29</f>
        <v>0</v>
      </c>
      <c r="AT81" s="13">
        <f>$I$29*$AT$29</f>
        <v>0</v>
      </c>
      <c r="AU81" s="13">
        <f>$I$29*$AU$29</f>
        <v>0</v>
      </c>
      <c r="AV81" s="13">
        <f>$I$29*$AV$29</f>
        <v>0</v>
      </c>
      <c r="AW81" s="13">
        <f>$I$29*$AW$29</f>
        <v>0</v>
      </c>
      <c r="AX81" s="13">
        <f>$I$29*$AX$29</f>
        <v>0</v>
      </c>
      <c r="AY81" s="13">
        <f>$I$29*$AY$29</f>
        <v>0</v>
      </c>
      <c r="AZ81" s="13">
        <f>$I$29*$AZ$29</f>
        <v>0</v>
      </c>
      <c r="BA81" s="13">
        <f>$I$29*$BA$29</f>
        <v>0</v>
      </c>
      <c r="BB81" s="13">
        <f>$I$29*$BB$29</f>
        <v>0</v>
      </c>
      <c r="BC81" s="13">
        <f>$I$29*$BC$29</f>
        <v>0</v>
      </c>
      <c r="BD81" s="13">
        <f>$I$29*$BD$29</f>
        <v>0</v>
      </c>
    </row>
    <row r="82" spans="1:56" ht="11.25" customHeight="1" x14ac:dyDescent="0.25">
      <c r="A82" s="9" t="s">
        <v>41</v>
      </c>
      <c r="B82" s="9" t="s">
        <v>778</v>
      </c>
      <c r="C82" s="9" t="s">
        <v>779</v>
      </c>
      <c r="D82" s="9" t="s">
        <v>780</v>
      </c>
      <c r="E82" s="9" t="s">
        <v>781</v>
      </c>
      <c r="F82" s="9" t="s">
        <v>782</v>
      </c>
      <c r="G82" s="9" t="s">
        <v>783</v>
      </c>
      <c r="L82" s="13">
        <f>$I$30*$L$30</f>
        <v>0</v>
      </c>
      <c r="M82" s="13">
        <f>$I$30*$M$30</f>
        <v>0</v>
      </c>
      <c r="N82" s="13">
        <f ca="1">$I$30*$N$30</f>
        <v>0</v>
      </c>
      <c r="O82" s="13">
        <f>$I$30*$O$30</f>
        <v>0</v>
      </c>
      <c r="P82" s="13">
        <f>$I$30*$P$30</f>
        <v>0</v>
      </c>
      <c r="Q82" s="13">
        <f>$I$30*$Q$30</f>
        <v>0</v>
      </c>
      <c r="R82" s="13">
        <f>$I$30*$R$30</f>
        <v>0</v>
      </c>
      <c r="S82" s="13">
        <f>$I$30*$S$30</f>
        <v>0</v>
      </c>
      <c r="T82" s="13">
        <f>$I$30*$T$30</f>
        <v>0</v>
      </c>
      <c r="U82" s="13">
        <f>$I$30*$U$30</f>
        <v>0</v>
      </c>
      <c r="V82" s="13">
        <f>$I$30*$V$30</f>
        <v>0</v>
      </c>
      <c r="W82" s="13">
        <f>$I$30*$W$30</f>
        <v>0</v>
      </c>
      <c r="X82" s="13">
        <f>$I$30*$X$30</f>
        <v>0</v>
      </c>
      <c r="Y82" s="13">
        <f>$I$30*$Y$30</f>
        <v>0</v>
      </c>
      <c r="Z82" s="13">
        <f>$I$30*$Z$30</f>
        <v>0</v>
      </c>
      <c r="AA82" s="13">
        <f>$I$30*$AA$30</f>
        <v>0</v>
      </c>
      <c r="AB82" s="13">
        <f ca="1">$I$30*$AB$30</f>
        <v>0</v>
      </c>
      <c r="AC82" s="13">
        <f ca="1">$I$30*$AC$30</f>
        <v>0</v>
      </c>
      <c r="AD82" s="13">
        <f>$I$30*$AD$30</f>
        <v>0</v>
      </c>
      <c r="AE82" s="13">
        <f>$I$30*$AE$30</f>
        <v>0</v>
      </c>
      <c r="AF82" s="13">
        <f ca="1">$I$30*$AF$30</f>
        <v>0</v>
      </c>
      <c r="AG82" s="13">
        <f ca="1">$I$30*$AG$30</f>
        <v>0</v>
      </c>
      <c r="AI82" s="13">
        <f>$I$30*$AI$30</f>
        <v>0</v>
      </c>
      <c r="AJ82" s="13">
        <f>$I$30*$AJ$30</f>
        <v>0</v>
      </c>
      <c r="AK82" s="13">
        <f>$I$30*$AK$30</f>
        <v>0</v>
      </c>
      <c r="AL82" s="13">
        <f>$I$30*$AL$30</f>
        <v>0</v>
      </c>
      <c r="AM82" s="13">
        <f>$I$30*$AM$30</f>
        <v>0</v>
      </c>
      <c r="AN82" s="13">
        <f>$I$30*$AN$30</f>
        <v>0</v>
      </c>
      <c r="AO82" s="13">
        <f>$I$30*$AO$30</f>
        <v>0</v>
      </c>
      <c r="AP82" s="13">
        <f>$I$30*$AP$30</f>
        <v>0</v>
      </c>
      <c r="AQ82" s="13">
        <f>$I$30*$AQ$30</f>
        <v>0</v>
      </c>
      <c r="AR82" s="13">
        <f>$I$30*$AR$30</f>
        <v>0</v>
      </c>
      <c r="AS82" s="13">
        <f>$I$30*$AS$30</f>
        <v>0</v>
      </c>
      <c r="AT82" s="13">
        <f>$I$30*$AT$30</f>
        <v>0</v>
      </c>
      <c r="AU82" s="13">
        <f>$I$30*$AU$30</f>
        <v>0</v>
      </c>
      <c r="AV82" s="13">
        <f>$I$30*$AV$30</f>
        <v>0</v>
      </c>
      <c r="AW82" s="13">
        <f>$I$30*$AW$30</f>
        <v>0</v>
      </c>
      <c r="AX82" s="13">
        <f>$I$30*$AX$30</f>
        <v>0</v>
      </c>
      <c r="AY82" s="13">
        <f>$I$30*$AY$30</f>
        <v>0</v>
      </c>
      <c r="AZ82" s="13">
        <f>$I$30*$AZ$30</f>
        <v>0</v>
      </c>
      <c r="BA82" s="13">
        <f>$I$30*$BA$30</f>
        <v>0</v>
      </c>
      <c r="BB82" s="13">
        <f>$I$30*$BB$30</f>
        <v>0</v>
      </c>
      <c r="BC82" s="13">
        <f>$I$30*$BC$30</f>
        <v>0</v>
      </c>
      <c r="BD82" s="13">
        <f>$I$30*$BD$30</f>
        <v>0</v>
      </c>
    </row>
    <row r="83" spans="1:56" ht="11.25" customHeight="1" x14ac:dyDescent="0.25">
      <c r="A83" s="9" t="s">
        <v>41</v>
      </c>
      <c r="B83" s="9" t="s">
        <v>778</v>
      </c>
      <c r="C83" s="9" t="s">
        <v>779</v>
      </c>
      <c r="D83" s="9" t="s">
        <v>780</v>
      </c>
      <c r="E83" s="9" t="s">
        <v>781</v>
      </c>
      <c r="F83" s="9" t="s">
        <v>782</v>
      </c>
      <c r="G83" s="9" t="s">
        <v>784</v>
      </c>
      <c r="L83" s="13">
        <f>$I$31*$L$31</f>
        <v>0</v>
      </c>
      <c r="M83" s="13">
        <f>$I$31*$M$31</f>
        <v>0</v>
      </c>
      <c r="N83" s="13">
        <f ca="1">$I$31*$N$31</f>
        <v>0</v>
      </c>
      <c r="O83" s="13">
        <f>$I$31*$O$31</f>
        <v>0</v>
      </c>
      <c r="P83" s="13">
        <f>$I$31*$P$31</f>
        <v>0</v>
      </c>
      <c r="Q83" s="13">
        <f>$I$31*$Q$31</f>
        <v>0</v>
      </c>
      <c r="R83" s="13">
        <f>$I$31*$R$31</f>
        <v>0</v>
      </c>
      <c r="S83" s="13">
        <f>$I$31*$S$31</f>
        <v>0</v>
      </c>
      <c r="T83" s="13">
        <f>$I$31*$T$31</f>
        <v>0</v>
      </c>
      <c r="U83" s="13">
        <f>$I$31*$U$31</f>
        <v>0</v>
      </c>
      <c r="V83" s="13">
        <f>$I$31*$V$31</f>
        <v>0</v>
      </c>
      <c r="W83" s="13">
        <f>$I$31*$W$31</f>
        <v>0</v>
      </c>
      <c r="X83" s="13">
        <f>$I$31*$X$31</f>
        <v>0</v>
      </c>
      <c r="Y83" s="13">
        <f>$I$31*$Y$31</f>
        <v>0</v>
      </c>
      <c r="Z83" s="13">
        <f>$I$31*$Z$31</f>
        <v>0</v>
      </c>
      <c r="AA83" s="13">
        <f>$I$31*$AA$31</f>
        <v>0</v>
      </c>
      <c r="AB83" s="13">
        <f ca="1">$I$31*$AB$31</f>
        <v>0</v>
      </c>
      <c r="AC83" s="13">
        <f ca="1">$I$31*$AC$31</f>
        <v>0</v>
      </c>
      <c r="AD83" s="13">
        <f>$I$31*$AD$31</f>
        <v>0</v>
      </c>
      <c r="AE83" s="13">
        <f>$I$31*$AE$31</f>
        <v>0</v>
      </c>
      <c r="AF83" s="13">
        <f ca="1">$I$31*$AF$31</f>
        <v>0</v>
      </c>
      <c r="AG83" s="13">
        <f ca="1">$I$31*$AG$31</f>
        <v>0</v>
      </c>
      <c r="AI83" s="13">
        <f>$I$31*$AI$31</f>
        <v>0</v>
      </c>
      <c r="AJ83" s="13">
        <f>$I$31*$AJ$31</f>
        <v>0</v>
      </c>
      <c r="AK83" s="13">
        <f>$I$31*$AK$31</f>
        <v>0</v>
      </c>
      <c r="AL83" s="13">
        <f>$I$31*$AL$31</f>
        <v>0</v>
      </c>
      <c r="AM83" s="13">
        <f>$I$31*$AM$31</f>
        <v>0</v>
      </c>
      <c r="AN83" s="13">
        <f>$I$31*$AN$31</f>
        <v>0</v>
      </c>
      <c r="AO83" s="13">
        <f>$I$31*$AO$31</f>
        <v>0</v>
      </c>
      <c r="AP83" s="13">
        <f>$I$31*$AP$31</f>
        <v>0</v>
      </c>
      <c r="AQ83" s="13">
        <f>$I$31*$AQ$31</f>
        <v>0</v>
      </c>
      <c r="AR83" s="13">
        <f>$I$31*$AR$31</f>
        <v>0</v>
      </c>
      <c r="AS83" s="13">
        <f>$I$31*$AS$31</f>
        <v>0</v>
      </c>
      <c r="AT83" s="13">
        <f>$I$31*$AT$31</f>
        <v>0</v>
      </c>
      <c r="AU83" s="13">
        <f>$I$31*$AU$31</f>
        <v>0</v>
      </c>
      <c r="AV83" s="13">
        <f>$I$31*$AV$31</f>
        <v>0</v>
      </c>
      <c r="AW83" s="13">
        <f>$I$31*$AW$31</f>
        <v>0</v>
      </c>
      <c r="AX83" s="13">
        <f>$I$31*$AX$31</f>
        <v>0</v>
      </c>
      <c r="AY83" s="13">
        <f>$I$31*$AY$31</f>
        <v>0</v>
      </c>
      <c r="AZ83" s="13">
        <f>$I$31*$AZ$31</f>
        <v>0</v>
      </c>
      <c r="BA83" s="13">
        <f>$I$31*$BA$31</f>
        <v>0</v>
      </c>
      <c r="BB83" s="13">
        <f>$I$31*$BB$31</f>
        <v>0</v>
      </c>
      <c r="BC83" s="13">
        <f>$I$31*$BC$31</f>
        <v>0</v>
      </c>
      <c r="BD83" s="13">
        <f>$I$31*$BD$31</f>
        <v>0</v>
      </c>
    </row>
    <row r="84" spans="1:56" ht="11.25" customHeight="1" x14ac:dyDescent="0.25">
      <c r="A84" s="9" t="s">
        <v>41</v>
      </c>
      <c r="B84" s="9" t="s">
        <v>778</v>
      </c>
      <c r="C84" s="9" t="s">
        <v>779</v>
      </c>
      <c r="D84" s="9" t="s">
        <v>780</v>
      </c>
      <c r="E84" s="9" t="s">
        <v>781</v>
      </c>
      <c r="F84" s="9" t="s">
        <v>782</v>
      </c>
      <c r="G84" s="9" t="s">
        <v>785</v>
      </c>
      <c r="L84" s="13">
        <f>$I$32*$L$32</f>
        <v>0</v>
      </c>
      <c r="M84" s="13">
        <f>$I$32*$M$32</f>
        <v>0</v>
      </c>
      <c r="N84" s="13">
        <f ca="1">$I$32*$N$32</f>
        <v>0</v>
      </c>
      <c r="O84" s="13">
        <f>$I$32*$O$32</f>
        <v>0</v>
      </c>
      <c r="P84" s="13">
        <f>$I$32*$P$32</f>
        <v>0</v>
      </c>
      <c r="Q84" s="13">
        <f>$I$32*$Q$32</f>
        <v>0</v>
      </c>
      <c r="R84" s="13">
        <f>$I$32*$R$32</f>
        <v>0</v>
      </c>
      <c r="S84" s="13">
        <f>$I$32*$S$32</f>
        <v>0</v>
      </c>
      <c r="T84" s="13">
        <f>$I$32*$T$32</f>
        <v>0</v>
      </c>
      <c r="U84" s="13">
        <f>$I$32*$U$32</f>
        <v>0</v>
      </c>
      <c r="V84" s="13">
        <f>$I$32*$V$32</f>
        <v>0</v>
      </c>
      <c r="W84" s="13">
        <f>$I$32*$W$32</f>
        <v>0</v>
      </c>
      <c r="X84" s="13">
        <f>$I$32*$X$32</f>
        <v>0</v>
      </c>
      <c r="Y84" s="13">
        <f>$I$32*$Y$32</f>
        <v>0</v>
      </c>
      <c r="Z84" s="13">
        <f>$I$32*$Z$32</f>
        <v>0</v>
      </c>
      <c r="AA84" s="13">
        <f>$I$32*$AA$32</f>
        <v>0</v>
      </c>
      <c r="AB84" s="13">
        <f ca="1">$I$32*$AB$32</f>
        <v>0</v>
      </c>
      <c r="AC84" s="13">
        <f ca="1">$I$32*$AC$32</f>
        <v>0</v>
      </c>
      <c r="AD84" s="13">
        <f>$I$32*$AD$32</f>
        <v>0</v>
      </c>
      <c r="AE84" s="13">
        <f>$I$32*$AE$32</f>
        <v>0</v>
      </c>
      <c r="AF84" s="13">
        <f ca="1">$I$32*$AF$32</f>
        <v>0</v>
      </c>
      <c r="AG84" s="13">
        <f ca="1">$I$32*$AG$32</f>
        <v>0</v>
      </c>
      <c r="AI84" s="13">
        <f>$I$32*$AI$32</f>
        <v>0</v>
      </c>
      <c r="AJ84" s="13">
        <f>$I$32*$AJ$32</f>
        <v>0</v>
      </c>
      <c r="AK84" s="13">
        <f>$I$32*$AK$32</f>
        <v>0</v>
      </c>
      <c r="AL84" s="13">
        <f>$I$32*$AL$32</f>
        <v>0</v>
      </c>
      <c r="AM84" s="13">
        <f>$I$32*$AM$32</f>
        <v>0</v>
      </c>
      <c r="AN84" s="13">
        <f>$I$32*$AN$32</f>
        <v>0</v>
      </c>
      <c r="AO84" s="13">
        <f>$I$32*$AO$32</f>
        <v>0</v>
      </c>
      <c r="AP84" s="13">
        <f>$I$32*$AP$32</f>
        <v>0</v>
      </c>
      <c r="AQ84" s="13">
        <f>$I$32*$AQ$32</f>
        <v>0</v>
      </c>
      <c r="AR84" s="13">
        <f>$I$32*$AR$32</f>
        <v>0</v>
      </c>
      <c r="AS84" s="13">
        <f>$I$32*$AS$32</f>
        <v>0</v>
      </c>
      <c r="AT84" s="13">
        <f>$I$32*$AT$32</f>
        <v>0</v>
      </c>
      <c r="AU84" s="13">
        <f>$I$32*$AU$32</f>
        <v>0</v>
      </c>
      <c r="AV84" s="13">
        <f>$I$32*$AV$32</f>
        <v>0</v>
      </c>
      <c r="AW84" s="13">
        <f>$I$32*$AW$32</f>
        <v>0</v>
      </c>
      <c r="AX84" s="13">
        <f>$I$32*$AX$32</f>
        <v>0</v>
      </c>
      <c r="AY84" s="13">
        <f>$I$32*$AY$32</f>
        <v>0</v>
      </c>
      <c r="AZ84" s="13">
        <f>$I$32*$AZ$32</f>
        <v>0</v>
      </c>
      <c r="BA84" s="13">
        <f>$I$32*$BA$32</f>
        <v>0</v>
      </c>
      <c r="BB84" s="13">
        <f>$I$32*$BB$32</f>
        <v>0</v>
      </c>
      <c r="BC84" s="13">
        <f>$I$32*$BC$32</f>
        <v>0</v>
      </c>
      <c r="BD84" s="13">
        <f>$I$32*$BD$32</f>
        <v>0</v>
      </c>
    </row>
    <row r="85" spans="1:56" ht="11.25" customHeight="1" x14ac:dyDescent="0.25">
      <c r="A85" s="9" t="s">
        <v>41</v>
      </c>
      <c r="B85" s="9" t="s">
        <v>786</v>
      </c>
      <c r="C85" s="9" t="s">
        <v>787</v>
      </c>
      <c r="D85" s="9" t="s">
        <v>788</v>
      </c>
      <c r="E85" s="9" t="s">
        <v>789</v>
      </c>
      <c r="F85" s="9" t="s">
        <v>790</v>
      </c>
      <c r="G85" s="9" t="s">
        <v>791</v>
      </c>
      <c r="L85" s="13">
        <f>$I$33*$L$33</f>
        <v>0</v>
      </c>
      <c r="M85" s="13">
        <f>$I$33*$M$33</f>
        <v>44145.933767650116</v>
      </c>
      <c r="N85" s="13">
        <f ca="1">$I$33*$N$33</f>
        <v>0</v>
      </c>
      <c r="O85" s="13">
        <f>$I$33*$O$33</f>
        <v>0</v>
      </c>
      <c r="P85" s="13">
        <f>$I$33*$P$33</f>
        <v>0</v>
      </c>
      <c r="Q85" s="13">
        <f>$I$33*$Q$33</f>
        <v>1802748.5569631963</v>
      </c>
      <c r="R85" s="13">
        <f>$I$33*$R$33</f>
        <v>284450.65310886578</v>
      </c>
      <c r="S85" s="13">
        <f>$I$33*$S$33</f>
        <v>0</v>
      </c>
      <c r="T85" s="13">
        <f>$I$33*$T$33</f>
        <v>0</v>
      </c>
      <c r="U85" s="13">
        <f>$I$33*$U$33</f>
        <v>0</v>
      </c>
      <c r="V85" s="13">
        <f>$I$33*$V$33</f>
        <v>0</v>
      </c>
      <c r="W85" s="13">
        <f>$I$33*$W$33</f>
        <v>0</v>
      </c>
      <c r="X85" s="13">
        <f>$I$33*$X$33</f>
        <v>2857661.7667467739</v>
      </c>
      <c r="Y85" s="13">
        <f>$I$33*$Y$33</f>
        <v>0</v>
      </c>
      <c r="Z85" s="13">
        <f>$I$33*$Z$33</f>
        <v>0</v>
      </c>
      <c r="AA85" s="13">
        <f>$I$33*$AA$33</f>
        <v>5825038.8307452574</v>
      </c>
      <c r="AB85" s="13">
        <f ca="1">$I$33*$AB$33</f>
        <v>0</v>
      </c>
      <c r="AC85" s="13">
        <f ca="1">$I$33*$AC$33</f>
        <v>0</v>
      </c>
      <c r="AD85" s="13">
        <f>$I$33*$AD$33</f>
        <v>612619.86440547311</v>
      </c>
      <c r="AE85" s="13">
        <f>$I$33*$AE$33</f>
        <v>21491.102520450222</v>
      </c>
      <c r="AF85" s="13">
        <f ca="1">$I$33*$AF$33</f>
        <v>0</v>
      </c>
      <c r="AG85" s="13">
        <f ca="1">$I$33*$AG$33</f>
        <v>0</v>
      </c>
      <c r="AI85" s="13">
        <f>$I$33*$AI$33</f>
        <v>0</v>
      </c>
      <c r="AJ85" s="13">
        <f>$I$33*$AJ$33</f>
        <v>40172.99588200976</v>
      </c>
      <c r="AK85" s="13">
        <f>$I$33*$AK$33</f>
        <v>0</v>
      </c>
      <c r="AL85" s="13">
        <f>$I$33*$AL$33</f>
        <v>0</v>
      </c>
      <c r="AM85" s="13">
        <f>$I$33*$AM$33</f>
        <v>0</v>
      </c>
      <c r="AN85" s="13">
        <f>$I$33*$AN$33</f>
        <v>1070650.9408454485</v>
      </c>
      <c r="AO85" s="13">
        <f>$I$33*$AO$33</f>
        <v>166938.05270476372</v>
      </c>
      <c r="AP85" s="13">
        <f>$I$33*$AP$33</f>
        <v>0</v>
      </c>
      <c r="AQ85" s="13">
        <f>$I$33*$AQ$33</f>
        <v>0</v>
      </c>
      <c r="AR85" s="13">
        <f>$I$33*$AR$33</f>
        <v>0</v>
      </c>
      <c r="AS85" s="13">
        <f>$I$33*$AS$33</f>
        <v>0</v>
      </c>
      <c r="AT85" s="13">
        <f>$I$33*$AT$33</f>
        <v>0</v>
      </c>
      <c r="AU85" s="13">
        <f>$I$33*$AU$33</f>
        <v>2368492.7659571078</v>
      </c>
      <c r="AV85" s="13">
        <f>$I$33*$AV$33</f>
        <v>0</v>
      </c>
      <c r="AW85" s="13">
        <f>$I$33*$AW$33</f>
        <v>0</v>
      </c>
      <c r="AX85" s="13">
        <f>$I$33*$AX$33</f>
        <v>5163383.0976134222</v>
      </c>
      <c r="AY85" s="13">
        <f>$I$33*$AY$33</f>
        <v>0</v>
      </c>
      <c r="AZ85" s="13">
        <f>$I$33*$AZ$33</f>
        <v>0</v>
      </c>
      <c r="BA85" s="13">
        <f>$I$33*$BA$33</f>
        <v>371125.52854276088</v>
      </c>
      <c r="BB85" s="13">
        <f>$I$33*$BB$33</f>
        <v>0</v>
      </c>
      <c r="BC85" s="13">
        <f>$I$33*$BC$33</f>
        <v>0</v>
      </c>
      <c r="BD85" s="13">
        <f>$I$33*$BD$33</f>
        <v>0</v>
      </c>
    </row>
    <row r="86" spans="1:56" ht="11.25" customHeight="1" x14ac:dyDescent="0.25">
      <c r="A86" s="9" t="s">
        <v>41</v>
      </c>
      <c r="B86" s="9" t="s">
        <v>778</v>
      </c>
      <c r="C86" s="9" t="s">
        <v>779</v>
      </c>
      <c r="D86" s="9" t="s">
        <v>792</v>
      </c>
      <c r="E86" s="9" t="s">
        <v>793</v>
      </c>
      <c r="F86" s="9" t="s">
        <v>794</v>
      </c>
      <c r="G86" s="9" t="s">
        <v>795</v>
      </c>
      <c r="L86" s="13">
        <f>$I$34*$L$34</f>
        <v>0</v>
      </c>
      <c r="M86" s="13">
        <f>$I$34*$M$34</f>
        <v>0</v>
      </c>
      <c r="N86" s="13">
        <f ca="1">$I$34*$N$34</f>
        <v>0</v>
      </c>
      <c r="O86" s="13">
        <f>$I$34*$O$34</f>
        <v>0</v>
      </c>
      <c r="P86" s="13">
        <f>$I$34*$P$34</f>
        <v>0</v>
      </c>
      <c r="Q86" s="13">
        <f>$I$34*$Q$34</f>
        <v>0</v>
      </c>
      <c r="R86" s="13">
        <f>$I$34*$R$34</f>
        <v>0</v>
      </c>
      <c r="S86" s="13">
        <f>$I$34*$S$34</f>
        <v>0</v>
      </c>
      <c r="T86" s="13">
        <f>$I$34*$T$34</f>
        <v>0</v>
      </c>
      <c r="U86" s="13">
        <f>$I$34*$U$34</f>
        <v>0</v>
      </c>
      <c r="V86" s="13">
        <f>$I$34*$V$34</f>
        <v>0</v>
      </c>
      <c r="W86" s="13">
        <f>$I$34*$W$34</f>
        <v>0</v>
      </c>
      <c r="X86" s="13">
        <f>$I$34*$X$34</f>
        <v>0</v>
      </c>
      <c r="Y86" s="13">
        <f>$I$34*$Y$34</f>
        <v>0</v>
      </c>
      <c r="Z86" s="13">
        <f>$I$34*$Z$34</f>
        <v>0</v>
      </c>
      <c r="AA86" s="13">
        <f>$I$34*$AA$34</f>
        <v>0</v>
      </c>
      <c r="AB86" s="13">
        <f ca="1">$I$34*$AB$34</f>
        <v>0</v>
      </c>
      <c r="AC86" s="13">
        <f ca="1">$I$34*$AC$34</f>
        <v>0</v>
      </c>
      <c r="AD86" s="13">
        <f>$I$34*$AD$34</f>
        <v>0</v>
      </c>
      <c r="AE86" s="13">
        <f>$I$34*$AE$34</f>
        <v>0</v>
      </c>
      <c r="AF86" s="13">
        <f ca="1">$I$34*$AF$34</f>
        <v>0</v>
      </c>
      <c r="AG86" s="13">
        <f ca="1">$I$34*$AG$34</f>
        <v>0</v>
      </c>
      <c r="AI86" s="13">
        <f>$I$34*$AI$34</f>
        <v>0</v>
      </c>
      <c r="AJ86" s="13">
        <f>$I$34*$AJ$34</f>
        <v>0</v>
      </c>
      <c r="AK86" s="13">
        <f>$I$34*$AK$34</f>
        <v>0</v>
      </c>
      <c r="AL86" s="13">
        <f>$I$34*$AL$34</f>
        <v>0</v>
      </c>
      <c r="AM86" s="13">
        <f>$I$34*$AM$34</f>
        <v>0</v>
      </c>
      <c r="AN86" s="13">
        <f>$I$34*$AN$34</f>
        <v>0</v>
      </c>
      <c r="AO86" s="13">
        <f>$I$34*$AO$34</f>
        <v>0</v>
      </c>
      <c r="AP86" s="13">
        <f>$I$34*$AP$34</f>
        <v>0</v>
      </c>
      <c r="AQ86" s="13">
        <f>$I$34*$AQ$34</f>
        <v>0</v>
      </c>
      <c r="AR86" s="13">
        <f>$I$34*$AR$34</f>
        <v>0</v>
      </c>
      <c r="AS86" s="13">
        <f>$I$34*$AS$34</f>
        <v>0</v>
      </c>
      <c r="AT86" s="13">
        <f>$I$34*$AT$34</f>
        <v>0</v>
      </c>
      <c r="AU86" s="13">
        <f>$I$34*$AU$34</f>
        <v>0</v>
      </c>
      <c r="AV86" s="13">
        <f>$I$34*$AV$34</f>
        <v>0</v>
      </c>
      <c r="AW86" s="13">
        <f>$I$34*$AW$34</f>
        <v>0</v>
      </c>
      <c r="AX86" s="13">
        <f>$I$34*$AX$34</f>
        <v>0</v>
      </c>
      <c r="AY86" s="13">
        <f>$I$34*$AY$34</f>
        <v>0</v>
      </c>
      <c r="AZ86" s="13">
        <f>$I$34*$AZ$34</f>
        <v>0</v>
      </c>
      <c r="BA86" s="13">
        <f>$I$34*$BA$34</f>
        <v>0</v>
      </c>
      <c r="BB86" s="13">
        <f>$I$34*$BB$34</f>
        <v>0</v>
      </c>
      <c r="BC86" s="13">
        <f>$I$34*$BC$34</f>
        <v>0</v>
      </c>
      <c r="BD86" s="13">
        <f>$I$34*$BD$34</f>
        <v>0</v>
      </c>
    </row>
    <row r="87" spans="1:56" ht="11.25" customHeight="1" x14ac:dyDescent="0.25">
      <c r="A87" s="9" t="s">
        <v>41</v>
      </c>
      <c r="B87" s="9" t="s">
        <v>778</v>
      </c>
      <c r="C87" s="9" t="s">
        <v>779</v>
      </c>
      <c r="D87" s="9" t="s">
        <v>792</v>
      </c>
      <c r="E87" s="9" t="s">
        <v>793</v>
      </c>
      <c r="F87" s="9" t="s">
        <v>794</v>
      </c>
      <c r="G87" s="9" t="s">
        <v>796</v>
      </c>
      <c r="L87" s="13">
        <f>$I$35*$L$35</f>
        <v>0</v>
      </c>
      <c r="M87" s="13">
        <f>$I$35*$M$35</f>
        <v>0</v>
      </c>
      <c r="N87" s="13">
        <f ca="1">$I$35*$N$35</f>
        <v>0</v>
      </c>
      <c r="O87" s="13">
        <f>$I$35*$O$35</f>
        <v>0</v>
      </c>
      <c r="P87" s="13">
        <f>$I$35*$P$35</f>
        <v>0</v>
      </c>
      <c r="Q87" s="13">
        <f>$I$35*$Q$35</f>
        <v>0</v>
      </c>
      <c r="R87" s="13">
        <f>$I$35*$R$35</f>
        <v>0</v>
      </c>
      <c r="S87" s="13">
        <f>$I$35*$S$35</f>
        <v>0</v>
      </c>
      <c r="T87" s="13">
        <f>$I$35*$T$35</f>
        <v>0</v>
      </c>
      <c r="U87" s="13">
        <f>$I$35*$U$35</f>
        <v>0</v>
      </c>
      <c r="V87" s="13">
        <f>$I$35*$V$35</f>
        <v>0</v>
      </c>
      <c r="W87" s="13">
        <f>$I$35*$W$35</f>
        <v>0</v>
      </c>
      <c r="X87" s="13">
        <f>$I$35*$X$35</f>
        <v>0</v>
      </c>
      <c r="Y87" s="13">
        <f>$I$35*$Y$35</f>
        <v>0</v>
      </c>
      <c r="Z87" s="13">
        <f>$I$35*$Z$35</f>
        <v>0</v>
      </c>
      <c r="AA87" s="13">
        <f>$I$35*$AA$35</f>
        <v>0</v>
      </c>
      <c r="AB87" s="13">
        <f ca="1">$I$35*$AB$35</f>
        <v>0</v>
      </c>
      <c r="AC87" s="13">
        <f ca="1">$I$35*$AC$35</f>
        <v>0</v>
      </c>
      <c r="AD87" s="13">
        <f>$I$35*$AD$35</f>
        <v>0</v>
      </c>
      <c r="AE87" s="13">
        <f>$I$35*$AE$35</f>
        <v>0</v>
      </c>
      <c r="AF87" s="13">
        <f ca="1">$I$35*$AF$35</f>
        <v>0</v>
      </c>
      <c r="AG87" s="13">
        <f ca="1">$I$35*$AG$35</f>
        <v>0</v>
      </c>
      <c r="AI87" s="13">
        <f>$I$35*$AI$35</f>
        <v>0</v>
      </c>
      <c r="AJ87" s="13">
        <f>$I$35*$AJ$35</f>
        <v>0</v>
      </c>
      <c r="AK87" s="13">
        <f>$I$35*$AK$35</f>
        <v>0</v>
      </c>
      <c r="AL87" s="13">
        <f>$I$35*$AL$35</f>
        <v>0</v>
      </c>
      <c r="AM87" s="13">
        <f>$I$35*$AM$35</f>
        <v>0</v>
      </c>
      <c r="AN87" s="13">
        <f>$I$35*$AN$35</f>
        <v>0</v>
      </c>
      <c r="AO87" s="13">
        <f>$I$35*$AO$35</f>
        <v>0</v>
      </c>
      <c r="AP87" s="13">
        <f>$I$35*$AP$35</f>
        <v>0</v>
      </c>
      <c r="AQ87" s="13">
        <f>$I$35*$AQ$35</f>
        <v>0</v>
      </c>
      <c r="AR87" s="13">
        <f>$I$35*$AR$35</f>
        <v>0</v>
      </c>
      <c r="AS87" s="13">
        <f>$I$35*$AS$35</f>
        <v>0</v>
      </c>
      <c r="AT87" s="13">
        <f>$I$35*$AT$35</f>
        <v>0</v>
      </c>
      <c r="AU87" s="13">
        <f>$I$35*$AU$35</f>
        <v>0</v>
      </c>
      <c r="AV87" s="13">
        <f>$I$35*$AV$35</f>
        <v>0</v>
      </c>
      <c r="AW87" s="13">
        <f>$I$35*$AW$35</f>
        <v>0</v>
      </c>
      <c r="AX87" s="13">
        <f>$I$35*$AX$35</f>
        <v>0</v>
      </c>
      <c r="AY87" s="13">
        <f>$I$35*$AY$35</f>
        <v>0</v>
      </c>
      <c r="AZ87" s="13">
        <f>$I$35*$AZ$35</f>
        <v>0</v>
      </c>
      <c r="BA87" s="13">
        <f>$I$35*$BA$35</f>
        <v>0</v>
      </c>
      <c r="BB87" s="13">
        <f>$I$35*$BB$35</f>
        <v>0</v>
      </c>
      <c r="BC87" s="13">
        <f>$I$35*$BC$35</f>
        <v>0</v>
      </c>
      <c r="BD87" s="13">
        <f>$I$35*$BD$35</f>
        <v>0</v>
      </c>
    </row>
    <row r="88" spans="1:56" ht="11.25" customHeight="1" x14ac:dyDescent="0.25">
      <c r="A88" s="9" t="s">
        <v>41</v>
      </c>
      <c r="B88" s="9" t="s">
        <v>778</v>
      </c>
      <c r="C88" s="9" t="s">
        <v>779</v>
      </c>
      <c r="D88" s="9" t="s">
        <v>792</v>
      </c>
      <c r="E88" s="9" t="s">
        <v>793</v>
      </c>
      <c r="F88" s="9" t="s">
        <v>794</v>
      </c>
      <c r="G88" s="9" t="s">
        <v>797</v>
      </c>
      <c r="L88" s="13">
        <f>$I$36*$L$36</f>
        <v>0</v>
      </c>
      <c r="M88" s="13">
        <f>$I$36*$M$36</f>
        <v>0</v>
      </c>
      <c r="N88" s="13">
        <f ca="1">$I$36*$N$36</f>
        <v>0</v>
      </c>
      <c r="O88" s="13">
        <f>$I$36*$O$36</f>
        <v>0</v>
      </c>
      <c r="P88" s="13">
        <f>$I$36*$P$36</f>
        <v>0</v>
      </c>
      <c r="Q88" s="13">
        <f>$I$36*$Q$36</f>
        <v>0</v>
      </c>
      <c r="R88" s="13">
        <f>$I$36*$R$36</f>
        <v>0</v>
      </c>
      <c r="S88" s="13">
        <f>$I$36*$S$36</f>
        <v>0</v>
      </c>
      <c r="T88" s="13">
        <f>$I$36*$T$36</f>
        <v>0</v>
      </c>
      <c r="U88" s="13">
        <f>$I$36*$U$36</f>
        <v>0</v>
      </c>
      <c r="V88" s="13">
        <f>$I$36*$V$36</f>
        <v>0</v>
      </c>
      <c r="W88" s="13">
        <f>$I$36*$W$36</f>
        <v>0</v>
      </c>
      <c r="X88" s="13">
        <f>$I$36*$X$36</f>
        <v>0</v>
      </c>
      <c r="Y88" s="13">
        <f>$I$36*$Y$36</f>
        <v>0</v>
      </c>
      <c r="Z88" s="13">
        <f>$I$36*$Z$36</f>
        <v>0</v>
      </c>
      <c r="AA88" s="13">
        <f>$I$36*$AA$36</f>
        <v>0</v>
      </c>
      <c r="AB88" s="13">
        <f ca="1">$I$36*$AB$36</f>
        <v>0</v>
      </c>
      <c r="AC88" s="13">
        <f ca="1">$I$36*$AC$36</f>
        <v>0</v>
      </c>
      <c r="AD88" s="13">
        <f>$I$36*$AD$36</f>
        <v>0</v>
      </c>
      <c r="AE88" s="13">
        <f>$I$36*$AE$36</f>
        <v>0</v>
      </c>
      <c r="AF88" s="13">
        <f ca="1">$I$36*$AF$36</f>
        <v>0</v>
      </c>
      <c r="AG88" s="13">
        <f ca="1">$I$36*$AG$36</f>
        <v>0</v>
      </c>
      <c r="AI88" s="13">
        <f>$I$36*$AI$36</f>
        <v>0</v>
      </c>
      <c r="AJ88" s="13">
        <f>$I$36*$AJ$36</f>
        <v>0</v>
      </c>
      <c r="AK88" s="13">
        <f>$I$36*$AK$36</f>
        <v>0</v>
      </c>
      <c r="AL88" s="13">
        <f>$I$36*$AL$36</f>
        <v>0</v>
      </c>
      <c r="AM88" s="13">
        <f>$I$36*$AM$36</f>
        <v>0</v>
      </c>
      <c r="AN88" s="13">
        <f>$I$36*$AN$36</f>
        <v>0</v>
      </c>
      <c r="AO88" s="13">
        <f>$I$36*$AO$36</f>
        <v>0</v>
      </c>
      <c r="AP88" s="13">
        <f>$I$36*$AP$36</f>
        <v>0</v>
      </c>
      <c r="AQ88" s="13">
        <f>$I$36*$AQ$36</f>
        <v>0</v>
      </c>
      <c r="AR88" s="13">
        <f>$I$36*$AR$36</f>
        <v>0</v>
      </c>
      <c r="AS88" s="13">
        <f>$I$36*$AS$36</f>
        <v>0</v>
      </c>
      <c r="AT88" s="13">
        <f>$I$36*$AT$36</f>
        <v>0</v>
      </c>
      <c r="AU88" s="13">
        <f>$I$36*$AU$36</f>
        <v>0</v>
      </c>
      <c r="AV88" s="13">
        <f>$I$36*$AV$36</f>
        <v>0</v>
      </c>
      <c r="AW88" s="13">
        <f>$I$36*$AW$36</f>
        <v>0</v>
      </c>
      <c r="AX88" s="13">
        <f>$I$36*$AX$36</f>
        <v>0</v>
      </c>
      <c r="AY88" s="13">
        <f>$I$36*$AY$36</f>
        <v>0</v>
      </c>
      <c r="AZ88" s="13">
        <f>$I$36*$AZ$36</f>
        <v>0</v>
      </c>
      <c r="BA88" s="13">
        <f>$I$36*$BA$36</f>
        <v>0</v>
      </c>
      <c r="BB88" s="13">
        <f>$I$36*$BB$36</f>
        <v>0</v>
      </c>
      <c r="BC88" s="13">
        <f>$I$36*$BC$36</f>
        <v>0</v>
      </c>
      <c r="BD88" s="13">
        <f>$I$36*$BD$36</f>
        <v>0</v>
      </c>
    </row>
    <row r="89" spans="1:56" ht="11.25" customHeight="1" x14ac:dyDescent="0.25">
      <c r="A89" s="9" t="s">
        <v>41</v>
      </c>
      <c r="B89" s="9" t="s">
        <v>786</v>
      </c>
      <c r="C89" s="9" t="s">
        <v>787</v>
      </c>
      <c r="D89" s="9" t="s">
        <v>798</v>
      </c>
      <c r="E89" s="9" t="s">
        <v>799</v>
      </c>
      <c r="F89" s="9" t="s">
        <v>800</v>
      </c>
      <c r="G89" s="9" t="s">
        <v>801</v>
      </c>
      <c r="L89" s="13">
        <f>$I$37*$L$37</f>
        <v>0</v>
      </c>
      <c r="M89" s="13">
        <f>$I$37*$M$37</f>
        <v>0</v>
      </c>
      <c r="N89" s="13">
        <f ca="1">$I$37*$N$37</f>
        <v>0</v>
      </c>
      <c r="O89" s="13">
        <f>$I$37*$O$37</f>
        <v>0</v>
      </c>
      <c r="P89" s="13">
        <f>$I$37*$P$37</f>
        <v>0</v>
      </c>
      <c r="Q89" s="13">
        <f>$I$37*$Q$37</f>
        <v>0</v>
      </c>
      <c r="R89" s="13">
        <f>$I$37*$R$37</f>
        <v>0</v>
      </c>
      <c r="S89" s="13">
        <f>$I$37*$S$37</f>
        <v>0</v>
      </c>
      <c r="T89" s="13">
        <f>$I$37*$T$37</f>
        <v>0</v>
      </c>
      <c r="U89" s="13">
        <f>$I$37*$U$37</f>
        <v>0</v>
      </c>
      <c r="V89" s="13">
        <f>$I$37*$V$37</f>
        <v>0</v>
      </c>
      <c r="W89" s="13">
        <f>$I$37*$W$37</f>
        <v>0</v>
      </c>
      <c r="X89" s="13">
        <f>$I$37*$X$37</f>
        <v>0</v>
      </c>
      <c r="Y89" s="13">
        <f>$I$37*$Y$37</f>
        <v>0</v>
      </c>
      <c r="Z89" s="13">
        <f>$I$37*$Z$37</f>
        <v>0</v>
      </c>
      <c r="AA89" s="13">
        <f>$I$37*$AA$37</f>
        <v>0</v>
      </c>
      <c r="AB89" s="13">
        <f ca="1">$I$37*$AB$37</f>
        <v>0</v>
      </c>
      <c r="AC89" s="13">
        <f ca="1">$I$37*$AC$37</f>
        <v>0</v>
      </c>
      <c r="AD89" s="13">
        <f>$I$37*$AD$37</f>
        <v>0</v>
      </c>
      <c r="AE89" s="13">
        <f>$I$37*$AE$37</f>
        <v>0</v>
      </c>
      <c r="AF89" s="13">
        <f ca="1">$I$37*$AF$37</f>
        <v>0</v>
      </c>
      <c r="AG89" s="13">
        <f ca="1">$I$37*$AG$37</f>
        <v>0</v>
      </c>
      <c r="AI89" s="13">
        <f>$I$37*$AI$37</f>
        <v>0</v>
      </c>
      <c r="AJ89" s="13">
        <f>$I$37*$AJ$37</f>
        <v>0</v>
      </c>
      <c r="AK89" s="13">
        <f>$I$37*$AK$37</f>
        <v>0</v>
      </c>
      <c r="AL89" s="13">
        <f>$I$37*$AL$37</f>
        <v>0</v>
      </c>
      <c r="AM89" s="13">
        <f>$I$37*$AM$37</f>
        <v>0</v>
      </c>
      <c r="AN89" s="13">
        <f>$I$37*$AN$37</f>
        <v>0</v>
      </c>
      <c r="AO89" s="13">
        <f>$I$37*$AO$37</f>
        <v>0</v>
      </c>
      <c r="AP89" s="13">
        <f>$I$37*$AP$37</f>
        <v>0</v>
      </c>
      <c r="AQ89" s="13">
        <f>$I$37*$AQ$37</f>
        <v>0</v>
      </c>
      <c r="AR89" s="13">
        <f>$I$37*$AR$37</f>
        <v>0</v>
      </c>
      <c r="AS89" s="13">
        <f>$I$37*$AS$37</f>
        <v>0</v>
      </c>
      <c r="AT89" s="13">
        <f>$I$37*$AT$37</f>
        <v>0</v>
      </c>
      <c r="AU89" s="13">
        <f>$I$37*$AU$37</f>
        <v>0</v>
      </c>
      <c r="AV89" s="13">
        <f>$I$37*$AV$37</f>
        <v>0</v>
      </c>
      <c r="AW89" s="13">
        <f>$I$37*$AW$37</f>
        <v>0</v>
      </c>
      <c r="AX89" s="13">
        <f>$I$37*$AX$37</f>
        <v>0</v>
      </c>
      <c r="AY89" s="13">
        <f>$I$37*$AY$37</f>
        <v>0</v>
      </c>
      <c r="AZ89" s="13">
        <f>$I$37*$AZ$37</f>
        <v>0</v>
      </c>
      <c r="BA89" s="13">
        <f>$I$37*$BA$37</f>
        <v>0</v>
      </c>
      <c r="BB89" s="13">
        <f>$I$37*$BB$37</f>
        <v>0</v>
      </c>
      <c r="BC89" s="13">
        <f>$I$37*$BC$37</f>
        <v>0</v>
      </c>
      <c r="BD89" s="13">
        <f>$I$37*$BD$37</f>
        <v>0</v>
      </c>
    </row>
    <row r="90" spans="1:56" ht="11.25" customHeight="1" x14ac:dyDescent="0.25">
      <c r="A90" s="9" t="s">
        <v>41</v>
      </c>
      <c r="B90" s="9" t="s">
        <v>778</v>
      </c>
      <c r="C90" s="9" t="s">
        <v>779</v>
      </c>
      <c r="D90" s="9" t="s">
        <v>802</v>
      </c>
      <c r="E90" s="9" t="s">
        <v>803</v>
      </c>
      <c r="F90" s="9" t="s">
        <v>804</v>
      </c>
      <c r="G90" s="9" t="s">
        <v>805</v>
      </c>
      <c r="L90" s="13">
        <f>$I$38*$L$38</f>
        <v>0</v>
      </c>
      <c r="M90" s="13">
        <f>$I$38*$M$38</f>
        <v>0</v>
      </c>
      <c r="N90" s="13">
        <f ca="1">$I$38*$N$38</f>
        <v>0</v>
      </c>
      <c r="O90" s="13">
        <f>$I$38*$O$38</f>
        <v>0</v>
      </c>
      <c r="P90" s="13">
        <f>$I$38*$P$38</f>
        <v>0</v>
      </c>
      <c r="Q90" s="13">
        <f>$I$38*$Q$38</f>
        <v>0</v>
      </c>
      <c r="R90" s="13">
        <f>$I$38*$R$38</f>
        <v>0</v>
      </c>
      <c r="S90" s="13">
        <f>$I$38*$S$38</f>
        <v>0</v>
      </c>
      <c r="T90" s="13">
        <f>$I$38*$T$38</f>
        <v>0</v>
      </c>
      <c r="U90" s="13">
        <f>$I$38*$U$38</f>
        <v>0</v>
      </c>
      <c r="V90" s="13">
        <f>$I$38*$V$38</f>
        <v>0</v>
      </c>
      <c r="W90" s="13">
        <f>$I$38*$W$38</f>
        <v>0</v>
      </c>
      <c r="X90" s="13">
        <f>$I$38*$X$38</f>
        <v>0</v>
      </c>
      <c r="Y90" s="13">
        <f>$I$38*$Y$38</f>
        <v>0</v>
      </c>
      <c r="Z90" s="13">
        <f>$I$38*$Z$38</f>
        <v>0</v>
      </c>
      <c r="AA90" s="13">
        <f>$I$38*$AA$38</f>
        <v>0</v>
      </c>
      <c r="AB90" s="13">
        <f ca="1">$I$38*$AB$38</f>
        <v>0</v>
      </c>
      <c r="AC90" s="13">
        <f ca="1">$I$38*$AC$38</f>
        <v>0</v>
      </c>
      <c r="AD90" s="13">
        <f>$I$38*$AD$38</f>
        <v>0</v>
      </c>
      <c r="AE90" s="13">
        <f>$I$38*$AE$38</f>
        <v>0</v>
      </c>
      <c r="AF90" s="13">
        <f ca="1">$I$38*$AF$38</f>
        <v>0</v>
      </c>
      <c r="AG90" s="13">
        <f ca="1">$I$38*$AG$38</f>
        <v>0</v>
      </c>
      <c r="AI90" s="13">
        <f>$I$38*$AI$38</f>
        <v>0</v>
      </c>
      <c r="AJ90" s="13">
        <f>$I$38*$AJ$38</f>
        <v>0</v>
      </c>
      <c r="AK90" s="13">
        <f>$I$38*$AK$38</f>
        <v>0</v>
      </c>
      <c r="AL90" s="13">
        <f>$I$38*$AL$38</f>
        <v>0</v>
      </c>
      <c r="AM90" s="13">
        <f>$I$38*$AM$38</f>
        <v>0</v>
      </c>
      <c r="AN90" s="13">
        <f>$I$38*$AN$38</f>
        <v>0</v>
      </c>
      <c r="AO90" s="13">
        <f>$I$38*$AO$38</f>
        <v>0</v>
      </c>
      <c r="AP90" s="13">
        <f>$I$38*$AP$38</f>
        <v>0</v>
      </c>
      <c r="AQ90" s="13">
        <f>$I$38*$AQ$38</f>
        <v>0</v>
      </c>
      <c r="AR90" s="13">
        <f>$I$38*$AR$38</f>
        <v>0</v>
      </c>
      <c r="AS90" s="13">
        <f>$I$38*$AS$38</f>
        <v>0</v>
      </c>
      <c r="AT90" s="13">
        <f>$I$38*$AT$38</f>
        <v>0</v>
      </c>
      <c r="AU90" s="13">
        <f>$I$38*$AU$38</f>
        <v>0</v>
      </c>
      <c r="AV90" s="13">
        <f>$I$38*$AV$38</f>
        <v>0</v>
      </c>
      <c r="AW90" s="13">
        <f>$I$38*$AW$38</f>
        <v>0</v>
      </c>
      <c r="AX90" s="13">
        <f>$I$38*$AX$38</f>
        <v>0</v>
      </c>
      <c r="AY90" s="13">
        <f>$I$38*$AY$38</f>
        <v>0</v>
      </c>
      <c r="AZ90" s="13">
        <f>$I$38*$AZ$38</f>
        <v>0</v>
      </c>
      <c r="BA90" s="13">
        <f>$I$38*$BA$38</f>
        <v>0</v>
      </c>
      <c r="BB90" s="13">
        <f>$I$38*$BB$38</f>
        <v>0</v>
      </c>
      <c r="BC90" s="13">
        <f>$I$38*$BC$38</f>
        <v>0</v>
      </c>
      <c r="BD90" s="13">
        <f>$I$38*$BD$38</f>
        <v>0</v>
      </c>
    </row>
    <row r="91" spans="1:56" ht="11.25" customHeight="1" x14ac:dyDescent="0.25">
      <c r="A91" s="9" t="s">
        <v>41</v>
      </c>
      <c r="B91" s="9" t="s">
        <v>778</v>
      </c>
      <c r="C91" s="9" t="s">
        <v>779</v>
      </c>
      <c r="D91" s="9" t="s">
        <v>802</v>
      </c>
      <c r="E91" s="9" t="s">
        <v>803</v>
      </c>
      <c r="F91" s="9" t="s">
        <v>804</v>
      </c>
      <c r="G91" s="9" t="s">
        <v>806</v>
      </c>
      <c r="L91" s="13">
        <f>$I$39*$L$39</f>
        <v>0</v>
      </c>
      <c r="M91" s="13">
        <f>$I$39*$M$39</f>
        <v>0</v>
      </c>
      <c r="N91" s="13">
        <f ca="1">$I$39*$N$39</f>
        <v>0</v>
      </c>
      <c r="O91" s="13">
        <f>$I$39*$O$39</f>
        <v>0</v>
      </c>
      <c r="P91" s="13">
        <f>$I$39*$P$39</f>
        <v>0</v>
      </c>
      <c r="Q91" s="13">
        <f>$I$39*$Q$39</f>
        <v>0</v>
      </c>
      <c r="R91" s="13">
        <f>$I$39*$R$39</f>
        <v>0</v>
      </c>
      <c r="S91" s="13">
        <f>$I$39*$S$39</f>
        <v>0</v>
      </c>
      <c r="T91" s="13">
        <f>$I$39*$T$39</f>
        <v>0</v>
      </c>
      <c r="U91" s="13">
        <f>$I$39*$U$39</f>
        <v>0</v>
      </c>
      <c r="V91" s="13">
        <f>$I$39*$V$39</f>
        <v>0</v>
      </c>
      <c r="W91" s="13">
        <f>$I$39*$W$39</f>
        <v>0</v>
      </c>
      <c r="X91" s="13">
        <f>$I$39*$X$39</f>
        <v>0</v>
      </c>
      <c r="Y91" s="13">
        <f>$I$39*$Y$39</f>
        <v>0</v>
      </c>
      <c r="Z91" s="13">
        <f>$I$39*$Z$39</f>
        <v>0</v>
      </c>
      <c r="AA91" s="13">
        <f>$I$39*$AA$39</f>
        <v>0</v>
      </c>
      <c r="AB91" s="13">
        <f ca="1">$I$39*$AB$39</f>
        <v>0</v>
      </c>
      <c r="AC91" s="13">
        <f ca="1">$I$39*$AC$39</f>
        <v>0</v>
      </c>
      <c r="AD91" s="13">
        <f>$I$39*$AD$39</f>
        <v>0</v>
      </c>
      <c r="AE91" s="13">
        <f>$I$39*$AE$39</f>
        <v>0</v>
      </c>
      <c r="AF91" s="13">
        <f ca="1">$I$39*$AF$39</f>
        <v>0</v>
      </c>
      <c r="AG91" s="13">
        <f ca="1">$I$39*$AG$39</f>
        <v>0</v>
      </c>
      <c r="AI91" s="13">
        <f>$I$39*$AI$39</f>
        <v>0</v>
      </c>
      <c r="AJ91" s="13">
        <f>$I$39*$AJ$39</f>
        <v>0</v>
      </c>
      <c r="AK91" s="13">
        <f>$I$39*$AK$39</f>
        <v>0</v>
      </c>
      <c r="AL91" s="13">
        <f>$I$39*$AL$39</f>
        <v>0</v>
      </c>
      <c r="AM91" s="13">
        <f>$I$39*$AM$39</f>
        <v>0</v>
      </c>
      <c r="AN91" s="13">
        <f>$I$39*$AN$39</f>
        <v>0</v>
      </c>
      <c r="AO91" s="13">
        <f>$I$39*$AO$39</f>
        <v>0</v>
      </c>
      <c r="AP91" s="13">
        <f>$I$39*$AP$39</f>
        <v>0</v>
      </c>
      <c r="AQ91" s="13">
        <f>$I$39*$AQ$39</f>
        <v>0</v>
      </c>
      <c r="AR91" s="13">
        <f>$I$39*$AR$39</f>
        <v>0</v>
      </c>
      <c r="AS91" s="13">
        <f>$I$39*$AS$39</f>
        <v>0</v>
      </c>
      <c r="AT91" s="13">
        <f>$I$39*$AT$39</f>
        <v>0</v>
      </c>
      <c r="AU91" s="13">
        <f>$I$39*$AU$39</f>
        <v>0</v>
      </c>
      <c r="AV91" s="13">
        <f>$I$39*$AV$39</f>
        <v>0</v>
      </c>
      <c r="AW91" s="13">
        <f>$I$39*$AW$39</f>
        <v>0</v>
      </c>
      <c r="AX91" s="13">
        <f>$I$39*$AX$39</f>
        <v>0</v>
      </c>
      <c r="AY91" s="13">
        <f>$I$39*$AY$39</f>
        <v>0</v>
      </c>
      <c r="AZ91" s="13">
        <f>$I$39*$AZ$39</f>
        <v>0</v>
      </c>
      <c r="BA91" s="13">
        <f>$I$39*$BA$39</f>
        <v>0</v>
      </c>
      <c r="BB91" s="13">
        <f>$I$39*$BB$39</f>
        <v>0</v>
      </c>
      <c r="BC91" s="13">
        <f>$I$39*$BC$39</f>
        <v>0</v>
      </c>
      <c r="BD91" s="13">
        <f>$I$39*$BD$39</f>
        <v>0</v>
      </c>
    </row>
    <row r="92" spans="1:56" ht="11.25" customHeight="1" x14ac:dyDescent="0.25">
      <c r="A92" s="9" t="s">
        <v>41</v>
      </c>
      <c r="B92" s="9" t="s">
        <v>778</v>
      </c>
      <c r="C92" s="9" t="s">
        <v>779</v>
      </c>
      <c r="D92" s="9" t="s">
        <v>802</v>
      </c>
      <c r="E92" s="9" t="s">
        <v>803</v>
      </c>
      <c r="F92" s="9" t="s">
        <v>804</v>
      </c>
      <c r="G92" s="9" t="s">
        <v>807</v>
      </c>
      <c r="L92" s="13">
        <f>$I$40*$L$40</f>
        <v>0</v>
      </c>
      <c r="M92" s="13">
        <f>$I$40*$M$40</f>
        <v>0</v>
      </c>
      <c r="N92" s="13">
        <f ca="1">$I$40*$N$40</f>
        <v>0</v>
      </c>
      <c r="O92" s="13">
        <f>$I$40*$O$40</f>
        <v>0</v>
      </c>
      <c r="P92" s="13">
        <f>$I$40*$P$40</f>
        <v>0</v>
      </c>
      <c r="Q92" s="13">
        <f>$I$40*$Q$40</f>
        <v>0</v>
      </c>
      <c r="R92" s="13">
        <f>$I$40*$R$40</f>
        <v>0</v>
      </c>
      <c r="S92" s="13">
        <f>$I$40*$S$40</f>
        <v>0</v>
      </c>
      <c r="T92" s="13">
        <f>$I$40*$T$40</f>
        <v>0</v>
      </c>
      <c r="U92" s="13">
        <f>$I$40*$U$40</f>
        <v>0</v>
      </c>
      <c r="V92" s="13">
        <f>$I$40*$V$40</f>
        <v>0</v>
      </c>
      <c r="W92" s="13">
        <f>$I$40*$W$40</f>
        <v>0</v>
      </c>
      <c r="X92" s="13">
        <f>$I$40*$X$40</f>
        <v>0</v>
      </c>
      <c r="Y92" s="13">
        <f>$I$40*$Y$40</f>
        <v>0</v>
      </c>
      <c r="Z92" s="13">
        <f>$I$40*$Z$40</f>
        <v>0</v>
      </c>
      <c r="AA92" s="13">
        <f>$I$40*$AA$40</f>
        <v>0</v>
      </c>
      <c r="AB92" s="13">
        <f ca="1">$I$40*$AB$40</f>
        <v>0</v>
      </c>
      <c r="AC92" s="13">
        <f ca="1">$I$40*$AC$40</f>
        <v>0</v>
      </c>
      <c r="AD92" s="13">
        <f>$I$40*$AD$40</f>
        <v>0</v>
      </c>
      <c r="AE92" s="13">
        <f>$I$40*$AE$40</f>
        <v>0</v>
      </c>
      <c r="AF92" s="13">
        <f ca="1">$I$40*$AF$40</f>
        <v>0</v>
      </c>
      <c r="AG92" s="13">
        <f ca="1">$I$40*$AG$40</f>
        <v>0</v>
      </c>
      <c r="AI92" s="13">
        <f>$I$40*$AI$40</f>
        <v>0</v>
      </c>
      <c r="AJ92" s="13">
        <f>$I$40*$AJ$40</f>
        <v>0</v>
      </c>
      <c r="AK92" s="13">
        <f>$I$40*$AK$40</f>
        <v>0</v>
      </c>
      <c r="AL92" s="13">
        <f>$I$40*$AL$40</f>
        <v>0</v>
      </c>
      <c r="AM92" s="13">
        <f>$I$40*$AM$40</f>
        <v>0</v>
      </c>
      <c r="AN92" s="13">
        <f>$I$40*$AN$40</f>
        <v>0</v>
      </c>
      <c r="AO92" s="13">
        <f>$I$40*$AO$40</f>
        <v>0</v>
      </c>
      <c r="AP92" s="13">
        <f>$I$40*$AP$40</f>
        <v>0</v>
      </c>
      <c r="AQ92" s="13">
        <f>$I$40*$AQ$40</f>
        <v>0</v>
      </c>
      <c r="AR92" s="13">
        <f>$I$40*$AR$40</f>
        <v>0</v>
      </c>
      <c r="AS92" s="13">
        <f>$I$40*$AS$40</f>
        <v>0</v>
      </c>
      <c r="AT92" s="13">
        <f>$I$40*$AT$40</f>
        <v>0</v>
      </c>
      <c r="AU92" s="13">
        <f>$I$40*$AU$40</f>
        <v>0</v>
      </c>
      <c r="AV92" s="13">
        <f>$I$40*$AV$40</f>
        <v>0</v>
      </c>
      <c r="AW92" s="13">
        <f>$I$40*$AW$40</f>
        <v>0</v>
      </c>
      <c r="AX92" s="13">
        <f>$I$40*$AX$40</f>
        <v>0</v>
      </c>
      <c r="AY92" s="13">
        <f>$I$40*$AY$40</f>
        <v>0</v>
      </c>
      <c r="AZ92" s="13">
        <f>$I$40*$AZ$40</f>
        <v>0</v>
      </c>
      <c r="BA92" s="13">
        <f>$I$40*$BA$40</f>
        <v>0</v>
      </c>
      <c r="BB92" s="13">
        <f>$I$40*$BB$40</f>
        <v>0</v>
      </c>
      <c r="BC92" s="13">
        <f>$I$40*$BC$40</f>
        <v>0</v>
      </c>
      <c r="BD92" s="13">
        <f>$I$40*$BD$40</f>
        <v>0</v>
      </c>
    </row>
    <row r="93" spans="1:56" ht="11.25" customHeight="1" x14ac:dyDescent="0.25">
      <c r="A93" s="9" t="s">
        <v>41</v>
      </c>
      <c r="B93" s="9" t="s">
        <v>786</v>
      </c>
      <c r="C93" s="9" t="s">
        <v>787</v>
      </c>
      <c r="D93" s="9" t="s">
        <v>808</v>
      </c>
      <c r="E93" s="9" t="s">
        <v>809</v>
      </c>
      <c r="F93" s="9" t="s">
        <v>810</v>
      </c>
      <c r="G93" s="9" t="s">
        <v>811</v>
      </c>
      <c r="L93" s="13">
        <f>$I$41*$L$41</f>
        <v>0</v>
      </c>
      <c r="M93" s="13">
        <f>$I$41*$M$41</f>
        <v>0</v>
      </c>
      <c r="N93" s="13">
        <f ca="1">$I$41*$N$41</f>
        <v>0</v>
      </c>
      <c r="O93" s="13">
        <f>$I$41*$O$41</f>
        <v>0</v>
      </c>
      <c r="P93" s="13">
        <f>$I$41*$P$41</f>
        <v>0</v>
      </c>
      <c r="Q93" s="13">
        <f>$I$41*$Q$41</f>
        <v>0</v>
      </c>
      <c r="R93" s="13">
        <f>$I$41*$R$41</f>
        <v>0</v>
      </c>
      <c r="S93" s="13">
        <f>$I$41*$S$41</f>
        <v>0</v>
      </c>
      <c r="T93" s="13">
        <f>$I$41*$T$41</f>
        <v>0</v>
      </c>
      <c r="U93" s="13">
        <f>$I$41*$U$41</f>
        <v>0</v>
      </c>
      <c r="V93" s="13">
        <f>$I$41*$V$41</f>
        <v>0</v>
      </c>
      <c r="W93" s="13">
        <f>$I$41*$W$41</f>
        <v>0</v>
      </c>
      <c r="X93" s="13">
        <f>$I$41*$X$41</f>
        <v>0</v>
      </c>
      <c r="Y93" s="13">
        <f>$I$41*$Y$41</f>
        <v>0</v>
      </c>
      <c r="Z93" s="13">
        <f>$I$41*$Z$41</f>
        <v>0</v>
      </c>
      <c r="AA93" s="13">
        <f>$I$41*$AA$41</f>
        <v>0</v>
      </c>
      <c r="AB93" s="13">
        <f ca="1">$I$41*$AB$41</f>
        <v>0</v>
      </c>
      <c r="AC93" s="13">
        <f ca="1">$I$41*$AC$41</f>
        <v>0</v>
      </c>
      <c r="AD93" s="13">
        <f>$I$41*$AD$41</f>
        <v>0</v>
      </c>
      <c r="AE93" s="13">
        <f>$I$41*$AE$41</f>
        <v>0</v>
      </c>
      <c r="AF93" s="13">
        <f ca="1">$I$41*$AF$41</f>
        <v>0</v>
      </c>
      <c r="AG93" s="13">
        <f ca="1">$I$41*$AG$41</f>
        <v>0</v>
      </c>
      <c r="AI93" s="13">
        <f>$I$41*$AI$41</f>
        <v>0</v>
      </c>
      <c r="AJ93" s="13">
        <f>$I$41*$AJ$41</f>
        <v>0</v>
      </c>
      <c r="AK93" s="13">
        <f>$I$41*$AK$41</f>
        <v>0</v>
      </c>
      <c r="AL93" s="13">
        <f>$I$41*$AL$41</f>
        <v>0</v>
      </c>
      <c r="AM93" s="13">
        <f>$I$41*$AM$41</f>
        <v>0</v>
      </c>
      <c r="AN93" s="13">
        <f>$I$41*$AN$41</f>
        <v>0</v>
      </c>
      <c r="AO93" s="13">
        <f>$I$41*$AO$41</f>
        <v>0</v>
      </c>
      <c r="AP93" s="13">
        <f>$I$41*$AP$41</f>
        <v>0</v>
      </c>
      <c r="AQ93" s="13">
        <f>$I$41*$AQ$41</f>
        <v>0</v>
      </c>
      <c r="AR93" s="13">
        <f>$I$41*$AR$41</f>
        <v>0</v>
      </c>
      <c r="AS93" s="13">
        <f>$I$41*$AS$41</f>
        <v>0</v>
      </c>
      <c r="AT93" s="13">
        <f>$I$41*$AT$41</f>
        <v>0</v>
      </c>
      <c r="AU93" s="13">
        <f>$I$41*$AU$41</f>
        <v>0</v>
      </c>
      <c r="AV93" s="13">
        <f>$I$41*$AV$41</f>
        <v>0</v>
      </c>
      <c r="AW93" s="13">
        <f>$I$41*$AW$41</f>
        <v>0</v>
      </c>
      <c r="AX93" s="13">
        <f>$I$41*$AX$41</f>
        <v>0</v>
      </c>
      <c r="AY93" s="13">
        <f>$I$41*$AY$41</f>
        <v>0</v>
      </c>
      <c r="AZ93" s="13">
        <f>$I$41*$AZ$41</f>
        <v>0</v>
      </c>
      <c r="BA93" s="13">
        <f>$I$41*$BA$41</f>
        <v>0</v>
      </c>
      <c r="BB93" s="13">
        <f>$I$41*$BB$41</f>
        <v>0</v>
      </c>
      <c r="BC93" s="13">
        <f>$I$41*$BC$41</f>
        <v>0</v>
      </c>
      <c r="BD93" s="13">
        <f>$I$41*$BD$41</f>
        <v>0</v>
      </c>
    </row>
    <row r="94" spans="1:56" ht="11.25" customHeight="1" x14ac:dyDescent="0.25">
      <c r="A94" s="9" t="s">
        <v>41</v>
      </c>
      <c r="B94" s="9" t="s">
        <v>812</v>
      </c>
      <c r="C94" s="9" t="s">
        <v>813</v>
      </c>
      <c r="D94" s="9" t="s">
        <v>814</v>
      </c>
      <c r="E94" s="9" t="s">
        <v>815</v>
      </c>
      <c r="F94" s="9" t="s">
        <v>816</v>
      </c>
      <c r="G94" s="9" t="s">
        <v>817</v>
      </c>
      <c r="L94" s="13">
        <f>$I$42*$L$42</f>
        <v>0</v>
      </c>
      <c r="M94" s="13">
        <f>$I$42*$M$42</f>
        <v>0</v>
      </c>
      <c r="N94" s="13">
        <f ca="1">$I$42*$N$42</f>
        <v>0</v>
      </c>
      <c r="O94" s="13">
        <f>$I$42*$O$42</f>
        <v>0</v>
      </c>
      <c r="P94" s="13">
        <f>$I$42*$P$42</f>
        <v>0</v>
      </c>
      <c r="Q94" s="13">
        <f>$I$42*$Q$42</f>
        <v>0</v>
      </c>
      <c r="R94" s="13">
        <f>$I$42*$R$42</f>
        <v>0</v>
      </c>
      <c r="S94" s="13">
        <f>$I$42*$S$42</f>
        <v>0</v>
      </c>
      <c r="T94" s="13">
        <f>$I$42*$T$42</f>
        <v>0</v>
      </c>
      <c r="U94" s="13">
        <f>$I$42*$U$42</f>
        <v>0</v>
      </c>
      <c r="V94" s="13">
        <f>$I$42*$V$42</f>
        <v>0</v>
      </c>
      <c r="W94" s="13">
        <f>$I$42*$W$42</f>
        <v>0</v>
      </c>
      <c r="X94" s="13">
        <f>$I$42*$X$42</f>
        <v>0</v>
      </c>
      <c r="Y94" s="13">
        <f>$I$42*$Y$42</f>
        <v>0</v>
      </c>
      <c r="Z94" s="13">
        <f>$I$42*$Z$42</f>
        <v>0</v>
      </c>
      <c r="AA94" s="13">
        <f>$I$42*$AA$42</f>
        <v>0</v>
      </c>
      <c r="AB94" s="13">
        <f ca="1">$I$42*$AB$42</f>
        <v>0</v>
      </c>
      <c r="AC94" s="13">
        <f ca="1">$I$42*$AC$42</f>
        <v>0</v>
      </c>
      <c r="AD94" s="13">
        <f>$I$42*$AD$42</f>
        <v>0</v>
      </c>
      <c r="AE94" s="13">
        <f>$I$42*$AE$42</f>
        <v>0</v>
      </c>
      <c r="AF94" s="13">
        <f ca="1">$I$42*$AF$42</f>
        <v>0</v>
      </c>
      <c r="AG94" s="13">
        <f ca="1">$I$42*$AG$42</f>
        <v>0</v>
      </c>
      <c r="AI94" s="13">
        <f>$I$42*$AI$42</f>
        <v>0</v>
      </c>
      <c r="AJ94" s="13">
        <f>$I$42*$AJ$42</f>
        <v>0</v>
      </c>
      <c r="AK94" s="13">
        <f>$I$42*$AK$42</f>
        <v>0</v>
      </c>
      <c r="AL94" s="13">
        <f>$I$42*$AL$42</f>
        <v>0</v>
      </c>
      <c r="AM94" s="13">
        <f>$I$42*$AM$42</f>
        <v>0</v>
      </c>
      <c r="AN94" s="13">
        <f>$I$42*$AN$42</f>
        <v>0</v>
      </c>
      <c r="AO94" s="13">
        <f>$I$42*$AO$42</f>
        <v>0</v>
      </c>
      <c r="AP94" s="13">
        <f>$I$42*$AP$42</f>
        <v>0</v>
      </c>
      <c r="AQ94" s="13">
        <f>$I$42*$AQ$42</f>
        <v>0</v>
      </c>
      <c r="AR94" s="13">
        <f>$I$42*$AR$42</f>
        <v>0</v>
      </c>
      <c r="AS94" s="13">
        <f>$I$42*$AS$42</f>
        <v>0</v>
      </c>
      <c r="AT94" s="13">
        <f>$I$42*$AT$42</f>
        <v>0</v>
      </c>
      <c r="AU94" s="13">
        <f>$I$42*$AU$42</f>
        <v>0</v>
      </c>
      <c r="AV94" s="13">
        <f>$I$42*$AV$42</f>
        <v>0</v>
      </c>
      <c r="AW94" s="13">
        <f>$I$42*$AW$42</f>
        <v>0</v>
      </c>
      <c r="AX94" s="13">
        <f>$I$42*$AX$42</f>
        <v>0</v>
      </c>
      <c r="AY94" s="13">
        <f>$I$42*$AY$42</f>
        <v>0</v>
      </c>
      <c r="AZ94" s="13">
        <f>$I$42*$AZ$42</f>
        <v>0</v>
      </c>
      <c r="BA94" s="13">
        <f>$I$42*$BA$42</f>
        <v>0</v>
      </c>
      <c r="BB94" s="13">
        <f>$I$42*$BB$42</f>
        <v>0</v>
      </c>
      <c r="BC94" s="13">
        <f>$I$42*$BC$42</f>
        <v>0</v>
      </c>
      <c r="BD94" s="13">
        <f>$I$42*$BD$42</f>
        <v>0</v>
      </c>
    </row>
    <row r="95" spans="1:56" ht="11.25" customHeight="1" x14ac:dyDescent="0.25">
      <c r="A95" s="9" t="s">
        <v>41</v>
      </c>
      <c r="B95" s="9" t="s">
        <v>812</v>
      </c>
      <c r="C95" s="9" t="s">
        <v>813</v>
      </c>
      <c r="D95" s="9" t="s">
        <v>818</v>
      </c>
      <c r="E95" s="9" t="s">
        <v>819</v>
      </c>
      <c r="F95" s="9" t="s">
        <v>820</v>
      </c>
      <c r="G95" s="9" t="s">
        <v>821</v>
      </c>
      <c r="L95" s="13">
        <f>$I$43*$L$43</f>
        <v>0</v>
      </c>
      <c r="M95" s="13">
        <f>$I$43*$M$43</f>
        <v>0</v>
      </c>
      <c r="N95" s="13">
        <f ca="1">$I$43*$N$43</f>
        <v>0</v>
      </c>
      <c r="O95" s="13">
        <f>$I$43*$O$43</f>
        <v>0</v>
      </c>
      <c r="P95" s="13">
        <f>$I$43*$P$43</f>
        <v>0</v>
      </c>
      <c r="Q95" s="13">
        <f>$I$43*$Q$43</f>
        <v>0</v>
      </c>
      <c r="R95" s="13">
        <f>$I$43*$R$43</f>
        <v>0</v>
      </c>
      <c r="S95" s="13">
        <f>$I$43*$S$43</f>
        <v>0</v>
      </c>
      <c r="T95" s="13">
        <f>$I$43*$T$43</f>
        <v>0</v>
      </c>
      <c r="U95" s="13">
        <f>$I$43*$U$43</f>
        <v>0</v>
      </c>
      <c r="V95" s="13">
        <f>$I$43*$V$43</f>
        <v>0</v>
      </c>
      <c r="W95" s="13">
        <f>$I$43*$W$43</f>
        <v>0</v>
      </c>
      <c r="X95" s="13">
        <f>$I$43*$X$43</f>
        <v>0</v>
      </c>
      <c r="Y95" s="13">
        <f>$I$43*$Y$43</f>
        <v>0</v>
      </c>
      <c r="Z95" s="13">
        <f>$I$43*$Z$43</f>
        <v>0</v>
      </c>
      <c r="AA95" s="13">
        <f>$I$43*$AA$43</f>
        <v>0</v>
      </c>
      <c r="AB95" s="13">
        <f ca="1">$I$43*$AB$43</f>
        <v>0</v>
      </c>
      <c r="AC95" s="13">
        <f ca="1">$I$43*$AC$43</f>
        <v>0</v>
      </c>
      <c r="AD95" s="13">
        <f>$I$43*$AD$43</f>
        <v>0</v>
      </c>
      <c r="AE95" s="13">
        <f>$I$43*$AE$43</f>
        <v>0</v>
      </c>
      <c r="AF95" s="13">
        <f ca="1">$I$43*$AF$43</f>
        <v>0</v>
      </c>
      <c r="AG95" s="13">
        <f ca="1">$I$43*$AG$43</f>
        <v>0</v>
      </c>
      <c r="AI95" s="13">
        <f>$I$43*$AI$43</f>
        <v>0</v>
      </c>
      <c r="AJ95" s="13">
        <f>$I$43*$AJ$43</f>
        <v>0</v>
      </c>
      <c r="AK95" s="13">
        <f>$I$43*$AK$43</f>
        <v>0</v>
      </c>
      <c r="AL95" s="13">
        <f>$I$43*$AL$43</f>
        <v>0</v>
      </c>
      <c r="AM95" s="13">
        <f>$I$43*$AM$43</f>
        <v>0</v>
      </c>
      <c r="AN95" s="13">
        <f>$I$43*$AN$43</f>
        <v>0</v>
      </c>
      <c r="AO95" s="13">
        <f>$I$43*$AO$43</f>
        <v>0</v>
      </c>
      <c r="AP95" s="13">
        <f>$I$43*$AP$43</f>
        <v>0</v>
      </c>
      <c r="AQ95" s="13">
        <f>$I$43*$AQ$43</f>
        <v>0</v>
      </c>
      <c r="AR95" s="13">
        <f>$I$43*$AR$43</f>
        <v>0</v>
      </c>
      <c r="AS95" s="13">
        <f>$I$43*$AS$43</f>
        <v>0</v>
      </c>
      <c r="AT95" s="13">
        <f>$I$43*$AT$43</f>
        <v>0</v>
      </c>
      <c r="AU95" s="13">
        <f>$I$43*$AU$43</f>
        <v>0</v>
      </c>
      <c r="AV95" s="13">
        <f>$I$43*$AV$43</f>
        <v>0</v>
      </c>
      <c r="AW95" s="13">
        <f>$I$43*$AW$43</f>
        <v>0</v>
      </c>
      <c r="AX95" s="13">
        <f>$I$43*$AX$43</f>
        <v>0</v>
      </c>
      <c r="AY95" s="13">
        <f>$I$43*$AY$43</f>
        <v>0</v>
      </c>
      <c r="AZ95" s="13">
        <f>$I$43*$AZ$43</f>
        <v>0</v>
      </c>
      <c r="BA95" s="13">
        <f>$I$43*$BA$43</f>
        <v>0</v>
      </c>
      <c r="BB95" s="13">
        <f>$I$43*$BB$43</f>
        <v>0</v>
      </c>
      <c r="BC95" s="13">
        <f>$I$43*$BC$43</f>
        <v>0</v>
      </c>
      <c r="BD95" s="13">
        <f>$I$43*$BD$43</f>
        <v>0</v>
      </c>
    </row>
    <row r="96" spans="1:56" ht="11.25" customHeight="1" x14ac:dyDescent="0.25">
      <c r="A96" s="9" t="s">
        <v>41</v>
      </c>
      <c r="B96" s="9" t="s">
        <v>812</v>
      </c>
      <c r="C96" s="9" t="s">
        <v>813</v>
      </c>
      <c r="D96" s="9" t="s">
        <v>822</v>
      </c>
      <c r="E96" s="9" t="s">
        <v>823</v>
      </c>
      <c r="F96" s="9" t="s">
        <v>824</v>
      </c>
      <c r="G96" s="9" t="s">
        <v>825</v>
      </c>
      <c r="L96" s="13">
        <f>$I$44*$L$44</f>
        <v>0</v>
      </c>
      <c r="M96" s="13">
        <f>$I$44*$M$44</f>
        <v>0</v>
      </c>
      <c r="N96" s="13">
        <f ca="1">$I$44*$N$44</f>
        <v>0</v>
      </c>
      <c r="O96" s="13">
        <f>$I$44*$O$44</f>
        <v>0</v>
      </c>
      <c r="P96" s="13">
        <f>$I$44*$P$44</f>
        <v>0</v>
      </c>
      <c r="Q96" s="13">
        <f>$I$44*$Q$44</f>
        <v>0</v>
      </c>
      <c r="R96" s="13">
        <f>$I$44*$R$44</f>
        <v>0</v>
      </c>
      <c r="S96" s="13">
        <f>$I$44*$S$44</f>
        <v>0</v>
      </c>
      <c r="T96" s="13">
        <f>$I$44*$T$44</f>
        <v>0</v>
      </c>
      <c r="U96" s="13">
        <f>$I$44*$U$44</f>
        <v>0</v>
      </c>
      <c r="V96" s="13">
        <f>$I$44*$V$44</f>
        <v>0</v>
      </c>
      <c r="W96" s="13">
        <f>$I$44*$W$44</f>
        <v>0</v>
      </c>
      <c r="X96" s="13">
        <f>$I$44*$X$44</f>
        <v>0</v>
      </c>
      <c r="Y96" s="13">
        <f>$I$44*$Y$44</f>
        <v>0</v>
      </c>
      <c r="Z96" s="13">
        <f>$I$44*$Z$44</f>
        <v>0</v>
      </c>
      <c r="AA96" s="13">
        <f>$I$44*$AA$44</f>
        <v>0</v>
      </c>
      <c r="AB96" s="13">
        <f ca="1">$I$44*$AB$44</f>
        <v>0</v>
      </c>
      <c r="AC96" s="13">
        <f ca="1">$I$44*$AC$44</f>
        <v>0</v>
      </c>
      <c r="AD96" s="13">
        <f>$I$44*$AD$44</f>
        <v>0</v>
      </c>
      <c r="AE96" s="13">
        <f>$I$44*$AE$44</f>
        <v>0</v>
      </c>
      <c r="AF96" s="13">
        <f ca="1">$I$44*$AF$44</f>
        <v>0</v>
      </c>
      <c r="AG96" s="13">
        <f ca="1">$I$44*$AG$44</f>
        <v>0</v>
      </c>
      <c r="AI96" s="13">
        <f>$I$44*$AI$44</f>
        <v>0</v>
      </c>
      <c r="AJ96" s="13">
        <f>$I$44*$AJ$44</f>
        <v>0</v>
      </c>
      <c r="AK96" s="13">
        <f>$I$44*$AK$44</f>
        <v>0</v>
      </c>
      <c r="AL96" s="13">
        <f>$I$44*$AL$44</f>
        <v>0</v>
      </c>
      <c r="AM96" s="13">
        <f>$I$44*$AM$44</f>
        <v>0</v>
      </c>
      <c r="AN96" s="13">
        <f>$I$44*$AN$44</f>
        <v>0</v>
      </c>
      <c r="AO96" s="13">
        <f>$I$44*$AO$44</f>
        <v>0</v>
      </c>
      <c r="AP96" s="13">
        <f>$I$44*$AP$44</f>
        <v>0</v>
      </c>
      <c r="AQ96" s="13">
        <f>$I$44*$AQ$44</f>
        <v>0</v>
      </c>
      <c r="AR96" s="13">
        <f>$I$44*$AR$44</f>
        <v>0</v>
      </c>
      <c r="AS96" s="13">
        <f>$I$44*$AS$44</f>
        <v>0</v>
      </c>
      <c r="AT96" s="13">
        <f>$I$44*$AT$44</f>
        <v>0</v>
      </c>
      <c r="AU96" s="13">
        <f>$I$44*$AU$44</f>
        <v>0</v>
      </c>
      <c r="AV96" s="13">
        <f>$I$44*$AV$44</f>
        <v>0</v>
      </c>
      <c r="AW96" s="13">
        <f>$I$44*$AW$44</f>
        <v>0</v>
      </c>
      <c r="AX96" s="13">
        <f>$I$44*$AX$44</f>
        <v>0</v>
      </c>
      <c r="AY96" s="13">
        <f>$I$44*$AY$44</f>
        <v>0</v>
      </c>
      <c r="AZ96" s="13">
        <f>$I$44*$AZ$44</f>
        <v>0</v>
      </c>
      <c r="BA96" s="13">
        <f>$I$44*$BA$44</f>
        <v>0</v>
      </c>
      <c r="BB96" s="13">
        <f>$I$44*$BB$44</f>
        <v>0</v>
      </c>
      <c r="BC96" s="13">
        <f>$I$44*$BC$44</f>
        <v>0</v>
      </c>
      <c r="BD96" s="13">
        <f>$I$44*$BD$44</f>
        <v>0</v>
      </c>
    </row>
    <row r="97" spans="1:56" ht="11.25" customHeight="1" x14ac:dyDescent="0.25">
      <c r="A97" s="9" t="s">
        <v>33</v>
      </c>
      <c r="B97" s="9" t="s">
        <v>826</v>
      </c>
      <c r="C97" s="9" t="s">
        <v>827</v>
      </c>
      <c r="D97" s="9" t="s">
        <v>828</v>
      </c>
      <c r="E97" s="9" t="s">
        <v>829</v>
      </c>
      <c r="F97" s="9" t="s">
        <v>830</v>
      </c>
      <c r="G97" s="9" t="s">
        <v>831</v>
      </c>
      <c r="L97" s="13">
        <f>$I$45*$L$45</f>
        <v>0</v>
      </c>
      <c r="M97" s="13">
        <f>$I$45*$M$45</f>
        <v>0</v>
      </c>
      <c r="N97" s="13">
        <f ca="1">$I$45*$N$45</f>
        <v>0</v>
      </c>
      <c r="O97" s="13">
        <f>$I$45*$O$45</f>
        <v>0</v>
      </c>
      <c r="P97" s="13">
        <f>$I$45*$P$45</f>
        <v>0</v>
      </c>
      <c r="Q97" s="13">
        <f>$I$45*$Q$45</f>
        <v>0</v>
      </c>
      <c r="R97" s="13">
        <f>$I$45*$R$45</f>
        <v>0</v>
      </c>
      <c r="S97" s="13">
        <f>$I$45*$S$45</f>
        <v>0</v>
      </c>
      <c r="T97" s="13">
        <f>$I$45*$T$45</f>
        <v>0</v>
      </c>
      <c r="U97" s="13">
        <f>$I$45*$U$45</f>
        <v>0</v>
      </c>
      <c r="V97" s="13">
        <f>$I$45*$V$45</f>
        <v>0</v>
      </c>
      <c r="W97" s="13">
        <f>$I$45*$W$45</f>
        <v>0</v>
      </c>
      <c r="X97" s="13">
        <f>$I$45*$X$45</f>
        <v>0</v>
      </c>
      <c r="Y97" s="13">
        <f>$I$45*$Y$45</f>
        <v>0</v>
      </c>
      <c r="Z97" s="13">
        <f>$I$45*$Z$45</f>
        <v>0</v>
      </c>
      <c r="AA97" s="13">
        <f>$I$45*$AA$45</f>
        <v>0</v>
      </c>
      <c r="AB97" s="13">
        <f ca="1">$I$45*$AB$45</f>
        <v>0</v>
      </c>
      <c r="AC97" s="13">
        <f ca="1">$I$45*$AC$45</f>
        <v>0</v>
      </c>
      <c r="AD97" s="13">
        <f>$I$45*$AD$45</f>
        <v>0</v>
      </c>
      <c r="AE97" s="13">
        <f>$I$45*$AE$45</f>
        <v>0</v>
      </c>
      <c r="AF97" s="13">
        <f ca="1">$I$45*$AF$45</f>
        <v>0</v>
      </c>
      <c r="AG97" s="13">
        <f ca="1">$I$45*$AG$45</f>
        <v>0</v>
      </c>
      <c r="AI97" s="13">
        <f>$I$45*$AI$45</f>
        <v>0</v>
      </c>
      <c r="AJ97" s="13">
        <f>$I$45*$AJ$45</f>
        <v>0</v>
      </c>
      <c r="AK97" s="13">
        <f>$I$45*$AK$45</f>
        <v>0</v>
      </c>
      <c r="AL97" s="13">
        <f>$I$45*$AL$45</f>
        <v>0</v>
      </c>
      <c r="AM97" s="13">
        <f>$I$45*$AM$45</f>
        <v>0</v>
      </c>
      <c r="AN97" s="13">
        <f>$I$45*$AN$45</f>
        <v>0</v>
      </c>
      <c r="AO97" s="13">
        <f>$I$45*$AO$45</f>
        <v>0</v>
      </c>
      <c r="AP97" s="13">
        <f>$I$45*$AP$45</f>
        <v>0</v>
      </c>
      <c r="AQ97" s="13">
        <f>$I$45*$AQ$45</f>
        <v>0</v>
      </c>
      <c r="AR97" s="13">
        <f>$I$45*$AR$45</f>
        <v>0</v>
      </c>
      <c r="AS97" s="13">
        <f>$I$45*$AS$45</f>
        <v>0</v>
      </c>
      <c r="AT97" s="13">
        <f>$I$45*$AT$45</f>
        <v>0</v>
      </c>
      <c r="AU97" s="13">
        <f>$I$45*$AU$45</f>
        <v>0</v>
      </c>
      <c r="AV97" s="13">
        <f>$I$45*$AV$45</f>
        <v>0</v>
      </c>
      <c r="AW97" s="13">
        <f>$I$45*$AW$45</f>
        <v>0</v>
      </c>
      <c r="AX97" s="13">
        <f>$I$45*$AX$45</f>
        <v>0</v>
      </c>
      <c r="AY97" s="13">
        <f>$I$45*$AY$45</f>
        <v>0</v>
      </c>
      <c r="AZ97" s="13">
        <f>$I$45*$AZ$45</f>
        <v>0</v>
      </c>
      <c r="BA97" s="13">
        <f>$I$45*$BA$45</f>
        <v>0</v>
      </c>
      <c r="BB97" s="13">
        <f>$I$45*$BB$45</f>
        <v>0</v>
      </c>
      <c r="BC97" s="13">
        <f>$I$45*$BC$45</f>
        <v>0</v>
      </c>
      <c r="BD97" s="13">
        <f>$I$45*$BD$45</f>
        <v>0</v>
      </c>
    </row>
    <row r="98" spans="1:56" ht="11.25" customHeight="1" x14ac:dyDescent="0.25">
      <c r="A98" s="9" t="s">
        <v>33</v>
      </c>
      <c r="B98" s="9" t="s">
        <v>826</v>
      </c>
      <c r="C98" s="9" t="s">
        <v>827</v>
      </c>
      <c r="D98" s="9" t="s">
        <v>828</v>
      </c>
      <c r="E98" s="9" t="s">
        <v>829</v>
      </c>
      <c r="F98" s="9" t="s">
        <v>830</v>
      </c>
      <c r="G98" s="9" t="s">
        <v>832</v>
      </c>
      <c r="L98" s="13">
        <f>$I$46*$L$46</f>
        <v>0</v>
      </c>
      <c r="M98" s="13">
        <f>$I$46*$M$46</f>
        <v>0</v>
      </c>
      <c r="N98" s="13">
        <f ca="1">$I$46*$N$46</f>
        <v>0</v>
      </c>
      <c r="O98" s="13">
        <f>$I$46*$O$46</f>
        <v>0</v>
      </c>
      <c r="P98" s="13">
        <f>$I$46*$P$46</f>
        <v>0</v>
      </c>
      <c r="Q98" s="13">
        <f>$I$46*$Q$46</f>
        <v>0</v>
      </c>
      <c r="R98" s="13">
        <f>$I$46*$R$46</f>
        <v>0</v>
      </c>
      <c r="S98" s="13">
        <f>$I$46*$S$46</f>
        <v>0</v>
      </c>
      <c r="T98" s="13">
        <f>$I$46*$T$46</f>
        <v>0</v>
      </c>
      <c r="U98" s="13">
        <f>$I$46*$U$46</f>
        <v>0</v>
      </c>
      <c r="V98" s="13">
        <f>$I$46*$V$46</f>
        <v>0</v>
      </c>
      <c r="W98" s="13">
        <f>$I$46*$W$46</f>
        <v>0</v>
      </c>
      <c r="X98" s="13">
        <f>$I$46*$X$46</f>
        <v>0</v>
      </c>
      <c r="Y98" s="13">
        <f>$I$46*$Y$46</f>
        <v>0</v>
      </c>
      <c r="Z98" s="13">
        <f>$I$46*$Z$46</f>
        <v>0</v>
      </c>
      <c r="AA98" s="13">
        <f>$I$46*$AA$46</f>
        <v>0</v>
      </c>
      <c r="AB98" s="13">
        <f ca="1">$I$46*$AB$46</f>
        <v>0</v>
      </c>
      <c r="AC98" s="13">
        <f ca="1">$I$46*$AC$46</f>
        <v>0</v>
      </c>
      <c r="AD98" s="13">
        <f>$I$46*$AD$46</f>
        <v>0</v>
      </c>
      <c r="AE98" s="13">
        <f>$I$46*$AE$46</f>
        <v>0</v>
      </c>
      <c r="AF98" s="13">
        <f ca="1">$I$46*$AF$46</f>
        <v>0</v>
      </c>
      <c r="AG98" s="13">
        <f ca="1">$I$46*$AG$46</f>
        <v>0</v>
      </c>
      <c r="AI98" s="13">
        <f>$I$46*$AI$46</f>
        <v>0</v>
      </c>
      <c r="AJ98" s="13">
        <f>$I$46*$AJ$46</f>
        <v>0</v>
      </c>
      <c r="AK98" s="13">
        <f>$I$46*$AK$46</f>
        <v>0</v>
      </c>
      <c r="AL98" s="13">
        <f>$I$46*$AL$46</f>
        <v>0</v>
      </c>
      <c r="AM98" s="13">
        <f>$I$46*$AM$46</f>
        <v>0</v>
      </c>
      <c r="AN98" s="13">
        <f>$I$46*$AN$46</f>
        <v>0</v>
      </c>
      <c r="AO98" s="13">
        <f>$I$46*$AO$46</f>
        <v>0</v>
      </c>
      <c r="AP98" s="13">
        <f>$I$46*$AP$46</f>
        <v>0</v>
      </c>
      <c r="AQ98" s="13">
        <f>$I$46*$AQ$46</f>
        <v>0</v>
      </c>
      <c r="AR98" s="13">
        <f>$I$46*$AR$46</f>
        <v>0</v>
      </c>
      <c r="AS98" s="13">
        <f>$I$46*$AS$46</f>
        <v>0</v>
      </c>
      <c r="AT98" s="13">
        <f>$I$46*$AT$46</f>
        <v>0</v>
      </c>
      <c r="AU98" s="13">
        <f>$I$46*$AU$46</f>
        <v>0</v>
      </c>
      <c r="AV98" s="13">
        <f>$I$46*$AV$46</f>
        <v>0</v>
      </c>
      <c r="AW98" s="13">
        <f>$I$46*$AW$46</f>
        <v>0</v>
      </c>
      <c r="AX98" s="13">
        <f>$I$46*$AX$46</f>
        <v>0</v>
      </c>
      <c r="AY98" s="13">
        <f>$I$46*$AY$46</f>
        <v>0</v>
      </c>
      <c r="AZ98" s="13">
        <f>$I$46*$AZ$46</f>
        <v>0</v>
      </c>
      <c r="BA98" s="13">
        <f>$I$46*$BA$46</f>
        <v>0</v>
      </c>
      <c r="BB98" s="13">
        <f>$I$46*$BB$46</f>
        <v>0</v>
      </c>
      <c r="BC98" s="13">
        <f>$I$46*$BC$46</f>
        <v>0</v>
      </c>
      <c r="BD98" s="13">
        <f>$I$46*$BD$46</f>
        <v>0</v>
      </c>
    </row>
    <row r="99" spans="1:56" ht="11.25" customHeight="1" x14ac:dyDescent="0.25">
      <c r="A99" s="9" t="s">
        <v>33</v>
      </c>
      <c r="B99" s="9" t="s">
        <v>826</v>
      </c>
      <c r="C99" s="9" t="s">
        <v>827</v>
      </c>
      <c r="D99" s="9" t="s">
        <v>828</v>
      </c>
      <c r="E99" s="9" t="s">
        <v>829</v>
      </c>
      <c r="F99" s="9" t="s">
        <v>830</v>
      </c>
      <c r="G99" s="9" t="s">
        <v>833</v>
      </c>
      <c r="L99" s="13">
        <f>$I$47*$L$47</f>
        <v>0</v>
      </c>
      <c r="M99" s="13">
        <f>$I$47*$M$47</f>
        <v>0</v>
      </c>
      <c r="N99" s="13">
        <f ca="1">$I$47*$N$47</f>
        <v>0</v>
      </c>
      <c r="O99" s="13">
        <f>$I$47*$O$47</f>
        <v>0</v>
      </c>
      <c r="P99" s="13">
        <f>$I$47*$P$47</f>
        <v>0</v>
      </c>
      <c r="Q99" s="13">
        <f>$I$47*$Q$47</f>
        <v>0</v>
      </c>
      <c r="R99" s="13">
        <f>$I$47*$R$47</f>
        <v>0</v>
      </c>
      <c r="S99" s="13">
        <f>$I$47*$S$47</f>
        <v>0</v>
      </c>
      <c r="T99" s="13">
        <f>$I$47*$T$47</f>
        <v>0</v>
      </c>
      <c r="U99" s="13">
        <f>$I$47*$U$47</f>
        <v>0</v>
      </c>
      <c r="V99" s="13">
        <f>$I$47*$V$47</f>
        <v>0</v>
      </c>
      <c r="W99" s="13">
        <f>$I$47*$W$47</f>
        <v>0</v>
      </c>
      <c r="X99" s="13">
        <f>$I$47*$X$47</f>
        <v>0</v>
      </c>
      <c r="Y99" s="13">
        <f>$I$47*$Y$47</f>
        <v>0</v>
      </c>
      <c r="Z99" s="13">
        <f>$I$47*$Z$47</f>
        <v>0</v>
      </c>
      <c r="AA99" s="13">
        <f>$I$47*$AA$47</f>
        <v>0</v>
      </c>
      <c r="AB99" s="13">
        <f ca="1">$I$47*$AB$47</f>
        <v>0</v>
      </c>
      <c r="AC99" s="13">
        <f ca="1">$I$47*$AC$47</f>
        <v>0</v>
      </c>
      <c r="AD99" s="13">
        <f>$I$47*$AD$47</f>
        <v>0</v>
      </c>
      <c r="AE99" s="13">
        <f>$I$47*$AE$47</f>
        <v>0</v>
      </c>
      <c r="AF99" s="13">
        <f ca="1">$I$47*$AF$47</f>
        <v>0</v>
      </c>
      <c r="AG99" s="13">
        <f ca="1">$I$47*$AG$47</f>
        <v>0</v>
      </c>
      <c r="AI99" s="13">
        <f>$I$47*$AI$47</f>
        <v>0</v>
      </c>
      <c r="AJ99" s="13">
        <f>$I$47*$AJ$47</f>
        <v>0</v>
      </c>
      <c r="AK99" s="13">
        <f>$I$47*$AK$47</f>
        <v>0</v>
      </c>
      <c r="AL99" s="13">
        <f>$I$47*$AL$47</f>
        <v>0</v>
      </c>
      <c r="AM99" s="13">
        <f>$I$47*$AM$47</f>
        <v>0</v>
      </c>
      <c r="AN99" s="13">
        <f>$I$47*$AN$47</f>
        <v>0</v>
      </c>
      <c r="AO99" s="13">
        <f>$I$47*$AO$47</f>
        <v>0</v>
      </c>
      <c r="AP99" s="13">
        <f>$I$47*$AP$47</f>
        <v>0</v>
      </c>
      <c r="AQ99" s="13">
        <f>$I$47*$AQ$47</f>
        <v>0</v>
      </c>
      <c r="AR99" s="13">
        <f>$I$47*$AR$47</f>
        <v>0</v>
      </c>
      <c r="AS99" s="13">
        <f>$I$47*$AS$47</f>
        <v>0</v>
      </c>
      <c r="AT99" s="13">
        <f>$I$47*$AT$47</f>
        <v>0</v>
      </c>
      <c r="AU99" s="13">
        <f>$I$47*$AU$47</f>
        <v>0</v>
      </c>
      <c r="AV99" s="13">
        <f>$I$47*$AV$47</f>
        <v>0</v>
      </c>
      <c r="AW99" s="13">
        <f>$I$47*$AW$47</f>
        <v>0</v>
      </c>
      <c r="AX99" s="13">
        <f>$I$47*$AX$47</f>
        <v>0</v>
      </c>
      <c r="AY99" s="13">
        <f>$I$47*$AY$47</f>
        <v>0</v>
      </c>
      <c r="AZ99" s="13">
        <f>$I$47*$AZ$47</f>
        <v>0</v>
      </c>
      <c r="BA99" s="13">
        <f>$I$47*$BA$47</f>
        <v>0</v>
      </c>
      <c r="BB99" s="13">
        <f>$I$47*$BB$47</f>
        <v>0</v>
      </c>
      <c r="BC99" s="13">
        <f>$I$47*$BC$47</f>
        <v>0</v>
      </c>
      <c r="BD99" s="13">
        <f>$I$47*$BD$47</f>
        <v>0</v>
      </c>
    </row>
    <row r="100" spans="1:56" ht="11.25" customHeight="1" x14ac:dyDescent="0.25">
      <c r="A100" s="9" t="s">
        <v>33</v>
      </c>
      <c r="B100" s="9" t="s">
        <v>834</v>
      </c>
      <c r="C100" s="9" t="s">
        <v>835</v>
      </c>
      <c r="D100" s="9" t="s">
        <v>836</v>
      </c>
      <c r="E100" s="9" t="s">
        <v>837</v>
      </c>
      <c r="F100" s="9" t="s">
        <v>838</v>
      </c>
      <c r="G100" s="9" t="s">
        <v>839</v>
      </c>
      <c r="L100" s="13">
        <f>$I$48*$L$48</f>
        <v>0</v>
      </c>
      <c r="M100" s="13">
        <f>$I$48*$M$48</f>
        <v>6961.8513854830971</v>
      </c>
      <c r="N100" s="13">
        <f ca="1">$I$48*$N$48</f>
        <v>0</v>
      </c>
      <c r="O100" s="13">
        <f>$I$48*$O$48</f>
        <v>0</v>
      </c>
      <c r="P100" s="13">
        <f>$I$48*$P$48</f>
        <v>0</v>
      </c>
      <c r="Q100" s="13">
        <f>$I$48*$Q$48</f>
        <v>284294.98410947173</v>
      </c>
      <c r="R100" s="13">
        <f>$I$48*$R$48</f>
        <v>44858.110463135876</v>
      </c>
      <c r="S100" s="13">
        <f>$I$48*$S$48</f>
        <v>0</v>
      </c>
      <c r="T100" s="13">
        <f>$I$48*$T$48</f>
        <v>0</v>
      </c>
      <c r="U100" s="13">
        <f>$I$48*$U$48</f>
        <v>0</v>
      </c>
      <c r="V100" s="13">
        <f>$I$48*$V$48</f>
        <v>0</v>
      </c>
      <c r="W100" s="13">
        <f>$I$48*$W$48</f>
        <v>0</v>
      </c>
      <c r="X100" s="13">
        <f>$I$48*$X$48</f>
        <v>450655.69650826504</v>
      </c>
      <c r="Y100" s="13">
        <f>$I$48*$Y$48</f>
        <v>0</v>
      </c>
      <c r="Z100" s="13">
        <f>$I$48*$Z$48</f>
        <v>0</v>
      </c>
      <c r="AA100" s="13">
        <f>$I$48*$AA$48</f>
        <v>918613.5889152661</v>
      </c>
      <c r="AB100" s="13">
        <f ca="1">$I$48*$AB$48</f>
        <v>0</v>
      </c>
      <c r="AC100" s="13">
        <f ca="1">$I$48*$AC$48</f>
        <v>0</v>
      </c>
      <c r="AD100" s="13">
        <f>$I$48*$AD$48</f>
        <v>96610.674818505126</v>
      </c>
      <c r="AE100" s="13">
        <f>$I$48*$AE$48</f>
        <v>3389.1651866517936</v>
      </c>
      <c r="AF100" s="13">
        <f ca="1">$I$48*$AF$48</f>
        <v>0</v>
      </c>
      <c r="AG100" s="13">
        <f ca="1">$I$48*$AG$48</f>
        <v>0</v>
      </c>
      <c r="AI100" s="13">
        <f>$I$48*$AI$48</f>
        <v>0</v>
      </c>
      <c r="AJ100" s="13">
        <f>$I$48*$AJ$48</f>
        <v>6767.2690371525632</v>
      </c>
      <c r="AK100" s="13">
        <f>$I$48*$AK$48</f>
        <v>0</v>
      </c>
      <c r="AL100" s="13">
        <f>$I$48*$AL$48</f>
        <v>0</v>
      </c>
      <c r="AM100" s="13">
        <f>$I$48*$AM$48</f>
        <v>0</v>
      </c>
      <c r="AN100" s="13">
        <f>$I$48*$AN$48</f>
        <v>180354.55913872452</v>
      </c>
      <c r="AO100" s="13">
        <f>$I$48*$AO$48</f>
        <v>28121.246384250811</v>
      </c>
      <c r="AP100" s="13">
        <f>$I$48*$AP$48</f>
        <v>0</v>
      </c>
      <c r="AQ100" s="13">
        <f>$I$48*$AQ$48</f>
        <v>0</v>
      </c>
      <c r="AR100" s="13">
        <f>$I$48*$AR$48</f>
        <v>0</v>
      </c>
      <c r="AS100" s="13">
        <f>$I$48*$AS$48</f>
        <v>0</v>
      </c>
      <c r="AT100" s="13">
        <f>$I$48*$AT$48</f>
        <v>0</v>
      </c>
      <c r="AU100" s="13">
        <f>$I$48*$AU$48</f>
        <v>398980.14593826071</v>
      </c>
      <c r="AV100" s="13">
        <f>$I$48*$AV$48</f>
        <v>0</v>
      </c>
      <c r="AW100" s="13">
        <f>$I$48*$AW$48</f>
        <v>0</v>
      </c>
      <c r="AX100" s="13">
        <f>$I$48*$AX$48</f>
        <v>869788.31915007671</v>
      </c>
      <c r="AY100" s="13">
        <f>$I$48*$AY$48</f>
        <v>0</v>
      </c>
      <c r="AZ100" s="13">
        <f>$I$48*$AZ$48</f>
        <v>0</v>
      </c>
      <c r="BA100" s="13">
        <f>$I$48*$BA$48</f>
        <v>62517.276669649596</v>
      </c>
      <c r="BB100" s="13">
        <f>$I$48*$BB$48</f>
        <v>0</v>
      </c>
      <c r="BC100" s="13">
        <f>$I$48*$BC$48</f>
        <v>0</v>
      </c>
      <c r="BD100" s="13">
        <f>$I$48*$BD$48</f>
        <v>0</v>
      </c>
    </row>
    <row r="101" spans="1:56" ht="11.25" customHeight="1" x14ac:dyDescent="0.25">
      <c r="A101" s="9" t="s">
        <v>33</v>
      </c>
      <c r="B101" s="9" t="s">
        <v>840</v>
      </c>
      <c r="C101" s="9" t="s">
        <v>841</v>
      </c>
      <c r="D101" s="9" t="s">
        <v>842</v>
      </c>
      <c r="E101" s="9" t="s">
        <v>843</v>
      </c>
      <c r="F101" s="9" t="s">
        <v>844</v>
      </c>
      <c r="G101" s="9" t="s">
        <v>845</v>
      </c>
      <c r="L101" s="13">
        <f>$I$49*$L$49</f>
        <v>0</v>
      </c>
      <c r="M101" s="13">
        <f>$I$49*$M$49</f>
        <v>0</v>
      </c>
      <c r="N101" s="13">
        <f ca="1">$I$49*$N$49</f>
        <v>0</v>
      </c>
      <c r="O101" s="13">
        <f>$I$49*$O$49</f>
        <v>0</v>
      </c>
      <c r="P101" s="13">
        <f>$I$49*$P$49</f>
        <v>0</v>
      </c>
      <c r="Q101" s="13">
        <f>$I$49*$Q$49</f>
        <v>0</v>
      </c>
      <c r="R101" s="13">
        <f>$I$49*$R$49</f>
        <v>0</v>
      </c>
      <c r="S101" s="13">
        <f>$I$49*$S$49</f>
        <v>0</v>
      </c>
      <c r="T101" s="13">
        <f>$I$49*$T$49</f>
        <v>0</v>
      </c>
      <c r="U101" s="13">
        <f>$I$49*$U$49</f>
        <v>0</v>
      </c>
      <c r="V101" s="13">
        <f>$I$49*$V$49</f>
        <v>0</v>
      </c>
      <c r="W101" s="13">
        <f>$I$49*$W$49</f>
        <v>0</v>
      </c>
      <c r="X101" s="13">
        <f>$I$49*$X$49</f>
        <v>0</v>
      </c>
      <c r="Y101" s="13">
        <f>$I$49*$Y$49</f>
        <v>0</v>
      </c>
      <c r="Z101" s="13">
        <f>$I$49*$Z$49</f>
        <v>0</v>
      </c>
      <c r="AA101" s="13">
        <f>$I$49*$AA$49</f>
        <v>0</v>
      </c>
      <c r="AB101" s="13">
        <f ca="1">$I$49*$AB$49</f>
        <v>0</v>
      </c>
      <c r="AC101" s="13">
        <f ca="1">$I$49*$AC$49</f>
        <v>0</v>
      </c>
      <c r="AD101" s="13">
        <f>$I$49*$AD$49</f>
        <v>0</v>
      </c>
      <c r="AE101" s="13">
        <f>$I$49*$AE$49</f>
        <v>0</v>
      </c>
      <c r="AF101" s="13">
        <f ca="1">$I$49*$AF$49</f>
        <v>0</v>
      </c>
      <c r="AG101" s="13">
        <f ca="1">$I$49*$AG$49</f>
        <v>0</v>
      </c>
      <c r="AI101" s="13">
        <f>$I$49*$AI$49</f>
        <v>0</v>
      </c>
      <c r="AJ101" s="13">
        <f>$I$49*$AJ$49</f>
        <v>0</v>
      </c>
      <c r="AK101" s="13">
        <f>$I$49*$AK$49</f>
        <v>0</v>
      </c>
      <c r="AL101" s="13">
        <f>$I$49*$AL$49</f>
        <v>0</v>
      </c>
      <c r="AM101" s="13">
        <f>$I$49*$AM$49</f>
        <v>0</v>
      </c>
      <c r="AN101" s="13">
        <f>$I$49*$AN$49</f>
        <v>0</v>
      </c>
      <c r="AO101" s="13">
        <f>$I$49*$AO$49</f>
        <v>0</v>
      </c>
      <c r="AP101" s="13">
        <f>$I$49*$AP$49</f>
        <v>0</v>
      </c>
      <c r="AQ101" s="13">
        <f>$I$49*$AQ$49</f>
        <v>0</v>
      </c>
      <c r="AR101" s="13">
        <f>$I$49*$AR$49</f>
        <v>0</v>
      </c>
      <c r="AS101" s="13">
        <f>$I$49*$AS$49</f>
        <v>0</v>
      </c>
      <c r="AT101" s="13">
        <f>$I$49*$AT$49</f>
        <v>0</v>
      </c>
      <c r="AU101" s="13">
        <f>$I$49*$AU$49</f>
        <v>0</v>
      </c>
      <c r="AV101" s="13">
        <f>$I$49*$AV$49</f>
        <v>0</v>
      </c>
      <c r="AW101" s="13">
        <f>$I$49*$AW$49</f>
        <v>0</v>
      </c>
      <c r="AX101" s="13">
        <f>$I$49*$AX$49</f>
        <v>0</v>
      </c>
      <c r="AY101" s="13">
        <f>$I$49*$AY$49</f>
        <v>0</v>
      </c>
      <c r="AZ101" s="13">
        <f>$I$49*$AZ$49</f>
        <v>0</v>
      </c>
      <c r="BA101" s="13">
        <f>$I$49*$BA$49</f>
        <v>0</v>
      </c>
      <c r="BB101" s="13">
        <f>$I$49*$BB$49</f>
        <v>0</v>
      </c>
      <c r="BC101" s="13">
        <f>$I$49*$BC$49</f>
        <v>0</v>
      </c>
      <c r="BD101" s="13">
        <f>$I$49*$BD$49</f>
        <v>0</v>
      </c>
    </row>
    <row r="102" spans="1:56" ht="11.25" customHeight="1" x14ac:dyDescent="0.25">
      <c r="A102" s="9" t="s">
        <v>44</v>
      </c>
      <c r="B102" s="9" t="s">
        <v>846</v>
      </c>
      <c r="C102" s="9" t="s">
        <v>847</v>
      </c>
      <c r="D102" s="9" t="s">
        <v>848</v>
      </c>
      <c r="E102" s="9" t="s">
        <v>849</v>
      </c>
      <c r="F102" s="9" t="s">
        <v>850</v>
      </c>
      <c r="G102" s="9" t="s">
        <v>851</v>
      </c>
      <c r="L102" s="13">
        <f>$I$50*$L$50</f>
        <v>0</v>
      </c>
      <c r="M102" s="13">
        <f>$I$50*$M$50</f>
        <v>1096.8064643765422</v>
      </c>
      <c r="N102" s="13">
        <f ca="1">$I$50*$N$50</f>
        <v>0</v>
      </c>
      <c r="O102" s="13">
        <f>$I$50*$O$50</f>
        <v>0</v>
      </c>
      <c r="P102" s="13">
        <f>$I$50*$P$50</f>
        <v>0</v>
      </c>
      <c r="Q102" s="13">
        <f>$I$50*$Q$50</f>
        <v>44789.318113181376</v>
      </c>
      <c r="R102" s="13">
        <f>$I$50*$R$50</f>
        <v>7067.1812440980884</v>
      </c>
      <c r="S102" s="13">
        <f>$I$50*$S$50</f>
        <v>0</v>
      </c>
      <c r="T102" s="13">
        <f>$I$50*$T$50</f>
        <v>0</v>
      </c>
      <c r="U102" s="13">
        <f>$I$50*$U$50</f>
        <v>0</v>
      </c>
      <c r="V102" s="13">
        <f>$I$50*$V$50</f>
        <v>0</v>
      </c>
      <c r="W102" s="13">
        <f>$I$50*$W$50</f>
        <v>0</v>
      </c>
      <c r="X102" s="13">
        <f>$I$50*$X$50</f>
        <v>70998.654491398484</v>
      </c>
      <c r="Y102" s="13">
        <f>$I$50*$Y$50</f>
        <v>0</v>
      </c>
      <c r="Z102" s="13">
        <f>$I$50*$Z$50</f>
        <v>0</v>
      </c>
      <c r="AA102" s="13">
        <f>$I$50*$AA$50</f>
        <v>144723.18738192713</v>
      </c>
      <c r="AB102" s="13">
        <f ca="1">$I$50*$AB$50</f>
        <v>0</v>
      </c>
      <c r="AC102" s="13">
        <f ca="1">$I$50*$AC$50</f>
        <v>0</v>
      </c>
      <c r="AD102" s="13">
        <f>$I$50*$AD$50</f>
        <v>15220.550799126755</v>
      </c>
      <c r="AE102" s="13">
        <f>$I$50*$AE$50</f>
        <v>533.9468023277359</v>
      </c>
      <c r="AF102" s="13">
        <f ca="1">$I$50*$AF$50</f>
        <v>0</v>
      </c>
      <c r="AG102" s="13">
        <f ca="1">$I$50*$AG$50</f>
        <v>0</v>
      </c>
      <c r="AI102" s="13">
        <f>$I$50*$AI$50</f>
        <v>0</v>
      </c>
      <c r="AJ102" s="13">
        <f>$I$50*$AJ$50</f>
        <v>1066.1509439287031</v>
      </c>
      <c r="AK102" s="13">
        <f>$I$50*$AK$50</f>
        <v>0</v>
      </c>
      <c r="AL102" s="13">
        <f>$I$50*$AL$50</f>
        <v>0</v>
      </c>
      <c r="AM102" s="13">
        <f>$I$50*$AM$50</f>
        <v>0</v>
      </c>
      <c r="AN102" s="13">
        <f>$I$50*$AN$50</f>
        <v>28414.000154559137</v>
      </c>
      <c r="AO102" s="13">
        <f>$I$50*$AO$50</f>
        <v>4430.3681754665122</v>
      </c>
      <c r="AP102" s="13">
        <f>$I$50*$AP$50</f>
        <v>0</v>
      </c>
      <c r="AQ102" s="13">
        <f>$I$50*$AQ$50</f>
        <v>0</v>
      </c>
      <c r="AR102" s="13">
        <f>$I$50*$AR$50</f>
        <v>0</v>
      </c>
      <c r="AS102" s="13">
        <f>$I$50*$AS$50</f>
        <v>0</v>
      </c>
      <c r="AT102" s="13">
        <f>$I$50*$AT$50</f>
        <v>0</v>
      </c>
      <c r="AU102" s="13">
        <f>$I$50*$AU$50</f>
        <v>62857.418090750114</v>
      </c>
      <c r="AV102" s="13">
        <f>$I$50*$AV$50</f>
        <v>0</v>
      </c>
      <c r="AW102" s="13">
        <f>$I$50*$AW$50</f>
        <v>0</v>
      </c>
      <c r="AX102" s="13">
        <f>$I$50*$AX$50</f>
        <v>137030.99912076193</v>
      </c>
      <c r="AY102" s="13">
        <f>$I$50*$AY$50</f>
        <v>0</v>
      </c>
      <c r="AZ102" s="13">
        <f>$I$50*$AZ$50</f>
        <v>0</v>
      </c>
      <c r="BA102" s="13">
        <f>$I$50*$BA$50</f>
        <v>9849.2986117844939</v>
      </c>
      <c r="BB102" s="13">
        <f>$I$50*$BB$50</f>
        <v>0</v>
      </c>
      <c r="BC102" s="13">
        <f>$I$50*$BC$50</f>
        <v>0</v>
      </c>
      <c r="BD102" s="13">
        <f>$I$50*$BD$50</f>
        <v>0</v>
      </c>
    </row>
    <row r="103" spans="1:56" ht="11.25" customHeight="1" x14ac:dyDescent="0.25">
      <c r="A103" s="9" t="s">
        <v>44</v>
      </c>
      <c r="B103" s="9" t="s">
        <v>846</v>
      </c>
      <c r="C103" s="9" t="s">
        <v>847</v>
      </c>
      <c r="D103" s="9" t="s">
        <v>852</v>
      </c>
      <c r="E103" s="9" t="s">
        <v>853</v>
      </c>
      <c r="F103" s="9" t="s">
        <v>854</v>
      </c>
      <c r="G103" s="9" t="s">
        <v>855</v>
      </c>
      <c r="L103" s="13">
        <f>$I$51*$L$51</f>
        <v>0</v>
      </c>
      <c r="M103" s="13">
        <f>$I$51*$M$51</f>
        <v>0</v>
      </c>
      <c r="N103" s="13">
        <f ca="1">$I$51*$N$51</f>
        <v>0</v>
      </c>
      <c r="O103" s="13">
        <f>$I$51*$O$51</f>
        <v>0</v>
      </c>
      <c r="P103" s="13">
        <f>$I$51*$P$51</f>
        <v>0</v>
      </c>
      <c r="Q103" s="13">
        <f>$I$51*$Q$51</f>
        <v>0</v>
      </c>
      <c r="R103" s="13">
        <f>$I$51*$R$51</f>
        <v>0</v>
      </c>
      <c r="S103" s="13">
        <f>$I$51*$S$51</f>
        <v>0</v>
      </c>
      <c r="T103" s="13">
        <f>$I$51*$T$51</f>
        <v>0</v>
      </c>
      <c r="U103" s="13">
        <f>$I$51*$U$51</f>
        <v>0</v>
      </c>
      <c r="V103" s="13">
        <f>$I$51*$V$51</f>
        <v>0</v>
      </c>
      <c r="W103" s="13">
        <f>$I$51*$W$51</f>
        <v>0</v>
      </c>
      <c r="X103" s="13">
        <f>$I$51*$X$51</f>
        <v>0</v>
      </c>
      <c r="Y103" s="13">
        <f>$I$51*$Y$51</f>
        <v>0</v>
      </c>
      <c r="Z103" s="13">
        <f>$I$51*$Z$51</f>
        <v>0</v>
      </c>
      <c r="AA103" s="13">
        <f>$I$51*$AA$51</f>
        <v>0</v>
      </c>
      <c r="AB103" s="13">
        <f ca="1">$I$51*$AB$51</f>
        <v>0</v>
      </c>
      <c r="AC103" s="13">
        <f ca="1">$I$51*$AC$51</f>
        <v>0</v>
      </c>
      <c r="AD103" s="13">
        <f>$I$51*$AD$51</f>
        <v>0</v>
      </c>
      <c r="AE103" s="13">
        <f>$I$51*$AE$51</f>
        <v>0</v>
      </c>
      <c r="AF103" s="13">
        <f ca="1">$I$51*$AF$51</f>
        <v>0</v>
      </c>
      <c r="AG103" s="13">
        <f ca="1">$I$51*$AG$51</f>
        <v>0</v>
      </c>
      <c r="AI103" s="13">
        <f>$I$51*$AI$51</f>
        <v>0</v>
      </c>
      <c r="AJ103" s="13">
        <f>$I$51*$AJ$51</f>
        <v>0</v>
      </c>
      <c r="AK103" s="13">
        <f>$I$51*$AK$51</f>
        <v>0</v>
      </c>
      <c r="AL103" s="13">
        <f>$I$51*$AL$51</f>
        <v>0</v>
      </c>
      <c r="AM103" s="13">
        <f>$I$51*$AM$51</f>
        <v>0</v>
      </c>
      <c r="AN103" s="13">
        <f>$I$51*$AN$51</f>
        <v>0</v>
      </c>
      <c r="AO103" s="13">
        <f>$I$51*$AO$51</f>
        <v>0</v>
      </c>
      <c r="AP103" s="13">
        <f>$I$51*$AP$51</f>
        <v>0</v>
      </c>
      <c r="AQ103" s="13">
        <f>$I$51*$AQ$51</f>
        <v>0</v>
      </c>
      <c r="AR103" s="13">
        <f>$I$51*$AR$51</f>
        <v>0</v>
      </c>
      <c r="AS103" s="13">
        <f>$I$51*$AS$51</f>
        <v>0</v>
      </c>
      <c r="AT103" s="13">
        <f>$I$51*$AT$51</f>
        <v>0</v>
      </c>
      <c r="AU103" s="13">
        <f>$I$51*$AU$51</f>
        <v>0</v>
      </c>
      <c r="AV103" s="13">
        <f>$I$51*$AV$51</f>
        <v>0</v>
      </c>
      <c r="AW103" s="13">
        <f>$I$51*$AW$51</f>
        <v>0</v>
      </c>
      <c r="AX103" s="13">
        <f>$I$51*$AX$51</f>
        <v>0</v>
      </c>
      <c r="AY103" s="13">
        <f>$I$51*$AY$51</f>
        <v>0</v>
      </c>
      <c r="AZ103" s="13">
        <f>$I$51*$AZ$51</f>
        <v>0</v>
      </c>
      <c r="BA103" s="13">
        <f>$I$51*$BA$51</f>
        <v>0</v>
      </c>
      <c r="BB103" s="13">
        <f>$I$51*$BB$51</f>
        <v>0</v>
      </c>
      <c r="BC103" s="13">
        <f>$I$51*$BC$51</f>
        <v>0</v>
      </c>
      <c r="BD103" s="13">
        <f>$I$51*$BD$51</f>
        <v>0</v>
      </c>
    </row>
  </sheetData>
  <mergeCells count="88">
    <mergeCell ref="A1:A4"/>
    <mergeCell ref="B1:B4"/>
    <mergeCell ref="C1:C4"/>
    <mergeCell ref="D1:D4"/>
    <mergeCell ref="E1:E4"/>
    <mergeCell ref="J1:J4"/>
    <mergeCell ref="L1:AG1"/>
    <mergeCell ref="L2:AG2"/>
    <mergeCell ref="L3:S3"/>
    <mergeCell ref="T3:Z3"/>
    <mergeCell ref="F5:F7"/>
    <mergeCell ref="B10:B14"/>
    <mergeCell ref="G1:G4"/>
    <mergeCell ref="H1:H4"/>
    <mergeCell ref="I1:I4"/>
    <mergeCell ref="F1:F4"/>
    <mergeCell ref="F10:F12"/>
    <mergeCell ref="F13:F14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AI1:BD1"/>
    <mergeCell ref="AI2:BD2"/>
    <mergeCell ref="AI3:AP3"/>
    <mergeCell ref="AQ3:AW3"/>
    <mergeCell ref="AY3:AZ3"/>
    <mergeCell ref="E45:E47"/>
    <mergeCell ref="F45:F47"/>
    <mergeCell ref="A50:A51"/>
    <mergeCell ref="B50:B51"/>
    <mergeCell ref="C50:C51"/>
    <mergeCell ref="D45:D47"/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C234-84A5-4483-913C-9A761736393D}">
  <dimension ref="A1:AH85"/>
  <sheetViews>
    <sheetView showGridLines="0" topLeftCell="L28" workbookViewId="0">
      <selection activeCell="V43" sqref="V43"/>
    </sheetView>
  </sheetViews>
  <sheetFormatPr defaultRowHeight="11.25" customHeight="1" x14ac:dyDescent="0.25"/>
  <cols>
    <col min="1" max="1" width="9.28515625" style="9" bestFit="1" customWidth="1"/>
    <col min="2" max="2" width="29" style="9" bestFit="1" customWidth="1"/>
    <col min="3" max="3" width="38.7109375" style="9" bestFit="1" customWidth="1"/>
    <col min="4" max="4" width="61.7109375" style="9" bestFit="1" customWidth="1"/>
    <col min="5" max="5" width="71.42578125" style="9" bestFit="1" customWidth="1"/>
    <col min="6" max="6" width="81" style="9" bestFit="1" customWidth="1"/>
    <col min="7" max="7" width="81.8554687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4.140625" style="9" bestFit="1" customWidth="1"/>
    <col min="13" max="13" width="10" style="9" bestFit="1" customWidth="1"/>
    <col min="14" max="14" width="6" style="9" bestFit="1" customWidth="1"/>
    <col min="15" max="15" width="11.140625" style="9" bestFit="1" customWidth="1"/>
    <col min="16" max="16" width="9.28515625" style="9" bestFit="1" customWidth="1"/>
    <col min="17" max="17" width="15" style="9" bestFit="1" customWidth="1"/>
    <col min="18" max="18" width="6" style="9" bestFit="1" customWidth="1"/>
    <col min="19" max="19" width="10.42578125" style="9" bestFit="1" customWidth="1"/>
    <col min="20" max="20" width="7" style="9" bestFit="1" customWidth="1"/>
    <col min="21" max="21" width="11.140625" style="9" bestFit="1" customWidth="1"/>
    <col min="22" max="22" width="11" style="9" bestFit="1" customWidth="1"/>
    <col min="23" max="23" width="9.140625" style="9"/>
    <col min="24" max="24" width="4.140625" style="9" bestFit="1" customWidth="1"/>
    <col min="25" max="25" width="10" style="9" bestFit="1" customWidth="1"/>
    <col min="26" max="26" width="6" style="9" bestFit="1" customWidth="1"/>
    <col min="27" max="27" width="11.140625" style="9" bestFit="1" customWidth="1"/>
    <col min="28" max="28" width="9.28515625" style="9" bestFit="1" customWidth="1"/>
    <col min="29" max="29" width="15" style="9" bestFit="1" customWidth="1"/>
    <col min="30" max="30" width="6" style="9" bestFit="1" customWidth="1"/>
    <col min="31" max="31" width="10.42578125" style="9" bestFit="1" customWidth="1"/>
    <col min="32" max="32" width="7" style="9" bestFit="1" customWidth="1"/>
    <col min="33" max="33" width="11.140625" style="9" bestFit="1" customWidth="1"/>
    <col min="34" max="34" width="11" style="9" bestFit="1" customWidth="1"/>
    <col min="35" max="16384" width="9.140625" style="9"/>
  </cols>
  <sheetData>
    <row r="1" spans="1:34" ht="11.25" customHeight="1" x14ac:dyDescent="0.25">
      <c r="A1" s="119" t="s">
        <v>63</v>
      </c>
      <c r="B1" s="119" t="s">
        <v>64</v>
      </c>
      <c r="C1" s="119" t="s">
        <v>65</v>
      </c>
      <c r="D1" s="119" t="s">
        <v>66</v>
      </c>
      <c r="E1" s="119" t="s">
        <v>67</v>
      </c>
      <c r="F1" s="119" t="s">
        <v>15</v>
      </c>
      <c r="G1" s="119" t="s">
        <v>69</v>
      </c>
      <c r="H1" s="119" t="s">
        <v>70</v>
      </c>
      <c r="I1" s="119" t="s">
        <v>488</v>
      </c>
      <c r="J1" s="98"/>
      <c r="L1" s="117" t="s">
        <v>856</v>
      </c>
      <c r="M1" s="117"/>
      <c r="N1" s="117"/>
      <c r="O1" s="117"/>
      <c r="P1" s="117"/>
      <c r="Q1" s="117"/>
      <c r="R1" s="117"/>
      <c r="S1" s="117"/>
      <c r="T1" s="117"/>
      <c r="U1" s="117"/>
      <c r="V1" s="117"/>
      <c r="X1" s="117" t="s">
        <v>857</v>
      </c>
      <c r="Y1" s="117"/>
      <c r="Z1" s="117"/>
      <c r="AA1" s="117"/>
      <c r="AB1" s="117"/>
      <c r="AC1" s="117"/>
      <c r="AD1" s="117"/>
      <c r="AE1" s="117"/>
      <c r="AF1" s="117"/>
      <c r="AG1" s="117"/>
      <c r="AH1" s="117"/>
    </row>
    <row r="2" spans="1:34" ht="11.25" customHeight="1" x14ac:dyDescent="0.25">
      <c r="A2" s="119"/>
      <c r="B2" s="119"/>
      <c r="C2" s="119"/>
      <c r="D2" s="119"/>
      <c r="E2" s="119"/>
      <c r="F2" s="119"/>
      <c r="G2" s="119"/>
      <c r="H2" s="119"/>
      <c r="I2" s="119"/>
      <c r="J2" s="98"/>
      <c r="L2" s="117" t="s">
        <v>415</v>
      </c>
      <c r="M2" s="117"/>
      <c r="N2" s="117"/>
      <c r="O2" s="117"/>
      <c r="P2" s="117"/>
      <c r="Q2" s="117"/>
      <c r="R2" s="117"/>
      <c r="S2" s="117"/>
      <c r="T2" s="117"/>
      <c r="U2" s="117"/>
      <c r="V2" s="117"/>
      <c r="X2" s="117" t="s">
        <v>415</v>
      </c>
      <c r="Y2" s="117"/>
      <c r="Z2" s="117"/>
      <c r="AA2" s="117"/>
      <c r="AB2" s="117"/>
      <c r="AC2" s="117"/>
      <c r="AD2" s="117"/>
      <c r="AE2" s="117"/>
      <c r="AF2" s="117"/>
      <c r="AG2" s="117"/>
      <c r="AH2" s="117"/>
    </row>
    <row r="3" spans="1:34" ht="11.25" customHeight="1" x14ac:dyDescent="0.25">
      <c r="A3" s="119"/>
      <c r="B3" s="119"/>
      <c r="C3" s="119"/>
      <c r="D3" s="119"/>
      <c r="E3" s="119"/>
      <c r="F3" s="119"/>
      <c r="G3" s="119"/>
      <c r="H3" s="119"/>
      <c r="I3" s="119"/>
      <c r="J3" s="98"/>
      <c r="L3" s="117" t="s">
        <v>388</v>
      </c>
      <c r="M3" s="117"/>
      <c r="N3" s="117"/>
      <c r="O3" s="117"/>
      <c r="P3" s="117"/>
      <c r="Q3" s="30" t="s">
        <v>419</v>
      </c>
      <c r="R3" s="117" t="s">
        <v>397</v>
      </c>
      <c r="S3" s="117"/>
      <c r="T3" s="117"/>
      <c r="U3" s="30" t="s">
        <v>407</v>
      </c>
      <c r="V3" s="30" t="s">
        <v>410</v>
      </c>
      <c r="X3" s="117" t="s">
        <v>388</v>
      </c>
      <c r="Y3" s="117"/>
      <c r="Z3" s="117"/>
      <c r="AA3" s="117"/>
      <c r="AB3" s="117"/>
      <c r="AC3" s="30" t="s">
        <v>419</v>
      </c>
      <c r="AD3" s="117" t="s">
        <v>397</v>
      </c>
      <c r="AE3" s="117"/>
      <c r="AF3" s="117"/>
      <c r="AG3" s="30" t="s">
        <v>407</v>
      </c>
      <c r="AH3" s="30" t="s">
        <v>410</v>
      </c>
    </row>
    <row r="4" spans="1:34" ht="11.25" customHeight="1" x14ac:dyDescent="0.25">
      <c r="A4" s="119"/>
      <c r="B4" s="119"/>
      <c r="C4" s="119"/>
      <c r="D4" s="119"/>
      <c r="E4" s="119"/>
      <c r="F4" s="119"/>
      <c r="G4" s="119"/>
      <c r="H4" s="119"/>
      <c r="I4" s="119"/>
      <c r="J4" s="98"/>
      <c r="L4" s="30" t="s">
        <v>390</v>
      </c>
      <c r="M4" s="30" t="s">
        <v>416</v>
      </c>
      <c r="N4" s="30" t="s">
        <v>417</v>
      </c>
      <c r="O4" s="30" t="s">
        <v>476</v>
      </c>
      <c r="P4" s="30" t="s">
        <v>418</v>
      </c>
      <c r="Q4" s="30" t="s">
        <v>420</v>
      </c>
      <c r="R4" s="30" t="s">
        <v>421</v>
      </c>
      <c r="S4" s="30" t="s">
        <v>422</v>
      </c>
      <c r="T4" s="30" t="s">
        <v>423</v>
      </c>
      <c r="U4" s="30" t="s">
        <v>408</v>
      </c>
      <c r="V4" s="30" t="s">
        <v>424</v>
      </c>
      <c r="X4" s="30" t="s">
        <v>390</v>
      </c>
      <c r="Y4" s="30" t="s">
        <v>416</v>
      </c>
      <c r="Z4" s="30" t="s">
        <v>417</v>
      </c>
      <c r="AA4" s="30" t="s">
        <v>476</v>
      </c>
      <c r="AB4" s="30" t="s">
        <v>418</v>
      </c>
      <c r="AC4" s="30" t="s">
        <v>420</v>
      </c>
      <c r="AD4" s="30" t="s">
        <v>421</v>
      </c>
      <c r="AE4" s="30" t="s">
        <v>422</v>
      </c>
      <c r="AF4" s="30" t="s">
        <v>423</v>
      </c>
      <c r="AG4" s="30" t="s">
        <v>408</v>
      </c>
      <c r="AH4" s="30" t="s">
        <v>424</v>
      </c>
    </row>
    <row r="5" spans="1:34" ht="11.25" customHeight="1" x14ac:dyDescent="0.25">
      <c r="A5" s="120" t="s">
        <v>35</v>
      </c>
      <c r="B5" s="120" t="s">
        <v>72</v>
      </c>
      <c r="C5" s="120" t="s">
        <v>25</v>
      </c>
      <c r="D5" s="120" t="s">
        <v>25</v>
      </c>
      <c r="E5" s="120" t="s">
        <v>25</v>
      </c>
      <c r="F5" s="120" t="s">
        <v>25</v>
      </c>
      <c r="G5" s="29" t="s">
        <v>74</v>
      </c>
      <c r="H5" s="29" t="s">
        <v>73</v>
      </c>
      <c r="I5" s="29">
        <f>'MERCADO TE'!$U$2</f>
        <v>3179.3539999999994</v>
      </c>
      <c r="J5" s="15"/>
      <c r="L5" s="26">
        <f>('TE BE'!$L$5+'TE BF'!$L$5+'TE CVA'!$L$5)*1</f>
        <v>0</v>
      </c>
      <c r="M5" s="26">
        <f>('TE BE'!$M$5+'TE BF'!$M$5+'TE CVA'!$M$5)*1</f>
        <v>26.037866017418821</v>
      </c>
      <c r="N5" s="26">
        <f>('TE BE'!$N$5+'TE BF'!$N$5+'TE CVA'!$N$5)*1</f>
        <v>0</v>
      </c>
      <c r="O5" s="26">
        <f>('TE BE'!$O$5+'TE BF'!$O$5+'TE CVA'!$O$5)*1</f>
        <v>0</v>
      </c>
      <c r="P5" s="26">
        <f>('TE BE'!$P$5+'TE BF'!$P$5+'TE CVA'!$P$5)*1</f>
        <v>-14.800253568276387</v>
      </c>
      <c r="Q5" s="26">
        <f>('TE BE'!$R$5+'TE BF'!$R$5+'TE CVA'!$R$5)*1</f>
        <v>179.04996045310077</v>
      </c>
      <c r="R5" s="26">
        <f>('TE BE'!$T$5+'TE BF'!$T$5+'TE CVA'!$T$5)*1</f>
        <v>0</v>
      </c>
      <c r="S5" s="26">
        <f>('TE BE'!$U$5+'TE BF'!$U$5+'TE CVA'!$U$5)*1</f>
        <v>0</v>
      </c>
      <c r="T5" s="26">
        <f>('TE BE'!$V$5+'TE BF'!$V$5+'TE CVA'!$V$5)*1</f>
        <v>0</v>
      </c>
      <c r="U5" s="26">
        <f>('TE BE'!$X$5+'TE BF'!$X$5+'TE CVA'!$X$5)*1</f>
        <v>0</v>
      </c>
      <c r="V5" s="26">
        <f>('TE BE'!$Z$5+'TE BF'!$Z$5+'TE CVA'!$Z$5)*1</f>
        <v>6.2811888414922379</v>
      </c>
      <c r="X5" s="26">
        <v>0</v>
      </c>
      <c r="Y5" s="26">
        <v>2.8398530913856499</v>
      </c>
      <c r="Z5" s="26">
        <v>0</v>
      </c>
      <c r="AA5" s="26">
        <v>0</v>
      </c>
      <c r="AB5" s="26">
        <v>0</v>
      </c>
      <c r="AC5" s="26">
        <v>208.70362866795799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</row>
    <row r="6" spans="1:34" ht="11.25" customHeight="1" x14ac:dyDescent="0.25">
      <c r="A6" s="120"/>
      <c r="B6" s="120"/>
      <c r="C6" s="120"/>
      <c r="D6" s="120"/>
      <c r="E6" s="120"/>
      <c r="F6" s="120"/>
      <c r="G6" s="29" t="s">
        <v>75</v>
      </c>
      <c r="H6" s="29" t="s">
        <v>73</v>
      </c>
      <c r="I6" s="29">
        <f>'MERCADO TE'!$U$3</f>
        <v>38515.306999999993</v>
      </c>
      <c r="J6" s="15"/>
      <c r="L6" s="26">
        <f>('TE BE'!$L$6+'TE BF'!$L$6+'TE CVA'!$L$6)*1</f>
        <v>0</v>
      </c>
      <c r="M6" s="26">
        <f>('TE BE'!$M$6+'TE BF'!$M$6+'TE CVA'!$M$6)*1</f>
        <v>26.037866017418821</v>
      </c>
      <c r="N6" s="26">
        <f>('TE BE'!$N$6+'TE BF'!$N$6+'TE CVA'!$N$6)*1</f>
        <v>0</v>
      </c>
      <c r="O6" s="26">
        <f>('TE BE'!$O$6+'TE BF'!$O$6+'TE CVA'!$O$6)*1</f>
        <v>0</v>
      </c>
      <c r="P6" s="26">
        <f>('TE BE'!$P$6+'TE BF'!$P$6+'TE CVA'!$P$6)*1</f>
        <v>-14.800253568276387</v>
      </c>
      <c r="Q6" s="26">
        <f>('TE BE'!$R$6+'TE BF'!$R$6+'TE CVA'!$R$6)*1</f>
        <v>179.04996045310077</v>
      </c>
      <c r="R6" s="26">
        <f>('TE BE'!$T$6+'TE BF'!$T$6+'TE CVA'!$T$6)*1</f>
        <v>0</v>
      </c>
      <c r="S6" s="26">
        <f>('TE BE'!$U$6+'TE BF'!$U$6+'TE CVA'!$U$6)*1</f>
        <v>0</v>
      </c>
      <c r="T6" s="26">
        <f>('TE BE'!$V$6+'TE BF'!$V$6+'TE CVA'!$V$6)*1</f>
        <v>0</v>
      </c>
      <c r="U6" s="26">
        <f>('TE BE'!$X$6+'TE BF'!$X$6+'TE CVA'!$X$6)*1</f>
        <v>0</v>
      </c>
      <c r="V6" s="26">
        <f>('TE BE'!$Z$6+'TE BF'!$Z$6+'TE CVA'!$Z$6)*1</f>
        <v>6.2811888414922379</v>
      </c>
      <c r="X6" s="26">
        <v>0</v>
      </c>
      <c r="Y6" s="26">
        <v>2.8398530913856499</v>
      </c>
      <c r="Z6" s="26">
        <v>0</v>
      </c>
      <c r="AA6" s="26">
        <v>0</v>
      </c>
      <c r="AB6" s="26">
        <v>0</v>
      </c>
      <c r="AC6" s="26">
        <v>208.70362866795799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</row>
    <row r="7" spans="1:34" ht="11.25" customHeight="1" x14ac:dyDescent="0.25">
      <c r="A7" s="120"/>
      <c r="B7" s="28" t="s">
        <v>76</v>
      </c>
      <c r="C7" s="28" t="s">
        <v>25</v>
      </c>
      <c r="D7" s="28" t="s">
        <v>25</v>
      </c>
      <c r="E7" s="28" t="s">
        <v>25</v>
      </c>
      <c r="F7" s="28" t="s">
        <v>25</v>
      </c>
      <c r="G7" s="29" t="s">
        <v>77</v>
      </c>
      <c r="H7" s="29" t="s">
        <v>73</v>
      </c>
      <c r="I7" s="29">
        <f>'MERCADO TE'!$U$4</f>
        <v>0</v>
      </c>
      <c r="J7" s="15"/>
      <c r="L7" s="26">
        <f>('TE BE'!$L$7+'TE BF'!$L$7+'TE CVA'!$L$7)*1</f>
        <v>0</v>
      </c>
      <c r="M7" s="26">
        <f>('TE BE'!$M$7+'TE BF'!$M$7+'TE CVA'!$M$7)*1</f>
        <v>26.037866017418821</v>
      </c>
      <c r="N7" s="26">
        <f>('TE BE'!$N$7+'TE BF'!$N$7+'TE CVA'!$N$7)*1</f>
        <v>0</v>
      </c>
      <c r="O7" s="26">
        <f>('TE BE'!$O$7+'TE BF'!$O$7+'TE CVA'!$O$7)*1</f>
        <v>0</v>
      </c>
      <c r="P7" s="26">
        <f>('TE BE'!$P$7+'TE BF'!$P$7+'TE CVA'!$P$7)*1</f>
        <v>-14.800253568276387</v>
      </c>
      <c r="Q7" s="26">
        <f>('TE BE'!$R$7+'TE BF'!$R$7+'TE CVA'!$R$7)*1</f>
        <v>179.04996045310077</v>
      </c>
      <c r="R7" s="26">
        <f>('TE BE'!$T$7+'TE BF'!$T$7+'TE CVA'!$T$7)*1</f>
        <v>0</v>
      </c>
      <c r="S7" s="26">
        <f>('TE BE'!$U$7+'TE BF'!$U$7+'TE CVA'!$U$7)*1</f>
        <v>0</v>
      </c>
      <c r="T7" s="26">
        <f>('TE BE'!$V$7+'TE BF'!$V$7+'TE CVA'!$V$7)*1</f>
        <v>0</v>
      </c>
      <c r="U7" s="26">
        <f>('TE BE'!$X$7+'TE BF'!$X$7+'TE CVA'!$X$7)*1</f>
        <v>0</v>
      </c>
      <c r="V7" s="26">
        <f>('TE BE'!$Z$7+'TE BF'!$Z$7+'TE CVA'!$Z$7)*1</f>
        <v>6.2811888414922379</v>
      </c>
      <c r="X7" s="26">
        <v>0</v>
      </c>
      <c r="Y7" s="26">
        <v>2.8398530913856499</v>
      </c>
      <c r="Z7" s="26">
        <v>0</v>
      </c>
      <c r="AA7" s="26">
        <v>0</v>
      </c>
      <c r="AB7" s="26">
        <v>0</v>
      </c>
      <c r="AC7" s="26">
        <v>208.70362866795799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</row>
    <row r="8" spans="1:34" ht="11.25" customHeight="1" x14ac:dyDescent="0.25">
      <c r="A8" s="120" t="s">
        <v>22</v>
      </c>
      <c r="B8" s="120" t="s">
        <v>72</v>
      </c>
      <c r="C8" s="120" t="s">
        <v>24</v>
      </c>
      <c r="D8" s="120" t="s">
        <v>24</v>
      </c>
      <c r="E8" s="120" t="s">
        <v>25</v>
      </c>
      <c r="F8" s="120" t="s">
        <v>25</v>
      </c>
      <c r="G8" s="29" t="s">
        <v>74</v>
      </c>
      <c r="H8" s="29" t="s">
        <v>73</v>
      </c>
      <c r="I8" s="29">
        <f>'MERCADO TE'!$U$5</f>
        <v>0</v>
      </c>
      <c r="J8" s="15"/>
      <c r="L8" s="26">
        <f>('TE BE'!$L$8+'TE BF'!$L$8+'TE CVA'!$L$8)*1</f>
        <v>0</v>
      </c>
      <c r="M8" s="26">
        <f>('TE BE'!$M$8+'TE BF'!$M$8+'TE CVA'!$M$8)*1</f>
        <v>26.037866017418821</v>
      </c>
      <c r="N8" s="26">
        <f>('TE BE'!$N$8+'TE BF'!$N$8+'TE CVA'!$N$8)*1</f>
        <v>0</v>
      </c>
      <c r="O8" s="26">
        <f>('TE BE'!$O$8+'TE BF'!$O$8+'TE CVA'!$O$8)*1</f>
        <v>0</v>
      </c>
      <c r="P8" s="26">
        <f>('TE BE'!$P$8+'TE BF'!$P$8+'TE CVA'!$P$8)*1</f>
        <v>-14.800253568276387</v>
      </c>
      <c r="Q8" s="26">
        <f>('TE BE'!$R$8+'TE BF'!$R$8+'TE CVA'!$R$8)*1</f>
        <v>179.04996045310077</v>
      </c>
      <c r="R8" s="26">
        <f>('TE BE'!$T$8+'TE BF'!$T$8+'TE CVA'!$T$8)*1</f>
        <v>0</v>
      </c>
      <c r="S8" s="26">
        <f>('TE BE'!$U$8+'TE BF'!$U$8+'TE CVA'!$U$8)*1</f>
        <v>0</v>
      </c>
      <c r="T8" s="26">
        <f>('TE BE'!$V$8+'TE BF'!$V$8+'TE CVA'!$V$8)*1</f>
        <v>0</v>
      </c>
      <c r="U8" s="26">
        <f>('TE BE'!$X$8+'TE BF'!$X$8+'TE CVA'!$X$8)*1</f>
        <v>0</v>
      </c>
      <c r="V8" s="26">
        <f>('TE BE'!$Z$8+'TE BF'!$Z$8+'TE CVA'!$Z$8)*1</f>
        <v>6.2811888414922379</v>
      </c>
      <c r="X8" s="26">
        <v>0</v>
      </c>
      <c r="Y8" s="26">
        <v>2.8398530913856499</v>
      </c>
      <c r="Z8" s="26">
        <v>0</v>
      </c>
      <c r="AA8" s="26">
        <v>0</v>
      </c>
      <c r="AB8" s="26">
        <v>0</v>
      </c>
      <c r="AC8" s="26">
        <v>208.70362866795799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</row>
    <row r="9" spans="1:34" ht="11.25" customHeight="1" x14ac:dyDescent="0.25">
      <c r="A9" s="120"/>
      <c r="B9" s="120"/>
      <c r="C9" s="120"/>
      <c r="D9" s="120"/>
      <c r="E9" s="120"/>
      <c r="F9" s="120"/>
      <c r="G9" s="29" t="s">
        <v>85</v>
      </c>
      <c r="H9" s="29" t="s">
        <v>73</v>
      </c>
      <c r="I9" s="29">
        <f>'MERCADO TE'!$U$6</f>
        <v>0</v>
      </c>
      <c r="J9" s="15"/>
      <c r="L9" s="26">
        <f>('TE BE'!$L$9+'TE BF'!$L$9+'TE CVA'!$L$9)*1</f>
        <v>0</v>
      </c>
      <c r="M9" s="26">
        <f>('TE BE'!$M$9+'TE BF'!$M$9+'TE CVA'!$M$9)*1</f>
        <v>26.037866017418821</v>
      </c>
      <c r="N9" s="26">
        <f>('TE BE'!$N$9+'TE BF'!$N$9+'TE CVA'!$N$9)*1</f>
        <v>0</v>
      </c>
      <c r="O9" s="26">
        <f>('TE BE'!$O$9+'TE BF'!$O$9+'TE CVA'!$O$9)*1</f>
        <v>0</v>
      </c>
      <c r="P9" s="26">
        <f>('TE BE'!$P$9+'TE BF'!$P$9+'TE CVA'!$P$9)*1</f>
        <v>-14.800253568276387</v>
      </c>
      <c r="Q9" s="26">
        <f>('TE BE'!$R$9+'TE BF'!$R$9+'TE CVA'!$R$9)*1</f>
        <v>179.04996045310077</v>
      </c>
      <c r="R9" s="26">
        <f>('TE BE'!$T$9+'TE BF'!$T$9+'TE CVA'!$T$9)*1</f>
        <v>0</v>
      </c>
      <c r="S9" s="26">
        <f>('TE BE'!$U$9+'TE BF'!$U$9+'TE CVA'!$U$9)*1</f>
        <v>0</v>
      </c>
      <c r="T9" s="26">
        <f>('TE BE'!$V$9+'TE BF'!$V$9+'TE CVA'!$V$9)*1</f>
        <v>0</v>
      </c>
      <c r="U9" s="26">
        <f>('TE BE'!$X$9+'TE BF'!$X$9+'TE CVA'!$X$9)*1</f>
        <v>0</v>
      </c>
      <c r="V9" s="26">
        <f>('TE BE'!$Z$9+'TE BF'!$Z$9+'TE CVA'!$Z$9)*1</f>
        <v>6.2811888414922379</v>
      </c>
      <c r="X9" s="26">
        <v>0</v>
      </c>
      <c r="Y9" s="26">
        <v>2.8398530913856499</v>
      </c>
      <c r="Z9" s="26">
        <v>0</v>
      </c>
      <c r="AA9" s="26">
        <v>0</v>
      </c>
      <c r="AB9" s="26">
        <v>0</v>
      </c>
      <c r="AC9" s="26">
        <v>208.70362866795799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</row>
    <row r="10" spans="1:34" ht="11.25" customHeight="1" x14ac:dyDescent="0.25">
      <c r="A10" s="120"/>
      <c r="B10" s="120"/>
      <c r="C10" s="120"/>
      <c r="D10" s="120"/>
      <c r="E10" s="120"/>
      <c r="F10" s="120"/>
      <c r="G10" s="29" t="s">
        <v>75</v>
      </c>
      <c r="H10" s="29" t="s">
        <v>73</v>
      </c>
      <c r="I10" s="29">
        <f>'MERCADO TE'!$U$7</f>
        <v>0</v>
      </c>
      <c r="J10" s="15"/>
      <c r="L10" s="26">
        <f>('TE BE'!$L$10+'TE BF'!$L$10+'TE CVA'!$L$10)*1</f>
        <v>0</v>
      </c>
      <c r="M10" s="26">
        <f>('TE BE'!$M$10+'TE BF'!$M$10+'TE CVA'!$M$10)*1</f>
        <v>26.037866017418821</v>
      </c>
      <c r="N10" s="26">
        <f>('TE BE'!$N$10+'TE BF'!$N$10+'TE CVA'!$N$10)*1</f>
        <v>0</v>
      </c>
      <c r="O10" s="26">
        <f>('TE BE'!$O$10+'TE BF'!$O$10+'TE CVA'!$O$10)*1</f>
        <v>0</v>
      </c>
      <c r="P10" s="26">
        <f>('TE BE'!$P$10+'TE BF'!$P$10+'TE CVA'!$P$10)*1</f>
        <v>-14.800253568276387</v>
      </c>
      <c r="Q10" s="26">
        <f>('TE BE'!$R$10+'TE BF'!$R$10+'TE CVA'!$R$10)*1</f>
        <v>179.04996045310077</v>
      </c>
      <c r="R10" s="26">
        <f>('TE BE'!$T$10+'TE BF'!$T$10+'TE CVA'!$T$10)*1</f>
        <v>0</v>
      </c>
      <c r="S10" s="26">
        <f>('TE BE'!$U$10+'TE BF'!$U$10+'TE CVA'!$U$10)*1</f>
        <v>0</v>
      </c>
      <c r="T10" s="26">
        <f>('TE BE'!$V$10+'TE BF'!$V$10+'TE CVA'!$V$10)*1</f>
        <v>0</v>
      </c>
      <c r="U10" s="26">
        <f>('TE BE'!$X$10+'TE BF'!$X$10+'TE CVA'!$X$10)*1</f>
        <v>0</v>
      </c>
      <c r="V10" s="26">
        <f>('TE BE'!$Z$10+'TE BF'!$Z$10+'TE CVA'!$Z$10)*1</f>
        <v>6.2811888414922379</v>
      </c>
      <c r="X10" s="26">
        <v>0</v>
      </c>
      <c r="Y10" s="26">
        <v>2.8398530913856499</v>
      </c>
      <c r="Z10" s="26">
        <v>0</v>
      </c>
      <c r="AA10" s="26">
        <v>0</v>
      </c>
      <c r="AB10" s="26">
        <v>0</v>
      </c>
      <c r="AC10" s="26">
        <v>208.70362866795799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</row>
    <row r="11" spans="1:34" ht="11.25" customHeight="1" x14ac:dyDescent="0.25">
      <c r="A11" s="120"/>
      <c r="B11" s="120" t="s">
        <v>76</v>
      </c>
      <c r="C11" s="120" t="s">
        <v>24</v>
      </c>
      <c r="D11" s="28" t="s">
        <v>24</v>
      </c>
      <c r="E11" s="28" t="s">
        <v>25</v>
      </c>
      <c r="F11" s="28" t="s">
        <v>25</v>
      </c>
      <c r="G11" s="29" t="s">
        <v>77</v>
      </c>
      <c r="H11" s="29" t="s">
        <v>73</v>
      </c>
      <c r="I11" s="29">
        <f>'MERCADO TE'!$U$8</f>
        <v>4803.848</v>
      </c>
      <c r="J11" s="15"/>
      <c r="L11" s="26">
        <f>('TE BE'!$L$11+'TE BF'!$L$11+'TE CVA'!$L$11)*1</f>
        <v>0</v>
      </c>
      <c r="M11" s="26">
        <f>('TE BE'!$M$11+'TE BF'!$M$11+'TE CVA'!$M$11)*1</f>
        <v>26.037866017418821</v>
      </c>
      <c r="N11" s="26">
        <f>('TE BE'!$N$11+'TE BF'!$N$11+'TE CVA'!$N$11)*1</f>
        <v>0</v>
      </c>
      <c r="O11" s="26">
        <f>('TE BE'!$O$11+'TE BF'!$O$11+'TE CVA'!$O$11)*1</f>
        <v>0</v>
      </c>
      <c r="P11" s="26">
        <f>('TE BE'!$P$11+'TE BF'!$P$11+'TE CVA'!$P$11)*1</f>
        <v>-14.800253568276387</v>
      </c>
      <c r="Q11" s="26">
        <f>('TE BE'!$R$11+'TE BF'!$R$11+'TE CVA'!$R$11)*1</f>
        <v>179.04996045310077</v>
      </c>
      <c r="R11" s="26">
        <f>('TE BE'!$T$11+'TE BF'!$T$11+'TE CVA'!$T$11)*1</f>
        <v>0</v>
      </c>
      <c r="S11" s="26">
        <f>('TE BE'!$U$11+'TE BF'!$U$11+'TE CVA'!$U$11)*1</f>
        <v>0</v>
      </c>
      <c r="T11" s="26">
        <f>('TE BE'!$V$11+'TE BF'!$V$11+'TE CVA'!$V$11)*1</f>
        <v>0</v>
      </c>
      <c r="U11" s="26">
        <f>('TE BE'!$X$11+'TE BF'!$X$11+'TE CVA'!$X$11)*1</f>
        <v>0</v>
      </c>
      <c r="V11" s="26">
        <f>('TE BE'!$Z$11+'TE BF'!$Z$11+'TE CVA'!$Z$11)*1</f>
        <v>6.2811888414922379</v>
      </c>
      <c r="X11" s="26">
        <v>0</v>
      </c>
      <c r="Y11" s="26">
        <v>2.8398530913856499</v>
      </c>
      <c r="Z11" s="26">
        <v>0</v>
      </c>
      <c r="AA11" s="26">
        <v>0</v>
      </c>
      <c r="AB11" s="26">
        <v>0</v>
      </c>
      <c r="AC11" s="26">
        <v>208.70362866795799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</row>
    <row r="12" spans="1:34" ht="11.25" customHeight="1" x14ac:dyDescent="0.25">
      <c r="A12" s="120"/>
      <c r="B12" s="120"/>
      <c r="C12" s="120"/>
      <c r="D12" s="28" t="s">
        <v>29</v>
      </c>
      <c r="E12" s="28" t="s">
        <v>25</v>
      </c>
      <c r="F12" s="28" t="s">
        <v>25</v>
      </c>
      <c r="G12" s="29" t="s">
        <v>77</v>
      </c>
      <c r="H12" s="29" t="s">
        <v>73</v>
      </c>
      <c r="I12" s="29">
        <f>'MERCADO TE'!$U$9</f>
        <v>28.29</v>
      </c>
      <c r="J12" s="15"/>
      <c r="L12" s="26">
        <f>('TE BE'!$L$12+'TE BF'!$L$12+'TE CVA'!$L$12)*(1 - 0.65)</f>
        <v>0</v>
      </c>
      <c r="M12" s="26">
        <f>('TE BE'!$M$12+'TE BF'!$M$12+'TE CVA'!$M$12)*(1 - 0.65)</f>
        <v>9.113253106096586</v>
      </c>
      <c r="N12" s="26">
        <f>('TE BE'!$N$12+'TE BF'!$N$12+'TE CVA'!$N$12)*(1 - 0.65)</f>
        <v>0</v>
      </c>
      <c r="O12" s="26">
        <f>('TE BE'!$O$12+'TE BF'!$O$12+'TE CVA'!$O$12)*(1 - 0.65)</f>
        <v>0</v>
      </c>
      <c r="P12" s="26">
        <f>('TE BE'!$P$12+'TE BF'!$P$12+'TE CVA'!$P$12)*(1 - 0.65)</f>
        <v>-5.1800887488967353</v>
      </c>
      <c r="Q12" s="26">
        <f>('TE BE'!$R$12+'TE BF'!$R$12+'TE CVA'!$R$12)*(1 - 0.65)</f>
        <v>62.667486158585263</v>
      </c>
      <c r="R12" s="26">
        <f>('TE BE'!$T$12+'TE BF'!$T$12+'TE CVA'!$T$12)*(1 - 0.65)</f>
        <v>0</v>
      </c>
      <c r="S12" s="26">
        <f>('TE BE'!$U$12+'TE BF'!$U$12+'TE CVA'!$U$12)*(1 - 0.65)</f>
        <v>0</v>
      </c>
      <c r="T12" s="26">
        <f>('TE BE'!$V$12+'TE BF'!$V$12+'TE CVA'!$V$12)*(1 - 0.65)</f>
        <v>0</v>
      </c>
      <c r="U12" s="26">
        <f>('TE BE'!$X$12+'TE BF'!$X$12+'TE CVA'!$X$12)*(1 - 0.65)</f>
        <v>0</v>
      </c>
      <c r="V12" s="26">
        <f>('TE BE'!$Z$12+'TE BF'!$Z$12+'TE CVA'!$Z$12)*(1 - 0.65)</f>
        <v>2.1984160945222833</v>
      </c>
      <c r="X12" s="26">
        <v>0</v>
      </c>
      <c r="Y12" s="26">
        <v>0.99394858198497704</v>
      </c>
      <c r="Z12" s="26">
        <v>0</v>
      </c>
      <c r="AA12" s="26">
        <v>0</v>
      </c>
      <c r="AB12" s="26">
        <v>0</v>
      </c>
      <c r="AC12" s="26">
        <v>73.046270033785305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</row>
    <row r="13" spans="1:34" ht="11.25" customHeight="1" x14ac:dyDescent="0.25">
      <c r="A13" s="120"/>
      <c r="B13" s="120"/>
      <c r="C13" s="120"/>
      <c r="D13" s="28" t="s">
        <v>30</v>
      </c>
      <c r="E13" s="28" t="s">
        <v>25</v>
      </c>
      <c r="F13" s="28" t="s">
        <v>25</v>
      </c>
      <c r="G13" s="29" t="s">
        <v>77</v>
      </c>
      <c r="H13" s="29" t="s">
        <v>73</v>
      </c>
      <c r="I13" s="29">
        <f>'MERCADO TE'!$U$10</f>
        <v>50.516000000000005</v>
      </c>
      <c r="J13" s="15"/>
      <c r="L13" s="26">
        <f>('TE BE'!$L$13+'TE BF'!$L$13+'TE CVA'!$L$13)*(1 - 0.4)</f>
        <v>0</v>
      </c>
      <c r="M13" s="26">
        <f>('TE BE'!$M$13+'TE BF'!$M$13+'TE CVA'!$M$13)*(1 - 0.4)</f>
        <v>15.622719610451291</v>
      </c>
      <c r="N13" s="26">
        <f>('TE BE'!$N$13+'TE BF'!$N$13+'TE CVA'!$N$13)*(1 - 0.4)</f>
        <v>0</v>
      </c>
      <c r="O13" s="26">
        <f>('TE BE'!$O$13+'TE BF'!$O$13+'TE CVA'!$O$13)*(1 - 0.4)</f>
        <v>0</v>
      </c>
      <c r="P13" s="26">
        <f>('TE BE'!$P$13+'TE BF'!$P$13+'TE CVA'!$P$13)*(1 - 0.4)</f>
        <v>-8.8801521409658317</v>
      </c>
      <c r="Q13" s="26">
        <f>('TE BE'!$R$13+'TE BF'!$R$13+'TE CVA'!$R$13)*(1 - 0.4)</f>
        <v>107.42997627186045</v>
      </c>
      <c r="R13" s="26">
        <f>('TE BE'!$T$13+'TE BF'!$T$13+'TE CVA'!$T$13)*(1 - 0.4)</f>
        <v>0</v>
      </c>
      <c r="S13" s="26">
        <f>('TE BE'!$U$13+'TE BF'!$U$13+'TE CVA'!$U$13)*(1 - 0.4)</f>
        <v>0</v>
      </c>
      <c r="T13" s="26">
        <f>('TE BE'!$V$13+'TE BF'!$V$13+'TE CVA'!$V$13)*(1 - 0.4)</f>
        <v>0</v>
      </c>
      <c r="U13" s="26">
        <f>('TE BE'!$X$13+'TE BF'!$X$13+'TE CVA'!$X$13)*(1 - 0.4)</f>
        <v>0</v>
      </c>
      <c r="V13" s="26">
        <f>('TE BE'!$Z$13+'TE BF'!$Z$13+'TE CVA'!$Z$13)*(1 - 0.4)</f>
        <v>3.7687133048953427</v>
      </c>
      <c r="X13" s="26">
        <v>0</v>
      </c>
      <c r="Y13" s="26">
        <v>1.7039118548313901</v>
      </c>
      <c r="Z13" s="26">
        <v>0</v>
      </c>
      <c r="AA13" s="26">
        <v>0</v>
      </c>
      <c r="AB13" s="26">
        <v>0</v>
      </c>
      <c r="AC13" s="26">
        <v>125.22217720077499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</row>
    <row r="14" spans="1:34" ht="11.25" customHeight="1" x14ac:dyDescent="0.25">
      <c r="A14" s="120"/>
      <c r="B14" s="120"/>
      <c r="C14" s="120"/>
      <c r="D14" s="28" t="s">
        <v>31</v>
      </c>
      <c r="E14" s="28" t="s">
        <v>25</v>
      </c>
      <c r="F14" s="28" t="s">
        <v>25</v>
      </c>
      <c r="G14" s="29" t="s">
        <v>77</v>
      </c>
      <c r="H14" s="29" t="s">
        <v>73</v>
      </c>
      <c r="I14" s="29">
        <f>'MERCADO TE'!$U$11</f>
        <v>39.111000000000004</v>
      </c>
      <c r="J14" s="15"/>
      <c r="L14" s="26">
        <f>('TE BE'!$L$14+'TE BF'!$L$14+'TE CVA'!$L$14)*(1 - 0.1)</f>
        <v>0</v>
      </c>
      <c r="M14" s="26">
        <f>('TE BE'!$M$14+'TE BF'!$M$14+'TE CVA'!$M$14)*(1 - 0.1)</f>
        <v>23.434079415676941</v>
      </c>
      <c r="N14" s="26">
        <f>('TE BE'!$N$14+'TE BF'!$N$14+'TE CVA'!$N$14)*(1 - 0.1)</f>
        <v>0</v>
      </c>
      <c r="O14" s="26">
        <f>('TE BE'!$O$14+'TE BF'!$O$14+'TE CVA'!$O$14)*(1 - 0.1)</f>
        <v>0</v>
      </c>
      <c r="P14" s="26">
        <f>('TE BE'!$P$14+'TE BF'!$P$14+'TE CVA'!$P$14)*(1 - 0.1)</f>
        <v>-13.320228211448748</v>
      </c>
      <c r="Q14" s="26">
        <f>('TE BE'!$R$14+'TE BF'!$R$14+'TE CVA'!$R$14)*(1 - 0.1)</f>
        <v>161.1449644077907</v>
      </c>
      <c r="R14" s="26">
        <f>('TE BE'!$T$14+'TE BF'!$T$14+'TE CVA'!$T$14)*(1 - 0.1)</f>
        <v>0</v>
      </c>
      <c r="S14" s="26">
        <f>('TE BE'!$U$14+'TE BF'!$U$14+'TE CVA'!$U$14)*(1 - 0.1)</f>
        <v>0</v>
      </c>
      <c r="T14" s="26">
        <f>('TE BE'!$V$14+'TE BF'!$V$14+'TE CVA'!$V$14)*(1 - 0.1)</f>
        <v>0</v>
      </c>
      <c r="U14" s="26">
        <f>('TE BE'!$X$14+'TE BF'!$X$14+'TE CVA'!$X$14)*(1 - 0.1)</f>
        <v>0</v>
      </c>
      <c r="V14" s="26">
        <f>('TE BE'!$Z$14+'TE BF'!$Z$14+'TE CVA'!$Z$14)*(1 - 0.1)</f>
        <v>5.6530699573430141</v>
      </c>
      <c r="X14" s="26">
        <v>0</v>
      </c>
      <c r="Y14" s="26">
        <v>2.5558677822470801</v>
      </c>
      <c r="Z14" s="26">
        <v>0</v>
      </c>
      <c r="AA14" s="26">
        <v>0</v>
      </c>
      <c r="AB14" s="26">
        <v>0</v>
      </c>
      <c r="AC14" s="26">
        <v>187.83326580116201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</row>
    <row r="15" spans="1:34" ht="11.25" customHeight="1" x14ac:dyDescent="0.25">
      <c r="A15" s="120"/>
      <c r="B15" s="120"/>
      <c r="C15" s="120"/>
      <c r="D15" s="28" t="s">
        <v>32</v>
      </c>
      <c r="E15" s="28" t="s">
        <v>25</v>
      </c>
      <c r="F15" s="28" t="s">
        <v>25</v>
      </c>
      <c r="G15" s="29" t="s">
        <v>77</v>
      </c>
      <c r="H15" s="29" t="s">
        <v>73</v>
      </c>
      <c r="I15" s="29">
        <f>'MERCADO TE'!$U$12</f>
        <v>10.074999999999999</v>
      </c>
      <c r="J15" s="15"/>
      <c r="L15" s="26">
        <f>('TE BE'!$L$15+'TE BF'!$L$15+'TE CVA'!$L$15)*1</f>
        <v>0</v>
      </c>
      <c r="M15" s="26">
        <f>('TE BE'!$M$15+'TE BF'!$M$15+'TE CVA'!$M$15)*1</f>
        <v>26.037866017418821</v>
      </c>
      <c r="N15" s="26">
        <f>('TE BE'!$N$15+'TE BF'!$N$15+'TE CVA'!$N$15)*1</f>
        <v>0</v>
      </c>
      <c r="O15" s="26">
        <f>('TE BE'!$O$15+'TE BF'!$O$15+'TE CVA'!$O$15)*1</f>
        <v>0</v>
      </c>
      <c r="P15" s="26">
        <f>('TE BE'!$P$15+'TE BF'!$P$15+'TE CVA'!$P$15)*1</f>
        <v>-14.800253568276387</v>
      </c>
      <c r="Q15" s="26">
        <f>('TE BE'!$R$15+'TE BF'!$R$15+'TE CVA'!$R$15)*1</f>
        <v>179.04996045310077</v>
      </c>
      <c r="R15" s="26">
        <f>('TE BE'!$T$15+'TE BF'!$T$15+'TE CVA'!$T$15)*1</f>
        <v>0</v>
      </c>
      <c r="S15" s="26">
        <f>('TE BE'!$U$15+'TE BF'!$U$15+'TE CVA'!$U$15)*1</f>
        <v>0</v>
      </c>
      <c r="T15" s="26">
        <f>('TE BE'!$V$15+'TE BF'!$V$15+'TE CVA'!$V$15)*1</f>
        <v>0</v>
      </c>
      <c r="U15" s="26">
        <f>('TE BE'!$X$15+'TE BF'!$X$15+'TE CVA'!$X$15)*1</f>
        <v>0</v>
      </c>
      <c r="V15" s="26">
        <f>('TE BE'!$Z$15+'TE BF'!$Z$15+'TE CVA'!$Z$15)*1</f>
        <v>6.2811888414922379</v>
      </c>
      <c r="X15" s="26">
        <v>0</v>
      </c>
      <c r="Y15" s="26">
        <v>2.8398530913856499</v>
      </c>
      <c r="Z15" s="26">
        <v>0</v>
      </c>
      <c r="AA15" s="26">
        <v>0</v>
      </c>
      <c r="AB15" s="26">
        <v>0</v>
      </c>
      <c r="AC15" s="26">
        <v>208.70362866795799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</row>
    <row r="16" spans="1:34" ht="11.25" customHeight="1" x14ac:dyDescent="0.25">
      <c r="A16" s="120"/>
      <c r="B16" s="120" t="s">
        <v>87</v>
      </c>
      <c r="C16" s="120" t="s">
        <v>24</v>
      </c>
      <c r="D16" s="28" t="s">
        <v>24</v>
      </c>
      <c r="E16" s="28" t="s">
        <v>25</v>
      </c>
      <c r="F16" s="28" t="s">
        <v>25</v>
      </c>
      <c r="G16" s="29" t="s">
        <v>77</v>
      </c>
      <c r="H16" s="29" t="s">
        <v>73</v>
      </c>
      <c r="I16" s="29">
        <f>'MERCADO TE'!$U$13</f>
        <v>0</v>
      </c>
      <c r="J16" s="15"/>
      <c r="L16" s="26">
        <f>('TE BE'!$L$16+'TE BF'!$L$16+'TE CVA'!$L$16)*1</f>
        <v>0</v>
      </c>
      <c r="M16" s="26">
        <f>('TE BE'!$M$16+'TE BF'!$M$16+'TE CVA'!$M$16)*1</f>
        <v>26.037866017418821</v>
      </c>
      <c r="N16" s="26">
        <f>('TE BE'!$N$16+'TE BF'!$N$16+'TE CVA'!$N$16)*1</f>
        <v>0</v>
      </c>
      <c r="O16" s="26">
        <f>('TE BE'!$O$16+'TE BF'!$O$16+'TE CVA'!$O$16)*1</f>
        <v>0</v>
      </c>
      <c r="P16" s="26">
        <f>('TE BE'!$P$16+'TE BF'!$P$16+'TE CVA'!$P$16)*1</f>
        <v>-14.800253568276387</v>
      </c>
      <c r="Q16" s="26">
        <f>('TE BE'!$R$16+'TE BF'!$R$16+'TE CVA'!$R$16)*1</f>
        <v>179.04996045310077</v>
      </c>
      <c r="R16" s="26">
        <f>('TE BE'!$T$16+'TE BF'!$T$16+'TE CVA'!$T$16)*1</f>
        <v>0</v>
      </c>
      <c r="S16" s="26">
        <f>('TE BE'!$U$16+'TE BF'!$U$16+'TE CVA'!$U$16)*1</f>
        <v>0</v>
      </c>
      <c r="T16" s="26">
        <f>('TE BE'!$V$16+'TE BF'!$V$16+'TE CVA'!$V$16)*1</f>
        <v>0</v>
      </c>
      <c r="U16" s="26">
        <f>('TE BE'!$X$16+'TE BF'!$X$16+'TE CVA'!$X$16)*1</f>
        <v>0</v>
      </c>
      <c r="V16" s="26">
        <f>('TE BE'!$Z$16+'TE BF'!$Z$16+'TE CVA'!$Z$16)*1</f>
        <v>6.2811888414922379</v>
      </c>
      <c r="X16" s="26">
        <v>0</v>
      </c>
      <c r="Y16" s="26">
        <v>2.8398530913856499</v>
      </c>
      <c r="Z16" s="26">
        <v>0</v>
      </c>
      <c r="AA16" s="26">
        <v>0</v>
      </c>
      <c r="AB16" s="26">
        <v>0</v>
      </c>
      <c r="AC16" s="26">
        <v>208.70362866795799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</row>
    <row r="17" spans="1:34" ht="11.25" customHeight="1" x14ac:dyDescent="0.25">
      <c r="A17" s="120"/>
      <c r="B17" s="120"/>
      <c r="C17" s="120"/>
      <c r="D17" s="28" t="s">
        <v>29</v>
      </c>
      <c r="E17" s="28" t="s">
        <v>25</v>
      </c>
      <c r="F17" s="28" t="s">
        <v>25</v>
      </c>
      <c r="G17" s="29" t="s">
        <v>77</v>
      </c>
      <c r="H17" s="29" t="s">
        <v>73</v>
      </c>
      <c r="I17" s="29">
        <f>'MERCADO TE'!$U$14</f>
        <v>0</v>
      </c>
      <c r="J17" s="15"/>
      <c r="L17" s="26">
        <f>('TE BE'!$L$17+'TE BF'!$L$17+'TE CVA'!$L$17)*(1 - 0.65)</f>
        <v>0</v>
      </c>
      <c r="M17" s="26">
        <f>('TE BE'!$M$17+'TE BF'!$M$17+'TE CVA'!$M$17)*(1 - 0.65)</f>
        <v>9.113253106096586</v>
      </c>
      <c r="N17" s="26">
        <f>('TE BE'!$N$17+'TE BF'!$N$17+'TE CVA'!$N$17)*(1 - 0.65)</f>
        <v>0</v>
      </c>
      <c r="O17" s="26">
        <f>('TE BE'!$O$17+'TE BF'!$O$17+'TE CVA'!$O$17)*(1 - 0.65)</f>
        <v>0</v>
      </c>
      <c r="P17" s="26">
        <f>('TE BE'!$P$17+'TE BF'!$P$17+'TE CVA'!$P$17)*(1 - 0.65)</f>
        <v>-5.1800887488967353</v>
      </c>
      <c r="Q17" s="26">
        <f>('TE BE'!$R$17+'TE BF'!$R$17+'TE CVA'!$R$17)*(1 - 0.65)</f>
        <v>62.667486158585263</v>
      </c>
      <c r="R17" s="26">
        <f>('TE BE'!$T$17+'TE BF'!$T$17+'TE CVA'!$T$17)*(1 - 0.65)</f>
        <v>0</v>
      </c>
      <c r="S17" s="26">
        <f>('TE BE'!$U$17+'TE BF'!$U$17+'TE CVA'!$U$17)*(1 - 0.65)</f>
        <v>0</v>
      </c>
      <c r="T17" s="26">
        <f>('TE BE'!$V$17+'TE BF'!$V$17+'TE CVA'!$V$17)*(1 - 0.65)</f>
        <v>0</v>
      </c>
      <c r="U17" s="26">
        <f>('TE BE'!$X$17+'TE BF'!$X$17+'TE CVA'!$X$17)*(1 - 0.65)</f>
        <v>0</v>
      </c>
      <c r="V17" s="26">
        <f>('TE BE'!$Z$17+'TE BF'!$Z$17+'TE CVA'!$Z$17)*(1 - 0.65)</f>
        <v>2.1984160945222833</v>
      </c>
      <c r="X17" s="26">
        <v>0</v>
      </c>
      <c r="Y17" s="26">
        <v>0.99394858198497704</v>
      </c>
      <c r="Z17" s="26">
        <v>0</v>
      </c>
      <c r="AA17" s="26">
        <v>0</v>
      </c>
      <c r="AB17" s="26">
        <v>0</v>
      </c>
      <c r="AC17" s="26">
        <v>73.046270033785305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</row>
    <row r="18" spans="1:34" ht="11.25" customHeight="1" x14ac:dyDescent="0.25">
      <c r="A18" s="120"/>
      <c r="B18" s="120"/>
      <c r="C18" s="120"/>
      <c r="D18" s="28" t="s">
        <v>30</v>
      </c>
      <c r="E18" s="28" t="s">
        <v>25</v>
      </c>
      <c r="F18" s="28" t="s">
        <v>25</v>
      </c>
      <c r="G18" s="29" t="s">
        <v>77</v>
      </c>
      <c r="H18" s="29" t="s">
        <v>73</v>
      </c>
      <c r="I18" s="29">
        <f>'MERCADO TE'!$U$15</f>
        <v>0</v>
      </c>
      <c r="J18" s="15"/>
      <c r="L18" s="26">
        <f>('TE BE'!$L$18+'TE BF'!$L$18+'TE CVA'!$L$18)*(1 - 0.4)</f>
        <v>0</v>
      </c>
      <c r="M18" s="26">
        <f>('TE BE'!$M$18+'TE BF'!$M$18+'TE CVA'!$M$18)*(1 - 0.4)</f>
        <v>15.622719610451291</v>
      </c>
      <c r="N18" s="26">
        <f>('TE BE'!$N$18+'TE BF'!$N$18+'TE CVA'!$N$18)*(1 - 0.4)</f>
        <v>0</v>
      </c>
      <c r="O18" s="26">
        <f>('TE BE'!$O$18+'TE BF'!$O$18+'TE CVA'!$O$18)*(1 - 0.4)</f>
        <v>0</v>
      </c>
      <c r="P18" s="26">
        <f>('TE BE'!$P$18+'TE BF'!$P$18+'TE CVA'!$P$18)*(1 - 0.4)</f>
        <v>-8.8801521409658317</v>
      </c>
      <c r="Q18" s="26">
        <f>('TE BE'!$R$18+'TE BF'!$R$18+'TE CVA'!$R$18)*(1 - 0.4)</f>
        <v>107.42997627186045</v>
      </c>
      <c r="R18" s="26">
        <f>('TE BE'!$T$18+'TE BF'!$T$18+'TE CVA'!$T$18)*(1 - 0.4)</f>
        <v>0</v>
      </c>
      <c r="S18" s="26">
        <f>('TE BE'!$U$18+'TE BF'!$U$18+'TE CVA'!$U$18)*(1 - 0.4)</f>
        <v>0</v>
      </c>
      <c r="T18" s="26">
        <f>('TE BE'!$V$18+'TE BF'!$V$18+'TE CVA'!$V$18)*(1 - 0.4)</f>
        <v>0</v>
      </c>
      <c r="U18" s="26">
        <f>('TE BE'!$X$18+'TE BF'!$X$18+'TE CVA'!$X$18)*(1 - 0.4)</f>
        <v>0</v>
      </c>
      <c r="V18" s="26">
        <f>('TE BE'!$Z$18+'TE BF'!$Z$18+'TE CVA'!$Z$18)*(1 - 0.4)</f>
        <v>3.7687133048953427</v>
      </c>
      <c r="X18" s="26">
        <v>0</v>
      </c>
      <c r="Y18" s="26">
        <v>1.7039118548313901</v>
      </c>
      <c r="Z18" s="26">
        <v>0</v>
      </c>
      <c r="AA18" s="26">
        <v>0</v>
      </c>
      <c r="AB18" s="26">
        <v>0</v>
      </c>
      <c r="AC18" s="26">
        <v>125.22217720077499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</row>
    <row r="19" spans="1:34" ht="11.25" customHeight="1" x14ac:dyDescent="0.25">
      <c r="A19" s="120"/>
      <c r="B19" s="120"/>
      <c r="C19" s="120"/>
      <c r="D19" s="28" t="s">
        <v>31</v>
      </c>
      <c r="E19" s="28" t="s">
        <v>25</v>
      </c>
      <c r="F19" s="28" t="s">
        <v>25</v>
      </c>
      <c r="G19" s="29" t="s">
        <v>77</v>
      </c>
      <c r="H19" s="29" t="s">
        <v>73</v>
      </c>
      <c r="I19" s="29">
        <f>'MERCADO TE'!$U$16</f>
        <v>0</v>
      </c>
      <c r="J19" s="15"/>
      <c r="L19" s="26">
        <f>('TE BE'!$L$19+'TE BF'!$L$19+'TE CVA'!$L$19)*(1 - 0.1)</f>
        <v>0</v>
      </c>
      <c r="M19" s="26">
        <f>('TE BE'!$M$19+'TE BF'!$M$19+'TE CVA'!$M$19)*(1 - 0.1)</f>
        <v>23.434079415676941</v>
      </c>
      <c r="N19" s="26">
        <f>('TE BE'!$N$19+'TE BF'!$N$19+'TE CVA'!$N$19)*(1 - 0.1)</f>
        <v>0</v>
      </c>
      <c r="O19" s="26">
        <f>('TE BE'!$O$19+'TE BF'!$O$19+'TE CVA'!$O$19)*(1 - 0.1)</f>
        <v>0</v>
      </c>
      <c r="P19" s="26">
        <f>('TE BE'!$P$19+'TE BF'!$P$19+'TE CVA'!$P$19)*(1 - 0.1)</f>
        <v>-13.320228211448748</v>
      </c>
      <c r="Q19" s="26">
        <f>('TE BE'!$R$19+'TE BF'!$R$19+'TE CVA'!$R$19)*(1 - 0.1)</f>
        <v>161.1449644077907</v>
      </c>
      <c r="R19" s="26">
        <f>('TE BE'!$T$19+'TE BF'!$T$19+'TE CVA'!$T$19)*(1 - 0.1)</f>
        <v>0</v>
      </c>
      <c r="S19" s="26">
        <f>('TE BE'!$U$19+'TE BF'!$U$19+'TE CVA'!$U$19)*(1 - 0.1)</f>
        <v>0</v>
      </c>
      <c r="T19" s="26">
        <f>('TE BE'!$V$19+'TE BF'!$V$19+'TE CVA'!$V$19)*(1 - 0.1)</f>
        <v>0</v>
      </c>
      <c r="U19" s="26">
        <f>('TE BE'!$X$19+'TE BF'!$X$19+'TE CVA'!$X$19)*(1 - 0.1)</f>
        <v>0</v>
      </c>
      <c r="V19" s="26">
        <f>('TE BE'!$Z$19+'TE BF'!$Z$19+'TE CVA'!$Z$19)*(1 - 0.1)</f>
        <v>5.6530699573430141</v>
      </c>
      <c r="X19" s="26">
        <v>0</v>
      </c>
      <c r="Y19" s="26">
        <v>2.5558677822470801</v>
      </c>
      <c r="Z19" s="26">
        <v>0</v>
      </c>
      <c r="AA19" s="26">
        <v>0</v>
      </c>
      <c r="AB19" s="26">
        <v>0</v>
      </c>
      <c r="AC19" s="26">
        <v>187.83326580116201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</row>
    <row r="20" spans="1:34" ht="11.25" customHeight="1" x14ac:dyDescent="0.25">
      <c r="A20" s="120"/>
      <c r="B20" s="120"/>
      <c r="C20" s="120"/>
      <c r="D20" s="28" t="s">
        <v>32</v>
      </c>
      <c r="E20" s="28" t="s">
        <v>25</v>
      </c>
      <c r="F20" s="28" t="s">
        <v>25</v>
      </c>
      <c r="G20" s="29" t="s">
        <v>77</v>
      </c>
      <c r="H20" s="29" t="s">
        <v>73</v>
      </c>
      <c r="I20" s="29">
        <f>'MERCADO TE'!$U$17</f>
        <v>0</v>
      </c>
      <c r="J20" s="15"/>
      <c r="L20" s="26">
        <f>('TE BE'!$L$20+'TE BF'!$L$20+'TE CVA'!$L$20)*1</f>
        <v>0</v>
      </c>
      <c r="M20" s="26">
        <f>('TE BE'!$M$20+'TE BF'!$M$20+'TE CVA'!$M$20)*1</f>
        <v>26.037866017418821</v>
      </c>
      <c r="N20" s="26">
        <f>('TE BE'!$N$20+'TE BF'!$N$20+'TE CVA'!$N$20)*1</f>
        <v>0</v>
      </c>
      <c r="O20" s="26">
        <f>('TE BE'!$O$20+'TE BF'!$O$20+'TE CVA'!$O$20)*1</f>
        <v>0</v>
      </c>
      <c r="P20" s="26">
        <f>('TE BE'!$P$20+'TE BF'!$P$20+'TE CVA'!$P$20)*1</f>
        <v>-14.800253568276387</v>
      </c>
      <c r="Q20" s="26">
        <f>('TE BE'!$R$20+'TE BF'!$R$20+'TE CVA'!$R$20)*1</f>
        <v>179.04996045310077</v>
      </c>
      <c r="R20" s="26">
        <f>('TE BE'!$T$20+'TE BF'!$T$20+'TE CVA'!$T$20)*1</f>
        <v>0</v>
      </c>
      <c r="S20" s="26">
        <f>('TE BE'!$U$20+'TE BF'!$U$20+'TE CVA'!$U$20)*1</f>
        <v>0</v>
      </c>
      <c r="T20" s="26">
        <f>('TE BE'!$V$20+'TE BF'!$V$20+'TE CVA'!$V$20)*1</f>
        <v>0</v>
      </c>
      <c r="U20" s="26">
        <f>('TE BE'!$X$20+'TE BF'!$X$20+'TE CVA'!$X$20)*1</f>
        <v>0</v>
      </c>
      <c r="V20" s="26">
        <f>('TE BE'!$Z$20+'TE BF'!$Z$20+'TE CVA'!$Z$20)*1</f>
        <v>6.2811888414922379</v>
      </c>
      <c r="X20" s="26">
        <v>0</v>
      </c>
      <c r="Y20" s="26">
        <v>2.8398530913856499</v>
      </c>
      <c r="Z20" s="26">
        <v>0</v>
      </c>
      <c r="AA20" s="26">
        <v>0</v>
      </c>
      <c r="AB20" s="26">
        <v>0</v>
      </c>
      <c r="AC20" s="26">
        <v>208.70362866795799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</row>
    <row r="21" spans="1:34" ht="11.25" customHeight="1" x14ac:dyDescent="0.25">
      <c r="A21" s="120" t="s">
        <v>41</v>
      </c>
      <c r="B21" s="120" t="s">
        <v>72</v>
      </c>
      <c r="C21" s="120" t="s">
        <v>42</v>
      </c>
      <c r="D21" s="120" t="s">
        <v>25</v>
      </c>
      <c r="E21" s="120" t="s">
        <v>25</v>
      </c>
      <c r="F21" s="120" t="s">
        <v>25</v>
      </c>
      <c r="G21" s="29" t="s">
        <v>74</v>
      </c>
      <c r="H21" s="29" t="s">
        <v>73</v>
      </c>
      <c r="I21" s="29">
        <f>'MERCADO TE'!$U$18</f>
        <v>0</v>
      </c>
      <c r="J21" s="15"/>
      <c r="L21" s="26">
        <f>('TE BE'!$L$21+'TE BF'!$L$21+'TE CVA'!$L$21)*(1 - CUSTOS!$M$38)</f>
        <v>0</v>
      </c>
      <c r="M21" s="26">
        <f>('TE BE'!$M$21+'TE BF'!$M$21+'TE CVA'!$M$21)*(1 - CUSTOS!$M$38)</f>
        <v>24.475594056373691</v>
      </c>
      <c r="N21" s="26">
        <f>('TE BE'!$N$21+'TE BF'!$N$21+'TE CVA'!$N$21)*(1 - CUSTOS!$M$38)</f>
        <v>0</v>
      </c>
      <c r="O21" s="26">
        <f>('TE BE'!$O$21+'TE BF'!$O$21+'TE CVA'!$O$21)*(1 - CUSTOS!$M$38)</f>
        <v>0</v>
      </c>
      <c r="P21" s="26">
        <f>('TE BE'!$P$21+'TE BF'!$P$21+'TE CVA'!$P$21)*(1 - CUSTOS!$M$38)</f>
        <v>-13.912238354179804</v>
      </c>
      <c r="Q21" s="26">
        <f>('TE BE'!$R$21+'TE BF'!$R$21+'TE CVA'!$R$21)*(1 - CUSTOS!$M$38)</f>
        <v>168.30696282591472</v>
      </c>
      <c r="R21" s="26">
        <f>('TE BE'!$T$21+'TE BF'!$T$21+'TE CVA'!$T$21)*(1 - CUSTOS!$M$38)</f>
        <v>0</v>
      </c>
      <c r="S21" s="26">
        <f>('TE BE'!$U$21+'TE BF'!$U$21+'TE CVA'!$U$21)*(1 - CUSTOS!$M$38)</f>
        <v>0</v>
      </c>
      <c r="T21" s="26">
        <f>('TE BE'!$V$21+'TE BF'!$V$21+'TE CVA'!$V$21)*(1 - CUSTOS!$M$38)</f>
        <v>0</v>
      </c>
      <c r="U21" s="26">
        <f>('TE BE'!$X$21+'TE BF'!$X$21+'TE CVA'!$X$21)*(1 - CUSTOS!$M$38)</f>
        <v>0</v>
      </c>
      <c r="V21" s="26">
        <f>('TE BE'!$Z$21+'TE BF'!$Z$21+'TE CVA'!$Z$21)*(1 - CUSTOS!$M$38)</f>
        <v>5.9043175110027031</v>
      </c>
      <c r="X21" s="26">
        <v>0</v>
      </c>
      <c r="Y21" s="26">
        <v>2.4990707204193701</v>
      </c>
      <c r="Z21" s="26">
        <v>0</v>
      </c>
      <c r="AA21" s="26">
        <v>0</v>
      </c>
      <c r="AB21" s="26">
        <v>0</v>
      </c>
      <c r="AC21" s="26">
        <v>183.659193227803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</row>
    <row r="22" spans="1:34" ht="11.25" customHeight="1" x14ac:dyDescent="0.25">
      <c r="A22" s="120"/>
      <c r="B22" s="120"/>
      <c r="C22" s="120"/>
      <c r="D22" s="120"/>
      <c r="E22" s="120"/>
      <c r="F22" s="120"/>
      <c r="G22" s="29" t="s">
        <v>85</v>
      </c>
      <c r="H22" s="29" t="s">
        <v>73</v>
      </c>
      <c r="I22" s="29">
        <f>'MERCADO TE'!$U$19</f>
        <v>0</v>
      </c>
      <c r="J22" s="15"/>
      <c r="L22" s="26">
        <f>('TE BE'!$L$22+'TE BF'!$L$22+'TE CVA'!$L$22)*(1 - CUSTOS!$M$38)</f>
        <v>0</v>
      </c>
      <c r="M22" s="26">
        <f>('TE BE'!$M$22+'TE BF'!$M$22+'TE CVA'!$M$22)*(1 - CUSTOS!$M$38)</f>
        <v>24.475594056373691</v>
      </c>
      <c r="N22" s="26">
        <f>('TE BE'!$N$22+'TE BF'!$N$22+'TE CVA'!$N$22)*(1 - CUSTOS!$M$38)</f>
        <v>0</v>
      </c>
      <c r="O22" s="26">
        <f>('TE BE'!$O$22+'TE BF'!$O$22+'TE CVA'!$O$22)*(1 - CUSTOS!$M$38)</f>
        <v>0</v>
      </c>
      <c r="P22" s="26">
        <f>('TE BE'!$P$22+'TE BF'!$P$22+'TE CVA'!$P$22)*(1 - CUSTOS!$M$38)</f>
        <v>-13.912238354179804</v>
      </c>
      <c r="Q22" s="26">
        <f>('TE BE'!$R$22+'TE BF'!$R$22+'TE CVA'!$R$22)*(1 - CUSTOS!$M$38)</f>
        <v>168.30696282591472</v>
      </c>
      <c r="R22" s="26">
        <f>('TE BE'!$T$22+'TE BF'!$T$22+'TE CVA'!$T$22)*(1 - CUSTOS!$M$38)</f>
        <v>0</v>
      </c>
      <c r="S22" s="26">
        <f>('TE BE'!$U$22+'TE BF'!$U$22+'TE CVA'!$U$22)*(1 - CUSTOS!$M$38)</f>
        <v>0</v>
      </c>
      <c r="T22" s="26">
        <f>('TE BE'!$V$22+'TE BF'!$V$22+'TE CVA'!$V$22)*(1 - CUSTOS!$M$38)</f>
        <v>0</v>
      </c>
      <c r="U22" s="26">
        <f>('TE BE'!$X$22+'TE BF'!$X$22+'TE CVA'!$X$22)*(1 - CUSTOS!$M$38)</f>
        <v>0</v>
      </c>
      <c r="V22" s="26">
        <f>('TE BE'!$Z$22+'TE BF'!$Z$22+'TE CVA'!$Z$22)*(1 - CUSTOS!$M$38)</f>
        <v>5.9043175110027031</v>
      </c>
      <c r="X22" s="26">
        <v>0</v>
      </c>
      <c r="Y22" s="26">
        <v>2.4990707204193701</v>
      </c>
      <c r="Z22" s="26">
        <v>0</v>
      </c>
      <c r="AA22" s="26">
        <v>0</v>
      </c>
      <c r="AB22" s="26">
        <v>0</v>
      </c>
      <c r="AC22" s="26">
        <v>183.659193227803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</row>
    <row r="23" spans="1:34" ht="11.25" customHeight="1" x14ac:dyDescent="0.25">
      <c r="A23" s="120"/>
      <c r="B23" s="120"/>
      <c r="C23" s="120"/>
      <c r="D23" s="120"/>
      <c r="E23" s="120"/>
      <c r="F23" s="120"/>
      <c r="G23" s="29" t="s">
        <v>75</v>
      </c>
      <c r="H23" s="29" t="s">
        <v>73</v>
      </c>
      <c r="I23" s="29">
        <f>'MERCADO TE'!$U$20</f>
        <v>0</v>
      </c>
      <c r="J23" s="15"/>
      <c r="L23" s="26">
        <f>('TE BE'!$L$23+'TE BF'!$L$23+'TE CVA'!$L$23)*(1 - CUSTOS!$M$38)</f>
        <v>0</v>
      </c>
      <c r="M23" s="26">
        <f>('TE BE'!$M$23+'TE BF'!$M$23+'TE CVA'!$M$23)*(1 - CUSTOS!$M$38)</f>
        <v>24.475594056373691</v>
      </c>
      <c r="N23" s="26">
        <f>('TE BE'!$N$23+'TE BF'!$N$23+'TE CVA'!$N$23)*(1 - CUSTOS!$M$38)</f>
        <v>0</v>
      </c>
      <c r="O23" s="26">
        <f>('TE BE'!$O$23+'TE BF'!$O$23+'TE CVA'!$O$23)*(1 - CUSTOS!$M$38)</f>
        <v>0</v>
      </c>
      <c r="P23" s="26">
        <f>('TE BE'!$P$23+'TE BF'!$P$23+'TE CVA'!$P$23)*(1 - CUSTOS!$M$38)</f>
        <v>-13.912238354179804</v>
      </c>
      <c r="Q23" s="26">
        <f>('TE BE'!$R$23+'TE BF'!$R$23+'TE CVA'!$R$23)*(1 - CUSTOS!$M$38)</f>
        <v>168.30696282591472</v>
      </c>
      <c r="R23" s="26">
        <f>('TE BE'!$T$23+'TE BF'!$T$23+'TE CVA'!$T$23)*(1 - CUSTOS!$M$38)</f>
        <v>0</v>
      </c>
      <c r="S23" s="26">
        <f>('TE BE'!$U$23+'TE BF'!$U$23+'TE CVA'!$U$23)*(1 - CUSTOS!$M$38)</f>
        <v>0</v>
      </c>
      <c r="T23" s="26">
        <f>('TE BE'!$V$23+'TE BF'!$V$23+'TE CVA'!$V$23)*(1 - CUSTOS!$M$38)</f>
        <v>0</v>
      </c>
      <c r="U23" s="26">
        <f>('TE BE'!$X$23+'TE BF'!$X$23+'TE CVA'!$X$23)*(1 - CUSTOS!$M$38)</f>
        <v>0</v>
      </c>
      <c r="V23" s="26">
        <f>('TE BE'!$Z$23+'TE BF'!$Z$23+'TE CVA'!$Z$23)*(1 - CUSTOS!$M$38)</f>
        <v>5.9043175110027031</v>
      </c>
      <c r="X23" s="26">
        <v>0</v>
      </c>
      <c r="Y23" s="26">
        <v>2.4990707204193701</v>
      </c>
      <c r="Z23" s="26">
        <v>0</v>
      </c>
      <c r="AA23" s="26">
        <v>0</v>
      </c>
      <c r="AB23" s="26">
        <v>0</v>
      </c>
      <c r="AC23" s="26">
        <v>183.659193227803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</row>
    <row r="24" spans="1:34" ht="11.25" customHeight="1" x14ac:dyDescent="0.25">
      <c r="A24" s="120"/>
      <c r="B24" s="28" t="s">
        <v>76</v>
      </c>
      <c r="C24" s="28" t="s">
        <v>42</v>
      </c>
      <c r="D24" s="28" t="s">
        <v>25</v>
      </c>
      <c r="E24" s="28" t="s">
        <v>25</v>
      </c>
      <c r="F24" s="28" t="s">
        <v>25</v>
      </c>
      <c r="G24" s="29" t="s">
        <v>77</v>
      </c>
      <c r="H24" s="29" t="s">
        <v>73</v>
      </c>
      <c r="I24" s="29">
        <f>'MERCADO TE'!$U$21</f>
        <v>21333.253999999997</v>
      </c>
      <c r="J24" s="15"/>
      <c r="L24" s="26">
        <f>('TE BE'!$L$24+'TE BF'!$L$24+'TE CVA'!$L$24)*(1 - CUSTOS!$M$38)</f>
        <v>0</v>
      </c>
      <c r="M24" s="26">
        <f>('TE BE'!$M$24+'TE BF'!$M$24+'TE CVA'!$M$24)*(1 - CUSTOS!$M$38)</f>
        <v>24.475594056373691</v>
      </c>
      <c r="N24" s="26">
        <f>('TE BE'!$N$24+'TE BF'!$N$24+'TE CVA'!$N$24)*(1 - CUSTOS!$M$38)</f>
        <v>0</v>
      </c>
      <c r="O24" s="26">
        <f>('TE BE'!$O$24+'TE BF'!$O$24+'TE CVA'!$O$24)*(1 - CUSTOS!$M$38)</f>
        <v>0</v>
      </c>
      <c r="P24" s="26">
        <f>('TE BE'!$P$24+'TE BF'!$P$24+'TE CVA'!$P$24)*(1 - CUSTOS!$M$38)</f>
        <v>-13.912238354179804</v>
      </c>
      <c r="Q24" s="26">
        <f>('TE BE'!$R$24+'TE BF'!$R$24+'TE CVA'!$R$24)*(1 - CUSTOS!$M$38)</f>
        <v>168.30696282591472</v>
      </c>
      <c r="R24" s="26">
        <f>('TE BE'!$T$24+'TE BF'!$T$24+'TE CVA'!$T$24)*(1 - CUSTOS!$M$38)</f>
        <v>0</v>
      </c>
      <c r="S24" s="26">
        <f>('TE BE'!$U$24+'TE BF'!$U$24+'TE CVA'!$U$24)*(1 - CUSTOS!$M$38)</f>
        <v>0</v>
      </c>
      <c r="T24" s="26">
        <f>('TE BE'!$V$24+'TE BF'!$V$24+'TE CVA'!$V$24)*(1 - CUSTOS!$M$38)</f>
        <v>0</v>
      </c>
      <c r="U24" s="26">
        <f>('TE BE'!$X$24+'TE BF'!$X$24+'TE CVA'!$X$24)*(1 - CUSTOS!$M$38)</f>
        <v>0</v>
      </c>
      <c r="V24" s="26">
        <f>('TE BE'!$Z$24+'TE BF'!$Z$24+'TE CVA'!$Z$24)*(1 - CUSTOS!$M$38)</f>
        <v>5.9043175110027031</v>
      </c>
      <c r="X24" s="26">
        <v>0</v>
      </c>
      <c r="Y24" s="26">
        <v>2.4990707204193701</v>
      </c>
      <c r="Z24" s="26">
        <v>0</v>
      </c>
      <c r="AA24" s="26">
        <v>0</v>
      </c>
      <c r="AB24" s="26">
        <v>0</v>
      </c>
      <c r="AC24" s="26">
        <v>183.659193227803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</row>
    <row r="25" spans="1:34" ht="11.25" customHeight="1" x14ac:dyDescent="0.25">
      <c r="A25" s="120"/>
      <c r="B25" s="120" t="s">
        <v>72</v>
      </c>
      <c r="C25" s="120" t="s">
        <v>42</v>
      </c>
      <c r="D25" s="120" t="s">
        <v>89</v>
      </c>
      <c r="E25" s="120" t="s">
        <v>25</v>
      </c>
      <c r="F25" s="120" t="s">
        <v>25</v>
      </c>
      <c r="G25" s="29" t="s">
        <v>74</v>
      </c>
      <c r="H25" s="29" t="s">
        <v>73</v>
      </c>
      <c r="I25" s="29">
        <f>'MERCADO TE'!$U$22</f>
        <v>0</v>
      </c>
      <c r="J25" s="15"/>
      <c r="L25" s="26">
        <f>('TE BE'!$L$25+'TE BF'!$L$25+'TE CVA'!$L$25)*(1 - CUSTOS!$M$39)</f>
        <v>0</v>
      </c>
      <c r="M25" s="26">
        <f>('TE BE'!$M$25+'TE BF'!$M$25+'TE CVA'!$M$25)*(1 - CUSTOS!$M$39)</f>
        <v>24.475594056373691</v>
      </c>
      <c r="N25" s="26">
        <f>('TE BE'!$N$25+'TE BF'!$N$25+'TE CVA'!$N$25)*(1 - CUSTOS!$M$39)</f>
        <v>0</v>
      </c>
      <c r="O25" s="26">
        <f>('TE BE'!$O$25+'TE BF'!$O$25+'TE CVA'!$O$25)*(1 - CUSTOS!$M$39)</f>
        <v>0</v>
      </c>
      <c r="P25" s="26">
        <f>('TE BE'!$P$25+'TE BF'!$P$25+'TE CVA'!$P$25)*(1 - CUSTOS!$M$39)</f>
        <v>-13.912238354179804</v>
      </c>
      <c r="Q25" s="26">
        <f>('TE BE'!$R$25+'TE BF'!$R$25+'TE CVA'!$R$25)*(1 - CUSTOS!$M$39)</f>
        <v>168.30696282591472</v>
      </c>
      <c r="R25" s="26">
        <f>('TE BE'!$T$25+'TE BF'!$T$25+'TE CVA'!$T$25)*(1 - CUSTOS!$M$39)</f>
        <v>0</v>
      </c>
      <c r="S25" s="26">
        <f>('TE BE'!$U$25+'TE BF'!$U$25+'TE CVA'!$U$25)*(1 - CUSTOS!$M$39)</f>
        <v>0</v>
      </c>
      <c r="T25" s="26">
        <f>('TE BE'!$V$25+'TE BF'!$V$25+'TE CVA'!$V$25)*(1 - CUSTOS!$M$39)</f>
        <v>0</v>
      </c>
      <c r="U25" s="26">
        <f>('TE BE'!$X$25+'TE BF'!$X$25+'TE CVA'!$X$25)*(1 - CUSTOS!$M$39)</f>
        <v>0</v>
      </c>
      <c r="V25" s="26">
        <f>('TE BE'!$Z$25+'TE BF'!$Z$25+'TE CVA'!$Z$25)*(1 - CUSTOS!$M$39)</f>
        <v>5.9043175110027031</v>
      </c>
      <c r="X25" s="26">
        <v>0</v>
      </c>
      <c r="Y25" s="26">
        <v>2.4990707204193701</v>
      </c>
      <c r="Z25" s="26">
        <v>0</v>
      </c>
      <c r="AA25" s="26">
        <v>0</v>
      </c>
      <c r="AB25" s="26">
        <v>0</v>
      </c>
      <c r="AC25" s="26">
        <v>183.659193227803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</row>
    <row r="26" spans="1:34" ht="11.25" customHeight="1" x14ac:dyDescent="0.25">
      <c r="A26" s="120"/>
      <c r="B26" s="120"/>
      <c r="C26" s="120"/>
      <c r="D26" s="120"/>
      <c r="E26" s="120"/>
      <c r="F26" s="120"/>
      <c r="G26" s="29" t="s">
        <v>85</v>
      </c>
      <c r="H26" s="29" t="s">
        <v>73</v>
      </c>
      <c r="I26" s="29">
        <f>'MERCADO TE'!$U$23</f>
        <v>0</v>
      </c>
      <c r="J26" s="15"/>
      <c r="L26" s="26">
        <f>('TE BE'!$L$26+'TE BF'!$L$26+'TE CVA'!$L$26)*(1 - CUSTOS!$M$39)</f>
        <v>0</v>
      </c>
      <c r="M26" s="26">
        <f>('TE BE'!$M$26+'TE BF'!$M$26+'TE CVA'!$M$26)*(1 - CUSTOS!$M$39)</f>
        <v>24.475594056373691</v>
      </c>
      <c r="N26" s="26">
        <f>('TE BE'!$N$26+'TE BF'!$N$26+'TE CVA'!$N$26)*(1 - CUSTOS!$M$39)</f>
        <v>0</v>
      </c>
      <c r="O26" s="26">
        <f>('TE BE'!$O$26+'TE BF'!$O$26+'TE CVA'!$O$26)*(1 - CUSTOS!$M$39)</f>
        <v>0</v>
      </c>
      <c r="P26" s="26">
        <f>('TE BE'!$P$26+'TE BF'!$P$26+'TE CVA'!$P$26)*(1 - CUSTOS!$M$39)</f>
        <v>-13.912238354179804</v>
      </c>
      <c r="Q26" s="26">
        <f>('TE BE'!$R$26+'TE BF'!$R$26+'TE CVA'!$R$26)*(1 - CUSTOS!$M$39)</f>
        <v>168.30696282591472</v>
      </c>
      <c r="R26" s="26">
        <f>('TE BE'!$T$26+'TE BF'!$T$26+'TE CVA'!$T$26)*(1 - CUSTOS!$M$39)</f>
        <v>0</v>
      </c>
      <c r="S26" s="26">
        <f>('TE BE'!$U$26+'TE BF'!$U$26+'TE CVA'!$U$26)*(1 - CUSTOS!$M$39)</f>
        <v>0</v>
      </c>
      <c r="T26" s="26">
        <f>('TE BE'!$V$26+'TE BF'!$V$26+'TE CVA'!$V$26)*(1 - CUSTOS!$M$39)</f>
        <v>0</v>
      </c>
      <c r="U26" s="26">
        <f>('TE BE'!$X$26+'TE BF'!$X$26+'TE CVA'!$X$26)*(1 - CUSTOS!$M$39)</f>
        <v>0</v>
      </c>
      <c r="V26" s="26">
        <f>('TE BE'!$Z$26+'TE BF'!$Z$26+'TE CVA'!$Z$26)*(1 - CUSTOS!$M$39)</f>
        <v>5.9043175110027031</v>
      </c>
      <c r="X26" s="26">
        <v>0</v>
      </c>
      <c r="Y26" s="26">
        <v>2.4990707204193701</v>
      </c>
      <c r="Z26" s="26">
        <v>0</v>
      </c>
      <c r="AA26" s="26">
        <v>0</v>
      </c>
      <c r="AB26" s="26">
        <v>0</v>
      </c>
      <c r="AC26" s="26">
        <v>183.659193227803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</row>
    <row r="27" spans="1:34" ht="11.25" customHeight="1" x14ac:dyDescent="0.25">
      <c r="A27" s="120"/>
      <c r="B27" s="120"/>
      <c r="C27" s="120"/>
      <c r="D27" s="120"/>
      <c r="E27" s="120"/>
      <c r="F27" s="120"/>
      <c r="G27" s="29" t="s">
        <v>75</v>
      </c>
      <c r="H27" s="29" t="s">
        <v>73</v>
      </c>
      <c r="I27" s="29">
        <f>'MERCADO TE'!$U$24</f>
        <v>0</v>
      </c>
      <c r="J27" s="15"/>
      <c r="L27" s="26">
        <f>('TE BE'!$L$27+'TE BF'!$L$27+'TE CVA'!$L$27)*(1 - CUSTOS!$M$39)</f>
        <v>0</v>
      </c>
      <c r="M27" s="26">
        <f>('TE BE'!$M$27+'TE BF'!$M$27+'TE CVA'!$M$27)*(1 - CUSTOS!$M$39)</f>
        <v>24.475594056373691</v>
      </c>
      <c r="N27" s="26">
        <f>('TE BE'!$N$27+'TE BF'!$N$27+'TE CVA'!$N$27)*(1 - CUSTOS!$M$39)</f>
        <v>0</v>
      </c>
      <c r="O27" s="26">
        <f>('TE BE'!$O$27+'TE BF'!$O$27+'TE CVA'!$O$27)*(1 - CUSTOS!$M$39)</f>
        <v>0</v>
      </c>
      <c r="P27" s="26">
        <f>('TE BE'!$P$27+'TE BF'!$P$27+'TE CVA'!$P$27)*(1 - CUSTOS!$M$39)</f>
        <v>-13.912238354179804</v>
      </c>
      <c r="Q27" s="26">
        <f>('TE BE'!$R$27+'TE BF'!$R$27+'TE CVA'!$R$27)*(1 - CUSTOS!$M$39)</f>
        <v>168.30696282591472</v>
      </c>
      <c r="R27" s="26">
        <f>('TE BE'!$T$27+'TE BF'!$T$27+'TE CVA'!$T$27)*(1 - CUSTOS!$M$39)</f>
        <v>0</v>
      </c>
      <c r="S27" s="26">
        <f>('TE BE'!$U$27+'TE BF'!$U$27+'TE CVA'!$U$27)*(1 - CUSTOS!$M$39)</f>
        <v>0</v>
      </c>
      <c r="T27" s="26">
        <f>('TE BE'!$V$27+'TE BF'!$V$27+'TE CVA'!$V$27)*(1 - CUSTOS!$M$39)</f>
        <v>0</v>
      </c>
      <c r="U27" s="26">
        <f>('TE BE'!$X$27+'TE BF'!$X$27+'TE CVA'!$X$27)*(1 - CUSTOS!$M$39)</f>
        <v>0</v>
      </c>
      <c r="V27" s="26">
        <f>('TE BE'!$Z$27+'TE BF'!$Z$27+'TE CVA'!$Z$27)*(1 - CUSTOS!$M$39)</f>
        <v>5.9043175110027031</v>
      </c>
      <c r="X27" s="26">
        <v>0</v>
      </c>
      <c r="Y27" s="26">
        <v>2.4990707204193701</v>
      </c>
      <c r="Z27" s="26">
        <v>0</v>
      </c>
      <c r="AA27" s="26">
        <v>0</v>
      </c>
      <c r="AB27" s="26">
        <v>0</v>
      </c>
      <c r="AC27" s="26">
        <v>183.659193227803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</row>
    <row r="28" spans="1:34" ht="11.25" customHeight="1" x14ac:dyDescent="0.25">
      <c r="A28" s="120"/>
      <c r="B28" s="28" t="s">
        <v>76</v>
      </c>
      <c r="C28" s="28" t="s">
        <v>42</v>
      </c>
      <c r="D28" s="28" t="s">
        <v>89</v>
      </c>
      <c r="E28" s="28" t="s">
        <v>25</v>
      </c>
      <c r="F28" s="28" t="s">
        <v>25</v>
      </c>
      <c r="G28" s="29" t="s">
        <v>77</v>
      </c>
      <c r="H28" s="29" t="s">
        <v>73</v>
      </c>
      <c r="I28" s="29">
        <f>'MERCADO TE'!$U$25</f>
        <v>0</v>
      </c>
      <c r="J28" s="15"/>
      <c r="L28" s="26">
        <f>('TE BE'!$L$28+'TE BF'!$L$28+'TE CVA'!$L$28)*(1 - CUSTOS!$M$39)</f>
        <v>0</v>
      </c>
      <c r="M28" s="26">
        <f>('TE BE'!$M$28+'TE BF'!$M$28+'TE CVA'!$M$28)*(1 - CUSTOS!$M$39)</f>
        <v>24.475594056373691</v>
      </c>
      <c r="N28" s="26">
        <f>('TE BE'!$N$28+'TE BF'!$N$28+'TE CVA'!$N$28)*(1 - CUSTOS!$M$39)</f>
        <v>0</v>
      </c>
      <c r="O28" s="26">
        <f>('TE BE'!$O$28+'TE BF'!$O$28+'TE CVA'!$O$28)*(1 - CUSTOS!$M$39)</f>
        <v>0</v>
      </c>
      <c r="P28" s="26">
        <f>('TE BE'!$P$28+'TE BF'!$P$28+'TE CVA'!$P$28)*(1 - CUSTOS!$M$39)</f>
        <v>-13.912238354179804</v>
      </c>
      <c r="Q28" s="26">
        <f>('TE BE'!$R$28+'TE BF'!$R$28+'TE CVA'!$R$28)*(1 - CUSTOS!$M$39)</f>
        <v>168.30696282591472</v>
      </c>
      <c r="R28" s="26">
        <f>('TE BE'!$T$28+'TE BF'!$T$28+'TE CVA'!$T$28)*(1 - CUSTOS!$M$39)</f>
        <v>0</v>
      </c>
      <c r="S28" s="26">
        <f>('TE BE'!$U$28+'TE BF'!$U$28+'TE CVA'!$U$28)*(1 - CUSTOS!$M$39)</f>
        <v>0</v>
      </c>
      <c r="T28" s="26">
        <f>('TE BE'!$V$28+'TE BF'!$V$28+'TE CVA'!$V$28)*(1 - CUSTOS!$M$39)</f>
        <v>0</v>
      </c>
      <c r="U28" s="26">
        <f>('TE BE'!$X$28+'TE BF'!$X$28+'TE CVA'!$X$28)*(1 - CUSTOS!$M$39)</f>
        <v>0</v>
      </c>
      <c r="V28" s="26">
        <f>('TE BE'!$Z$28+'TE BF'!$Z$28+'TE CVA'!$Z$28)*(1 - CUSTOS!$M$39)</f>
        <v>5.9043175110027031</v>
      </c>
      <c r="X28" s="26">
        <v>0</v>
      </c>
      <c r="Y28" s="26">
        <v>2.4990707204193701</v>
      </c>
      <c r="Z28" s="26">
        <v>0</v>
      </c>
      <c r="AA28" s="26">
        <v>0</v>
      </c>
      <c r="AB28" s="26">
        <v>0</v>
      </c>
      <c r="AC28" s="26">
        <v>183.659193227803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</row>
    <row r="29" spans="1:34" ht="11.25" customHeight="1" x14ac:dyDescent="0.25">
      <c r="A29" s="120"/>
      <c r="B29" s="120" t="s">
        <v>72</v>
      </c>
      <c r="C29" s="120" t="s">
        <v>42</v>
      </c>
      <c r="D29" s="120" t="s">
        <v>90</v>
      </c>
      <c r="E29" s="120" t="s">
        <v>25</v>
      </c>
      <c r="F29" s="120" t="s">
        <v>25</v>
      </c>
      <c r="G29" s="29" t="s">
        <v>74</v>
      </c>
      <c r="H29" s="29" t="s">
        <v>73</v>
      </c>
      <c r="I29" s="29">
        <f>'MERCADO TE'!$U$26</f>
        <v>0</v>
      </c>
      <c r="J29" s="15"/>
      <c r="L29" s="26">
        <f>('TE BE'!$L$29+'TE BF'!$L$29+'TE CVA'!$L$29)*(1 - CUSTOS!$M$40)</f>
        <v>0</v>
      </c>
      <c r="M29" s="26">
        <f>('TE BE'!$M$29+'TE BF'!$M$29+'TE CVA'!$M$29)*(1 - CUSTOS!$M$40)</f>
        <v>23.954836736025317</v>
      </c>
      <c r="N29" s="26">
        <f>('TE BE'!$N$29+'TE BF'!$N$29+'TE CVA'!$N$29)*(1 - CUSTOS!$M$40)</f>
        <v>0</v>
      </c>
      <c r="O29" s="26">
        <f>('TE BE'!$O$29+'TE BF'!$O$29+'TE CVA'!$O$29)*(1 - CUSTOS!$M$40)</f>
        <v>0</v>
      </c>
      <c r="P29" s="26">
        <f>('TE BE'!$P$29+'TE BF'!$P$29+'TE CVA'!$P$29)*(1 - CUSTOS!$M$40)</f>
        <v>-13.616233282814276</v>
      </c>
      <c r="Q29" s="26">
        <f>('TE BE'!$R$29+'TE BF'!$R$29+'TE CVA'!$R$29)*(1 - CUSTOS!$M$40)</f>
        <v>164.72596361685271</v>
      </c>
      <c r="R29" s="26">
        <f>('TE BE'!$T$29+'TE BF'!$T$29+'TE CVA'!$T$29)*(1 - CUSTOS!$M$40)</f>
        <v>0</v>
      </c>
      <c r="S29" s="26">
        <f>('TE BE'!$U$29+'TE BF'!$U$29+'TE CVA'!$U$29)*(1 - CUSTOS!$M$40)</f>
        <v>0</v>
      </c>
      <c r="T29" s="26">
        <f>('TE BE'!$V$29+'TE BF'!$V$29+'TE CVA'!$V$29)*(1 - CUSTOS!$M$40)</f>
        <v>0</v>
      </c>
      <c r="U29" s="26">
        <f>('TE BE'!$X$29+'TE BF'!$X$29+'TE CVA'!$X$29)*(1 - CUSTOS!$M$40)</f>
        <v>0</v>
      </c>
      <c r="V29" s="26">
        <f>('TE BE'!$Z$29+'TE BF'!$Z$29+'TE CVA'!$Z$29)*(1 - CUSTOS!$M$40)</f>
        <v>5.778693734172859</v>
      </c>
      <c r="X29" s="26">
        <v>0</v>
      </c>
      <c r="Y29" s="26">
        <v>2.38547659676395</v>
      </c>
      <c r="Z29" s="26">
        <v>0</v>
      </c>
      <c r="AA29" s="26">
        <v>0</v>
      </c>
      <c r="AB29" s="26">
        <v>0</v>
      </c>
      <c r="AC29" s="26">
        <v>175.311048081085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</row>
    <row r="30" spans="1:34" ht="11.25" customHeight="1" x14ac:dyDescent="0.25">
      <c r="A30" s="120"/>
      <c r="B30" s="120"/>
      <c r="C30" s="120"/>
      <c r="D30" s="120"/>
      <c r="E30" s="120"/>
      <c r="F30" s="120"/>
      <c r="G30" s="29" t="s">
        <v>85</v>
      </c>
      <c r="H30" s="29" t="s">
        <v>73</v>
      </c>
      <c r="I30" s="29">
        <f>'MERCADO TE'!$U$27</f>
        <v>0</v>
      </c>
      <c r="J30" s="15"/>
      <c r="L30" s="26">
        <f>('TE BE'!$L$30+'TE BF'!$L$30+'TE CVA'!$L$30)*(1 - CUSTOS!$M$40)</f>
        <v>0</v>
      </c>
      <c r="M30" s="26">
        <f>('TE BE'!$M$30+'TE BF'!$M$30+'TE CVA'!$M$30)*(1 - CUSTOS!$M$40)</f>
        <v>23.954836736025317</v>
      </c>
      <c r="N30" s="26">
        <f>('TE BE'!$N$30+'TE BF'!$N$30+'TE CVA'!$N$30)*(1 - CUSTOS!$M$40)</f>
        <v>0</v>
      </c>
      <c r="O30" s="26">
        <f>('TE BE'!$O$30+'TE BF'!$O$30+'TE CVA'!$O$30)*(1 - CUSTOS!$M$40)</f>
        <v>0</v>
      </c>
      <c r="P30" s="26">
        <f>('TE BE'!$P$30+'TE BF'!$P$30+'TE CVA'!$P$30)*(1 - CUSTOS!$M$40)</f>
        <v>-13.616233282814276</v>
      </c>
      <c r="Q30" s="26">
        <f>('TE BE'!$R$30+'TE BF'!$R$30+'TE CVA'!$R$30)*(1 - CUSTOS!$M$40)</f>
        <v>164.72596361685271</v>
      </c>
      <c r="R30" s="26">
        <f>('TE BE'!$T$30+'TE BF'!$T$30+'TE CVA'!$T$30)*(1 - CUSTOS!$M$40)</f>
        <v>0</v>
      </c>
      <c r="S30" s="26">
        <f>('TE BE'!$U$30+'TE BF'!$U$30+'TE CVA'!$U$30)*(1 - CUSTOS!$M$40)</f>
        <v>0</v>
      </c>
      <c r="T30" s="26">
        <f>('TE BE'!$V$30+'TE BF'!$V$30+'TE CVA'!$V$30)*(1 - CUSTOS!$M$40)</f>
        <v>0</v>
      </c>
      <c r="U30" s="26">
        <f>('TE BE'!$X$30+'TE BF'!$X$30+'TE CVA'!$X$30)*(1 - CUSTOS!$M$40)</f>
        <v>0</v>
      </c>
      <c r="V30" s="26">
        <f>('TE BE'!$Z$30+'TE BF'!$Z$30+'TE CVA'!$Z$30)*(1 - CUSTOS!$M$40)</f>
        <v>5.778693734172859</v>
      </c>
      <c r="X30" s="26">
        <v>0</v>
      </c>
      <c r="Y30" s="26">
        <v>2.38547659676395</v>
      </c>
      <c r="Z30" s="26">
        <v>0</v>
      </c>
      <c r="AA30" s="26">
        <v>0</v>
      </c>
      <c r="AB30" s="26">
        <v>0</v>
      </c>
      <c r="AC30" s="26">
        <v>175.311048081085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</row>
    <row r="31" spans="1:34" ht="11.25" customHeight="1" x14ac:dyDescent="0.25">
      <c r="A31" s="120"/>
      <c r="B31" s="120"/>
      <c r="C31" s="120"/>
      <c r="D31" s="120"/>
      <c r="E31" s="120"/>
      <c r="F31" s="120"/>
      <c r="G31" s="29" t="s">
        <v>75</v>
      </c>
      <c r="H31" s="29" t="s">
        <v>73</v>
      </c>
      <c r="I31" s="29">
        <f>'MERCADO TE'!$U$28</f>
        <v>0</v>
      </c>
      <c r="J31" s="15"/>
      <c r="L31" s="26">
        <f>('TE BE'!$L$31+'TE BF'!$L$31+'TE CVA'!$L$31)*(1 - CUSTOS!$M$40)</f>
        <v>0</v>
      </c>
      <c r="M31" s="26">
        <f>('TE BE'!$M$31+'TE BF'!$M$31+'TE CVA'!$M$31)*(1 - CUSTOS!$M$40)</f>
        <v>23.954836736025317</v>
      </c>
      <c r="N31" s="26">
        <f>('TE BE'!$N$31+'TE BF'!$N$31+'TE CVA'!$N$31)*(1 - CUSTOS!$M$40)</f>
        <v>0</v>
      </c>
      <c r="O31" s="26">
        <f>('TE BE'!$O$31+'TE BF'!$O$31+'TE CVA'!$O$31)*(1 - CUSTOS!$M$40)</f>
        <v>0</v>
      </c>
      <c r="P31" s="26">
        <f>('TE BE'!$P$31+'TE BF'!$P$31+'TE CVA'!$P$31)*(1 - CUSTOS!$M$40)</f>
        <v>-13.616233282814276</v>
      </c>
      <c r="Q31" s="26">
        <f>('TE BE'!$R$31+'TE BF'!$R$31+'TE CVA'!$R$31)*(1 - CUSTOS!$M$40)</f>
        <v>164.72596361685271</v>
      </c>
      <c r="R31" s="26">
        <f>('TE BE'!$T$31+'TE BF'!$T$31+'TE CVA'!$T$31)*(1 - CUSTOS!$M$40)</f>
        <v>0</v>
      </c>
      <c r="S31" s="26">
        <f>('TE BE'!$U$31+'TE BF'!$U$31+'TE CVA'!$U$31)*(1 - CUSTOS!$M$40)</f>
        <v>0</v>
      </c>
      <c r="T31" s="26">
        <f>('TE BE'!$V$31+'TE BF'!$V$31+'TE CVA'!$V$31)*(1 - CUSTOS!$M$40)</f>
        <v>0</v>
      </c>
      <c r="U31" s="26">
        <f>('TE BE'!$X$31+'TE BF'!$X$31+'TE CVA'!$X$31)*(1 - CUSTOS!$M$40)</f>
        <v>0</v>
      </c>
      <c r="V31" s="26">
        <f>('TE BE'!$Z$31+'TE BF'!$Z$31+'TE CVA'!$Z$31)*(1 - CUSTOS!$M$40)</f>
        <v>5.778693734172859</v>
      </c>
      <c r="X31" s="26">
        <v>0</v>
      </c>
      <c r="Y31" s="26">
        <v>2.38547659676395</v>
      </c>
      <c r="Z31" s="26">
        <v>0</v>
      </c>
      <c r="AA31" s="26">
        <v>0</v>
      </c>
      <c r="AB31" s="26">
        <v>0</v>
      </c>
      <c r="AC31" s="26">
        <v>175.311048081085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</row>
    <row r="32" spans="1:34" ht="11.25" customHeight="1" x14ac:dyDescent="0.25">
      <c r="A32" s="120"/>
      <c r="B32" s="28" t="s">
        <v>76</v>
      </c>
      <c r="C32" s="28" t="s">
        <v>42</v>
      </c>
      <c r="D32" s="28" t="s">
        <v>90</v>
      </c>
      <c r="E32" s="28" t="s">
        <v>25</v>
      </c>
      <c r="F32" s="28" t="s">
        <v>25</v>
      </c>
      <c r="G32" s="29" t="s">
        <v>77</v>
      </c>
      <c r="H32" s="29" t="s">
        <v>73</v>
      </c>
      <c r="I32" s="29">
        <f>'MERCADO TE'!$U$29</f>
        <v>0</v>
      </c>
      <c r="J32" s="15"/>
      <c r="L32" s="26">
        <f>('TE BE'!$L$32+'TE BF'!$L$32+'TE CVA'!$L$32)*(1 - CUSTOS!$M$40)</f>
        <v>0</v>
      </c>
      <c r="M32" s="26">
        <f>('TE BE'!$M$32+'TE BF'!$M$32+'TE CVA'!$M$32)*(1 - CUSTOS!$M$40)</f>
        <v>23.954836736025317</v>
      </c>
      <c r="N32" s="26">
        <f>('TE BE'!$N$32+'TE BF'!$N$32+'TE CVA'!$N$32)*(1 - CUSTOS!$M$40)</f>
        <v>0</v>
      </c>
      <c r="O32" s="26">
        <f>('TE BE'!$O$32+'TE BF'!$O$32+'TE CVA'!$O$32)*(1 - CUSTOS!$M$40)</f>
        <v>0</v>
      </c>
      <c r="P32" s="26">
        <f>('TE BE'!$P$32+'TE BF'!$P$32+'TE CVA'!$P$32)*(1 - CUSTOS!$M$40)</f>
        <v>-13.616233282814276</v>
      </c>
      <c r="Q32" s="26">
        <f>('TE BE'!$R$32+'TE BF'!$R$32+'TE CVA'!$R$32)*(1 - CUSTOS!$M$40)</f>
        <v>164.72596361685271</v>
      </c>
      <c r="R32" s="26">
        <f>('TE BE'!$T$32+'TE BF'!$T$32+'TE CVA'!$T$32)*(1 - CUSTOS!$M$40)</f>
        <v>0</v>
      </c>
      <c r="S32" s="26">
        <f>('TE BE'!$U$32+'TE BF'!$U$32+'TE CVA'!$U$32)*(1 - CUSTOS!$M$40)</f>
        <v>0</v>
      </c>
      <c r="T32" s="26">
        <f>('TE BE'!$V$32+'TE BF'!$V$32+'TE CVA'!$V$32)*(1 - CUSTOS!$M$40)</f>
        <v>0</v>
      </c>
      <c r="U32" s="26">
        <f>('TE BE'!$X$32+'TE BF'!$X$32+'TE CVA'!$X$32)*(1 - CUSTOS!$M$40)</f>
        <v>0</v>
      </c>
      <c r="V32" s="26">
        <f>('TE BE'!$Z$32+'TE BF'!$Z$32+'TE CVA'!$Z$32)*(1 - CUSTOS!$M$40)</f>
        <v>5.778693734172859</v>
      </c>
      <c r="X32" s="26">
        <v>0</v>
      </c>
      <c r="Y32" s="26">
        <v>2.38547659676395</v>
      </c>
      <c r="Z32" s="26">
        <v>0</v>
      </c>
      <c r="AA32" s="26">
        <v>0</v>
      </c>
      <c r="AB32" s="26">
        <v>0</v>
      </c>
      <c r="AC32" s="26">
        <v>175.311048081085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</row>
    <row r="33" spans="1:34" ht="11.25" customHeight="1" x14ac:dyDescent="0.25">
      <c r="A33" s="120"/>
      <c r="B33" s="120" t="s">
        <v>87</v>
      </c>
      <c r="C33" s="120" t="s">
        <v>42</v>
      </c>
      <c r="D33" s="28" t="s">
        <v>25</v>
      </c>
      <c r="E33" s="28" t="s">
        <v>25</v>
      </c>
      <c r="F33" s="28" t="s">
        <v>25</v>
      </c>
      <c r="G33" s="29" t="s">
        <v>77</v>
      </c>
      <c r="H33" s="29" t="s">
        <v>73</v>
      </c>
      <c r="I33" s="29">
        <f>'MERCADO TE'!$U$30</f>
        <v>0</v>
      </c>
      <c r="J33" s="15"/>
      <c r="L33" s="26">
        <f>('TE BE'!$L$33+'TE BF'!$L$33+'TE CVA'!$L$33)*(1 - CUSTOS!$M$38)</f>
        <v>0</v>
      </c>
      <c r="M33" s="26">
        <f>('TE BE'!$M$33+'TE BF'!$M$33+'TE CVA'!$M$33)*(1 - CUSTOS!$M$38)</f>
        <v>24.475594056373691</v>
      </c>
      <c r="N33" s="26">
        <f>('TE BE'!$N$33+'TE BF'!$N$33+'TE CVA'!$N$33)*(1 - CUSTOS!$M$38)</f>
        <v>0</v>
      </c>
      <c r="O33" s="26">
        <f>('TE BE'!$O$33+'TE BF'!$O$33+'TE CVA'!$O$33)*(1 - CUSTOS!$M$38)</f>
        <v>0</v>
      </c>
      <c r="P33" s="26">
        <f>('TE BE'!$P$33+'TE BF'!$P$33+'TE CVA'!$P$33)*(1 - CUSTOS!$M$38)</f>
        <v>-13.912238354179804</v>
      </c>
      <c r="Q33" s="26">
        <f>('TE BE'!$R$33+'TE BF'!$R$33+'TE CVA'!$R$33)*(1 - CUSTOS!$M$38)</f>
        <v>168.30696282591472</v>
      </c>
      <c r="R33" s="26">
        <f>('TE BE'!$T$33+'TE BF'!$T$33+'TE CVA'!$T$33)*(1 - CUSTOS!$M$38)</f>
        <v>0</v>
      </c>
      <c r="S33" s="26">
        <f>('TE BE'!$U$33+'TE BF'!$U$33+'TE CVA'!$U$33)*(1 - CUSTOS!$M$38)</f>
        <v>0</v>
      </c>
      <c r="T33" s="26">
        <f>('TE BE'!$V$33+'TE BF'!$V$33+'TE CVA'!$V$33)*(1 - CUSTOS!$M$38)</f>
        <v>0</v>
      </c>
      <c r="U33" s="26">
        <f>('TE BE'!$X$33+'TE BF'!$X$33+'TE CVA'!$X$33)*(1 - CUSTOS!$M$38)</f>
        <v>0</v>
      </c>
      <c r="V33" s="26">
        <f>('TE BE'!$Z$33+'TE BF'!$Z$33+'TE CVA'!$Z$33)*(1 - CUSTOS!$M$38)</f>
        <v>5.9043175110027031</v>
      </c>
      <c r="X33" s="26">
        <v>0</v>
      </c>
      <c r="Y33" s="26">
        <v>2.4990707204193701</v>
      </c>
      <c r="Z33" s="26">
        <v>0</v>
      </c>
      <c r="AA33" s="26">
        <v>0</v>
      </c>
      <c r="AB33" s="26">
        <v>0</v>
      </c>
      <c r="AC33" s="26">
        <v>183.659193227803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</row>
    <row r="34" spans="1:34" ht="11.25" customHeight="1" x14ac:dyDescent="0.25">
      <c r="A34" s="120"/>
      <c r="B34" s="120"/>
      <c r="C34" s="120"/>
      <c r="D34" s="28" t="s">
        <v>89</v>
      </c>
      <c r="E34" s="28" t="s">
        <v>25</v>
      </c>
      <c r="F34" s="28" t="s">
        <v>25</v>
      </c>
      <c r="G34" s="29" t="s">
        <v>77</v>
      </c>
      <c r="H34" s="29" t="s">
        <v>73</v>
      </c>
      <c r="I34" s="29">
        <f>'MERCADO TE'!$U$31</f>
        <v>0</v>
      </c>
      <c r="J34" s="15"/>
      <c r="L34" s="26">
        <f>('TE BE'!$L$34+'TE BF'!$L$34+'TE CVA'!$L$34)*(1 - CUSTOS!$M$39)</f>
        <v>0</v>
      </c>
      <c r="M34" s="26">
        <f>('TE BE'!$M$34+'TE BF'!$M$34+'TE CVA'!$M$34)*(1 - CUSTOS!$M$39)</f>
        <v>24.475594056373691</v>
      </c>
      <c r="N34" s="26">
        <f>('TE BE'!$N$34+'TE BF'!$N$34+'TE CVA'!$N$34)*(1 - CUSTOS!$M$39)</f>
        <v>0</v>
      </c>
      <c r="O34" s="26">
        <f>('TE BE'!$O$34+'TE BF'!$O$34+'TE CVA'!$O$34)*(1 - CUSTOS!$M$39)</f>
        <v>0</v>
      </c>
      <c r="P34" s="26">
        <f>('TE BE'!$P$34+'TE BF'!$P$34+'TE CVA'!$P$34)*(1 - CUSTOS!$M$39)</f>
        <v>-13.912238354179804</v>
      </c>
      <c r="Q34" s="26">
        <f>('TE BE'!$R$34+'TE BF'!$R$34+'TE CVA'!$R$34)*(1 - CUSTOS!$M$39)</f>
        <v>168.30696282591472</v>
      </c>
      <c r="R34" s="26">
        <f>('TE BE'!$T$34+'TE BF'!$T$34+'TE CVA'!$T$34)*(1 - CUSTOS!$M$39)</f>
        <v>0</v>
      </c>
      <c r="S34" s="26">
        <f>('TE BE'!$U$34+'TE BF'!$U$34+'TE CVA'!$U$34)*(1 - CUSTOS!$M$39)</f>
        <v>0</v>
      </c>
      <c r="T34" s="26">
        <f>('TE BE'!$V$34+'TE BF'!$V$34+'TE CVA'!$V$34)*(1 - CUSTOS!$M$39)</f>
        <v>0</v>
      </c>
      <c r="U34" s="26">
        <f>('TE BE'!$X$34+'TE BF'!$X$34+'TE CVA'!$X$34)*(1 - CUSTOS!$M$39)</f>
        <v>0</v>
      </c>
      <c r="V34" s="26">
        <f>('TE BE'!$Z$34+'TE BF'!$Z$34+'TE CVA'!$Z$34)*(1 - CUSTOS!$M$39)</f>
        <v>5.9043175110027031</v>
      </c>
      <c r="X34" s="26">
        <v>0</v>
      </c>
      <c r="Y34" s="26">
        <v>2.4990707204193701</v>
      </c>
      <c r="Z34" s="26">
        <v>0</v>
      </c>
      <c r="AA34" s="26">
        <v>0</v>
      </c>
      <c r="AB34" s="26">
        <v>0</v>
      </c>
      <c r="AC34" s="26">
        <v>183.659193227803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</row>
    <row r="35" spans="1:34" ht="11.25" customHeight="1" x14ac:dyDescent="0.25">
      <c r="A35" s="120"/>
      <c r="B35" s="120"/>
      <c r="C35" s="120"/>
      <c r="D35" s="28" t="s">
        <v>90</v>
      </c>
      <c r="E35" s="28" t="s">
        <v>25</v>
      </c>
      <c r="F35" s="28" t="s">
        <v>25</v>
      </c>
      <c r="G35" s="29" t="s">
        <v>77</v>
      </c>
      <c r="H35" s="29" t="s">
        <v>73</v>
      </c>
      <c r="I35" s="29">
        <f>'MERCADO TE'!$U$32</f>
        <v>0</v>
      </c>
      <c r="J35" s="15"/>
      <c r="L35" s="26">
        <f>('TE BE'!$L$35+'TE BF'!$L$35+'TE CVA'!$L$35)*(1 - CUSTOS!$M$40)</f>
        <v>0</v>
      </c>
      <c r="M35" s="26">
        <f>('TE BE'!$M$35+'TE BF'!$M$35+'TE CVA'!$M$35)*(1 - CUSTOS!$M$40)</f>
        <v>23.954836736025317</v>
      </c>
      <c r="N35" s="26">
        <f>('TE BE'!$N$35+'TE BF'!$N$35+'TE CVA'!$N$35)*(1 - CUSTOS!$M$40)</f>
        <v>0</v>
      </c>
      <c r="O35" s="26">
        <f>('TE BE'!$O$35+'TE BF'!$O$35+'TE CVA'!$O$35)*(1 - CUSTOS!$M$40)</f>
        <v>0</v>
      </c>
      <c r="P35" s="26">
        <f>('TE BE'!$P$35+'TE BF'!$P$35+'TE CVA'!$P$35)*(1 - CUSTOS!$M$40)</f>
        <v>-13.616233282814276</v>
      </c>
      <c r="Q35" s="26">
        <f>('TE BE'!$R$35+'TE BF'!$R$35+'TE CVA'!$R$35)*(1 - CUSTOS!$M$40)</f>
        <v>164.72596361685271</v>
      </c>
      <c r="R35" s="26">
        <f>('TE BE'!$T$35+'TE BF'!$T$35+'TE CVA'!$T$35)*(1 - CUSTOS!$M$40)</f>
        <v>0</v>
      </c>
      <c r="S35" s="26">
        <f>('TE BE'!$U$35+'TE BF'!$U$35+'TE CVA'!$U$35)*(1 - CUSTOS!$M$40)</f>
        <v>0</v>
      </c>
      <c r="T35" s="26">
        <f>('TE BE'!$V$35+'TE BF'!$V$35+'TE CVA'!$V$35)*(1 - CUSTOS!$M$40)</f>
        <v>0</v>
      </c>
      <c r="U35" s="26">
        <f>('TE BE'!$X$35+'TE BF'!$X$35+'TE CVA'!$X$35)*(1 - CUSTOS!$M$40)</f>
        <v>0</v>
      </c>
      <c r="V35" s="26">
        <f>('TE BE'!$Z$35+'TE BF'!$Z$35+'TE CVA'!$Z$35)*(1 - CUSTOS!$M$40)</f>
        <v>5.778693734172859</v>
      </c>
      <c r="X35" s="26">
        <v>0</v>
      </c>
      <c r="Y35" s="26">
        <v>2.38547659676395</v>
      </c>
      <c r="Z35" s="26">
        <v>0</v>
      </c>
      <c r="AA35" s="26">
        <v>0</v>
      </c>
      <c r="AB35" s="26">
        <v>0</v>
      </c>
      <c r="AC35" s="26">
        <v>175.311048081085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</row>
    <row r="36" spans="1:34" ht="11.25" customHeight="1" x14ac:dyDescent="0.25">
      <c r="A36" s="120" t="s">
        <v>33</v>
      </c>
      <c r="B36" s="120" t="s">
        <v>72</v>
      </c>
      <c r="C36" s="120" t="s">
        <v>25</v>
      </c>
      <c r="D36" s="120" t="s">
        <v>25</v>
      </c>
      <c r="E36" s="120" t="s">
        <v>25</v>
      </c>
      <c r="F36" s="120" t="s">
        <v>25</v>
      </c>
      <c r="G36" s="29" t="s">
        <v>74</v>
      </c>
      <c r="H36" s="29" t="s">
        <v>73</v>
      </c>
      <c r="I36" s="29">
        <f>'MERCADO TE'!$U$33</f>
        <v>0</v>
      </c>
      <c r="J36" s="15"/>
      <c r="L36" s="26">
        <f>('TE BE'!$L$36+'TE BF'!$L$36+'TE CVA'!$L$36)*1</f>
        <v>0</v>
      </c>
      <c r="M36" s="26">
        <f>('TE BE'!$M$36+'TE BF'!$M$36+'TE CVA'!$M$36)*1</f>
        <v>26.037866017418821</v>
      </c>
      <c r="N36" s="26">
        <f>('TE BE'!$N$36+'TE BF'!$N$36+'TE CVA'!$N$36)*1</f>
        <v>0</v>
      </c>
      <c r="O36" s="26">
        <f>('TE BE'!$O$36+'TE BF'!$O$36+'TE CVA'!$O$36)*1</f>
        <v>0</v>
      </c>
      <c r="P36" s="26">
        <f>('TE BE'!$P$36+'TE BF'!$P$36+'TE CVA'!$P$36)*1</f>
        <v>-14.800253568276387</v>
      </c>
      <c r="Q36" s="26">
        <f>('TE BE'!$R$36+'TE BF'!$R$36+'TE CVA'!$R$36)*1</f>
        <v>179.04996045310077</v>
      </c>
      <c r="R36" s="26">
        <f>('TE BE'!$T$36+'TE BF'!$T$36+'TE CVA'!$T$36)*1</f>
        <v>0</v>
      </c>
      <c r="S36" s="26">
        <f>('TE BE'!$U$36+'TE BF'!$U$36+'TE CVA'!$U$36)*1</f>
        <v>0</v>
      </c>
      <c r="T36" s="26">
        <f>('TE BE'!$V$36+'TE BF'!$V$36+'TE CVA'!$V$36)*1</f>
        <v>0</v>
      </c>
      <c r="U36" s="26">
        <f>('TE BE'!$X$36+'TE BF'!$X$36+'TE CVA'!$X$36)*1</f>
        <v>0</v>
      </c>
      <c r="V36" s="26">
        <f>('TE BE'!$Z$36+'TE BF'!$Z$36+'TE CVA'!$Z$36)*1</f>
        <v>6.2811888414922379</v>
      </c>
      <c r="X36" s="26">
        <v>0</v>
      </c>
      <c r="Y36" s="26">
        <v>2.8398530913856499</v>
      </c>
      <c r="Z36" s="26">
        <v>0</v>
      </c>
      <c r="AA36" s="26">
        <v>0</v>
      </c>
      <c r="AB36" s="26">
        <v>0</v>
      </c>
      <c r="AC36" s="26">
        <v>208.70362866795799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</row>
    <row r="37" spans="1:34" ht="11.25" customHeight="1" x14ac:dyDescent="0.25">
      <c r="A37" s="120"/>
      <c r="B37" s="120"/>
      <c r="C37" s="120"/>
      <c r="D37" s="120"/>
      <c r="E37" s="120"/>
      <c r="F37" s="120"/>
      <c r="G37" s="29" t="s">
        <v>85</v>
      </c>
      <c r="H37" s="29" t="s">
        <v>73</v>
      </c>
      <c r="I37" s="29">
        <f>'MERCADO TE'!$U$34</f>
        <v>0</v>
      </c>
      <c r="J37" s="15"/>
      <c r="L37" s="26">
        <f>('TE BE'!$L$37+'TE BF'!$L$37+'TE CVA'!$L$37)*1</f>
        <v>0</v>
      </c>
      <c r="M37" s="26">
        <f>('TE BE'!$M$37+'TE BF'!$M$37+'TE CVA'!$M$37)*1</f>
        <v>26.037866017418821</v>
      </c>
      <c r="N37" s="26">
        <f>('TE BE'!$N$37+'TE BF'!$N$37+'TE CVA'!$N$37)*1</f>
        <v>0</v>
      </c>
      <c r="O37" s="26">
        <f>('TE BE'!$O$37+'TE BF'!$O$37+'TE CVA'!$O$37)*1</f>
        <v>0</v>
      </c>
      <c r="P37" s="26">
        <f>('TE BE'!$P$37+'TE BF'!$P$37+'TE CVA'!$P$37)*1</f>
        <v>-14.800253568276387</v>
      </c>
      <c r="Q37" s="26">
        <f>('TE BE'!$R$37+'TE BF'!$R$37+'TE CVA'!$R$37)*1</f>
        <v>179.04996045310077</v>
      </c>
      <c r="R37" s="26">
        <f>('TE BE'!$T$37+'TE BF'!$T$37+'TE CVA'!$T$37)*1</f>
        <v>0</v>
      </c>
      <c r="S37" s="26">
        <f>('TE BE'!$U$37+'TE BF'!$U$37+'TE CVA'!$U$37)*1</f>
        <v>0</v>
      </c>
      <c r="T37" s="26">
        <f>('TE BE'!$V$37+'TE BF'!$V$37+'TE CVA'!$V$37)*1</f>
        <v>0</v>
      </c>
      <c r="U37" s="26">
        <f>('TE BE'!$X$37+'TE BF'!$X$37+'TE CVA'!$X$37)*1</f>
        <v>0</v>
      </c>
      <c r="V37" s="26">
        <f>('TE BE'!$Z$37+'TE BF'!$Z$37+'TE CVA'!$Z$37)*1</f>
        <v>6.2811888414922379</v>
      </c>
      <c r="X37" s="26">
        <v>0</v>
      </c>
      <c r="Y37" s="26">
        <v>2.8398530913856499</v>
      </c>
      <c r="Z37" s="26">
        <v>0</v>
      </c>
      <c r="AA37" s="26">
        <v>0</v>
      </c>
      <c r="AB37" s="26">
        <v>0</v>
      </c>
      <c r="AC37" s="26">
        <v>208.70362866795799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</row>
    <row r="38" spans="1:34" ht="11.25" customHeight="1" x14ac:dyDescent="0.25">
      <c r="A38" s="120"/>
      <c r="B38" s="120"/>
      <c r="C38" s="120"/>
      <c r="D38" s="120"/>
      <c r="E38" s="120"/>
      <c r="F38" s="120"/>
      <c r="G38" s="29" t="s">
        <v>75</v>
      </c>
      <c r="H38" s="29" t="s">
        <v>73</v>
      </c>
      <c r="I38" s="29">
        <f>'MERCADO TE'!$U$35</f>
        <v>0</v>
      </c>
      <c r="J38" s="15"/>
      <c r="L38" s="26">
        <f>('TE BE'!$L$38+'TE BF'!$L$38+'TE CVA'!$L$38)*1</f>
        <v>0</v>
      </c>
      <c r="M38" s="26">
        <f>('TE BE'!$M$38+'TE BF'!$M$38+'TE CVA'!$M$38)*1</f>
        <v>26.037866017418821</v>
      </c>
      <c r="N38" s="26">
        <f>('TE BE'!$N$38+'TE BF'!$N$38+'TE CVA'!$N$38)*1</f>
        <v>0</v>
      </c>
      <c r="O38" s="26">
        <f>('TE BE'!$O$38+'TE BF'!$O$38+'TE CVA'!$O$38)*1</f>
        <v>0</v>
      </c>
      <c r="P38" s="26">
        <f>('TE BE'!$P$38+'TE BF'!$P$38+'TE CVA'!$P$38)*1</f>
        <v>-14.800253568276387</v>
      </c>
      <c r="Q38" s="26">
        <f>('TE BE'!$R$38+'TE BF'!$R$38+'TE CVA'!$R$38)*1</f>
        <v>179.04996045310077</v>
      </c>
      <c r="R38" s="26">
        <f>('TE BE'!$T$38+'TE BF'!$T$38+'TE CVA'!$T$38)*1</f>
        <v>0</v>
      </c>
      <c r="S38" s="26">
        <f>('TE BE'!$U$38+'TE BF'!$U$38+'TE CVA'!$U$38)*1</f>
        <v>0</v>
      </c>
      <c r="T38" s="26">
        <f>('TE BE'!$V$38+'TE BF'!$V$38+'TE CVA'!$V$38)*1</f>
        <v>0</v>
      </c>
      <c r="U38" s="26">
        <f>('TE BE'!$X$38+'TE BF'!$X$38+'TE CVA'!$X$38)*1</f>
        <v>0</v>
      </c>
      <c r="V38" s="26">
        <f>('TE BE'!$Z$38+'TE BF'!$Z$38+'TE CVA'!$Z$38)*1</f>
        <v>6.2811888414922379</v>
      </c>
      <c r="X38" s="26">
        <v>0</v>
      </c>
      <c r="Y38" s="26">
        <v>2.8398530913856499</v>
      </c>
      <c r="Z38" s="26">
        <v>0</v>
      </c>
      <c r="AA38" s="26">
        <v>0</v>
      </c>
      <c r="AB38" s="26">
        <v>0</v>
      </c>
      <c r="AC38" s="26">
        <v>208.70362866795799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</row>
    <row r="39" spans="1:34" ht="11.25" customHeight="1" x14ac:dyDescent="0.25">
      <c r="A39" s="120"/>
      <c r="B39" s="28" t="s">
        <v>76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77</v>
      </c>
      <c r="H39" s="29" t="s">
        <v>73</v>
      </c>
      <c r="I39" s="29">
        <f>'MERCADO TE'!$U$36</f>
        <v>3162.4160000000002</v>
      </c>
      <c r="J39" s="15"/>
      <c r="L39" s="26">
        <f>('TE BE'!$L$39+'TE BF'!$L$39+'TE CVA'!$L$39)*1</f>
        <v>0</v>
      </c>
      <c r="M39" s="26">
        <f>('TE BE'!$M$39+'TE BF'!$M$39+'TE CVA'!$M$39)*1</f>
        <v>26.037866017418821</v>
      </c>
      <c r="N39" s="26">
        <f>('TE BE'!$N$39+'TE BF'!$N$39+'TE CVA'!$N$39)*1</f>
        <v>0</v>
      </c>
      <c r="O39" s="26">
        <f>('TE BE'!$O$39+'TE BF'!$O$39+'TE CVA'!$O$39)*1</f>
        <v>0</v>
      </c>
      <c r="P39" s="26">
        <f>('TE BE'!$P$39+'TE BF'!$P$39+'TE CVA'!$P$39)*1</f>
        <v>-14.800253568276387</v>
      </c>
      <c r="Q39" s="26">
        <f>('TE BE'!$R$39+'TE BF'!$R$39+'TE CVA'!$R$39)*1</f>
        <v>179.04996045310077</v>
      </c>
      <c r="R39" s="26">
        <f>('TE BE'!$T$39+'TE BF'!$T$39+'TE CVA'!$T$39)*1</f>
        <v>0</v>
      </c>
      <c r="S39" s="26">
        <f>('TE BE'!$U$39+'TE BF'!$U$39+'TE CVA'!$U$39)*1</f>
        <v>0</v>
      </c>
      <c r="T39" s="26">
        <f>('TE BE'!$V$39+'TE BF'!$V$39+'TE CVA'!$V$39)*1</f>
        <v>0</v>
      </c>
      <c r="U39" s="26">
        <f>('TE BE'!$X$39+'TE BF'!$X$39+'TE CVA'!$X$39)*1</f>
        <v>0</v>
      </c>
      <c r="V39" s="26">
        <f>('TE BE'!$Z$39+'TE BF'!$Z$39+'TE CVA'!$Z$39)*1</f>
        <v>6.2811888414922379</v>
      </c>
      <c r="X39" s="26">
        <v>0</v>
      </c>
      <c r="Y39" s="26">
        <v>2.8398530913856499</v>
      </c>
      <c r="Z39" s="26">
        <v>0</v>
      </c>
      <c r="AA39" s="26">
        <v>0</v>
      </c>
      <c r="AB39" s="26">
        <v>0</v>
      </c>
      <c r="AC39" s="26">
        <v>208.70362866795799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</row>
    <row r="40" spans="1:34" ht="11.25" customHeight="1" x14ac:dyDescent="0.25">
      <c r="A40" s="120"/>
      <c r="B40" s="28" t="s">
        <v>87</v>
      </c>
      <c r="C40" s="28" t="s">
        <v>25</v>
      </c>
      <c r="D40" s="28" t="s">
        <v>25</v>
      </c>
      <c r="E40" s="28" t="s">
        <v>25</v>
      </c>
      <c r="F40" s="28" t="s">
        <v>25</v>
      </c>
      <c r="G40" s="29" t="s">
        <v>77</v>
      </c>
      <c r="H40" s="29" t="s">
        <v>73</v>
      </c>
      <c r="I40" s="29">
        <f>'MERCADO TE'!$U$37</f>
        <v>0</v>
      </c>
      <c r="J40" s="15"/>
      <c r="L40" s="26">
        <f>('TE BE'!$L$40+'TE BF'!$L$40+'TE CVA'!$L$40)*1</f>
        <v>0</v>
      </c>
      <c r="M40" s="26">
        <f>('TE BE'!$M$40+'TE BF'!$M$40+'TE CVA'!$M$40)*1</f>
        <v>26.037866017418821</v>
      </c>
      <c r="N40" s="26">
        <f>('TE BE'!$N$40+'TE BF'!$N$40+'TE CVA'!$N$40)*1</f>
        <v>0</v>
      </c>
      <c r="O40" s="26">
        <f>('TE BE'!$O$40+'TE BF'!$O$40+'TE CVA'!$O$40)*1</f>
        <v>0</v>
      </c>
      <c r="P40" s="26">
        <f>('TE BE'!$P$40+'TE BF'!$P$40+'TE CVA'!$P$40)*1</f>
        <v>-14.800253568276387</v>
      </c>
      <c r="Q40" s="26">
        <f>('TE BE'!$R$40+'TE BF'!$R$40+'TE CVA'!$R$40)*1</f>
        <v>179.04996045310077</v>
      </c>
      <c r="R40" s="26">
        <f>('TE BE'!$T$40+'TE BF'!$T$40+'TE CVA'!$T$40)*1</f>
        <v>0</v>
      </c>
      <c r="S40" s="26">
        <f>('TE BE'!$U$40+'TE BF'!$U$40+'TE CVA'!$U$40)*1</f>
        <v>0</v>
      </c>
      <c r="T40" s="26">
        <f>('TE BE'!$V$40+'TE BF'!$V$40+'TE CVA'!$V$40)*1</f>
        <v>0</v>
      </c>
      <c r="U40" s="26">
        <f>('TE BE'!$X$40+'TE BF'!$X$40+'TE CVA'!$X$40)*1</f>
        <v>0</v>
      </c>
      <c r="V40" s="26">
        <f>('TE BE'!$Z$40+'TE BF'!$Z$40+'TE CVA'!$Z$40)*1</f>
        <v>6.2811888414922379</v>
      </c>
      <c r="X40" s="26">
        <v>0</v>
      </c>
      <c r="Y40" s="26">
        <v>2.8398530913856499</v>
      </c>
      <c r="Z40" s="26">
        <v>0</v>
      </c>
      <c r="AA40" s="26">
        <v>0</v>
      </c>
      <c r="AB40" s="26">
        <v>0</v>
      </c>
      <c r="AC40" s="26">
        <v>208.70362866795799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</row>
    <row r="41" spans="1:34" ht="11.25" customHeight="1" x14ac:dyDescent="0.25">
      <c r="A41" s="120" t="s">
        <v>44</v>
      </c>
      <c r="B41" s="120" t="s">
        <v>76</v>
      </c>
      <c r="C41" s="120" t="s">
        <v>45</v>
      </c>
      <c r="D41" s="28" t="s">
        <v>46</v>
      </c>
      <c r="E41" s="28" t="s">
        <v>25</v>
      </c>
      <c r="F41" s="28" t="s">
        <v>25</v>
      </c>
      <c r="G41" s="29" t="s">
        <v>77</v>
      </c>
      <c r="H41" s="29" t="s">
        <v>73</v>
      </c>
      <c r="I41" s="29">
        <f>'MERCADO TE'!$U$38</f>
        <v>905.86099999999999</v>
      </c>
      <c r="J41" s="15"/>
      <c r="L41" s="26">
        <f>('TE BE'!$L$41+'TE BF'!$L$41+'TE CVA'!$L$41)*1</f>
        <v>0</v>
      </c>
      <c r="M41" s="26">
        <f>('TE BE'!$M$41+'TE BF'!$M$41+'TE CVA'!$M$41)*1</f>
        <v>14.320826309580353</v>
      </c>
      <c r="N41" s="26">
        <f>('TE BE'!$N$41+'TE BF'!$N$41+'TE CVA'!$N$41)*1</f>
        <v>0</v>
      </c>
      <c r="O41" s="26">
        <f>('TE BE'!$O$41+'TE BF'!$O$41+'TE CVA'!$O$41)*1</f>
        <v>0</v>
      </c>
      <c r="P41" s="26">
        <f>('TE BE'!$P$41+'TE BF'!$P$41+'TE CVA'!$P$41)*1</f>
        <v>-8.140139462552014</v>
      </c>
      <c r="Q41" s="26">
        <f>('TE BE'!$R$41+'TE BF'!$R$41+'TE CVA'!$R$41)*1</f>
        <v>98.477478249205433</v>
      </c>
      <c r="R41" s="26">
        <f>('TE BE'!$T$41+'TE BF'!$T$41+'TE CVA'!$T$41)*1</f>
        <v>0</v>
      </c>
      <c r="S41" s="26">
        <f>('TE BE'!$U$41+'TE BF'!$U$41+'TE CVA'!$U$41)*1</f>
        <v>0</v>
      </c>
      <c r="T41" s="26">
        <f>('TE BE'!$V$41+'TE BF'!$V$41+'TE CVA'!$V$41)*1</f>
        <v>0</v>
      </c>
      <c r="U41" s="26">
        <f>('TE BE'!$X$41+'TE BF'!$X$41+'TE CVA'!$X$41)*1</f>
        <v>0</v>
      </c>
      <c r="V41" s="26">
        <f>('TE BE'!$Z$41+'TE BF'!$Z$41+'TE CVA'!$Z$41)*1</f>
        <v>3.4546538628207313</v>
      </c>
      <c r="X41" s="26">
        <v>0</v>
      </c>
      <c r="Y41" s="26">
        <v>1.5619192002621101</v>
      </c>
      <c r="Z41" s="26">
        <v>0</v>
      </c>
      <c r="AA41" s="26">
        <v>0</v>
      </c>
      <c r="AB41" s="26">
        <v>0</v>
      </c>
      <c r="AC41" s="26">
        <v>114.78699576737699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</row>
    <row r="42" spans="1:34" ht="11.25" customHeight="1" x14ac:dyDescent="0.25">
      <c r="A42" s="120"/>
      <c r="B42" s="120"/>
      <c r="C42" s="120"/>
      <c r="D42" s="29" t="s">
        <v>91</v>
      </c>
      <c r="E42" s="29" t="s">
        <v>25</v>
      </c>
      <c r="F42" s="29" t="s">
        <v>25</v>
      </c>
      <c r="G42" s="29" t="s">
        <v>77</v>
      </c>
      <c r="H42" s="29" t="s">
        <v>73</v>
      </c>
      <c r="I42" s="29">
        <f>'MERCADO TE'!$U$39</f>
        <v>0</v>
      </c>
      <c r="J42" s="15"/>
      <c r="L42" s="26">
        <f>('TE BE'!$L$42+'TE BF'!$L$42+'TE CVA'!$L$42)*1</f>
        <v>0</v>
      </c>
      <c r="M42" s="26">
        <f>('TE BE'!$M$42+'TE BF'!$M$42+'TE CVA'!$M$42)*1</f>
        <v>15.622719610451291</v>
      </c>
      <c r="N42" s="26">
        <f>('TE BE'!$N$42+'TE BF'!$N$42+'TE CVA'!$N$42)*1</f>
        <v>0</v>
      </c>
      <c r="O42" s="26">
        <f>('TE BE'!$O$42+'TE BF'!$O$42+'TE CVA'!$O$42)*1</f>
        <v>0</v>
      </c>
      <c r="P42" s="26">
        <f>('TE BE'!$P$42+'TE BF'!$P$42+'TE CVA'!$P$42)*1</f>
        <v>-8.8801521409658317</v>
      </c>
      <c r="Q42" s="26">
        <f>('TE BE'!$R$42+'TE BF'!$R$42+'TE CVA'!$R$42)*1</f>
        <v>107.42997627186045</v>
      </c>
      <c r="R42" s="26">
        <f>('TE BE'!$T$42+'TE BF'!$T$42+'TE CVA'!$T$42)*1</f>
        <v>0</v>
      </c>
      <c r="S42" s="26">
        <f>('TE BE'!$U$42+'TE BF'!$U$42+'TE CVA'!$U$42)*1</f>
        <v>0</v>
      </c>
      <c r="T42" s="26">
        <f>('TE BE'!$V$42+'TE BF'!$V$42+'TE CVA'!$V$42)*1</f>
        <v>0</v>
      </c>
      <c r="U42" s="26">
        <f>('TE BE'!$X$42+'TE BF'!$X$42+'TE CVA'!$X$42)*1</f>
        <v>0</v>
      </c>
      <c r="V42" s="26">
        <f>('TE BE'!$Z$42+'TE BF'!$Z$42+'TE CVA'!$Z$42)*1</f>
        <v>3.7687133048953432</v>
      </c>
      <c r="X42" s="26">
        <v>0</v>
      </c>
      <c r="Y42" s="26">
        <v>1.7039118548313901</v>
      </c>
      <c r="Z42" s="26">
        <v>0</v>
      </c>
      <c r="AA42" s="26">
        <v>0</v>
      </c>
      <c r="AB42" s="26">
        <v>0</v>
      </c>
      <c r="AC42" s="26">
        <v>125.22217720077499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</row>
    <row r="44" spans="1:34" ht="11.25" customHeight="1" x14ac:dyDescent="0.25">
      <c r="L44" s="117" t="s">
        <v>856</v>
      </c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X44" s="117" t="s">
        <v>857</v>
      </c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</row>
    <row r="45" spans="1:34" ht="11.25" customHeight="1" x14ac:dyDescent="0.25">
      <c r="L45" s="117" t="s">
        <v>415</v>
      </c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X45" s="117" t="s">
        <v>415</v>
      </c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</row>
    <row r="46" spans="1:34" ht="11.25" customHeight="1" x14ac:dyDescent="0.25">
      <c r="L46" s="117" t="s">
        <v>388</v>
      </c>
      <c r="M46" s="117"/>
      <c r="N46" s="117"/>
      <c r="O46" s="117"/>
      <c r="P46" s="117"/>
      <c r="Q46" s="30" t="s">
        <v>419</v>
      </c>
      <c r="R46" s="117" t="s">
        <v>397</v>
      </c>
      <c r="S46" s="117"/>
      <c r="T46" s="117"/>
      <c r="U46" s="30" t="s">
        <v>407</v>
      </c>
      <c r="V46" s="30" t="s">
        <v>410</v>
      </c>
      <c r="X46" s="117" t="s">
        <v>388</v>
      </c>
      <c r="Y46" s="117"/>
      <c r="Z46" s="117"/>
      <c r="AA46" s="117"/>
      <c r="AB46" s="117"/>
      <c r="AC46" s="30" t="s">
        <v>419</v>
      </c>
      <c r="AD46" s="117" t="s">
        <v>397</v>
      </c>
      <c r="AE46" s="117"/>
      <c r="AF46" s="117"/>
      <c r="AG46" s="30" t="s">
        <v>407</v>
      </c>
      <c r="AH46" s="30" t="s">
        <v>410</v>
      </c>
    </row>
    <row r="47" spans="1:34" ht="11.25" customHeight="1" x14ac:dyDescent="0.25">
      <c r="L47" s="30" t="s">
        <v>390</v>
      </c>
      <c r="M47" s="30" t="s">
        <v>416</v>
      </c>
      <c r="N47" s="30" t="s">
        <v>417</v>
      </c>
      <c r="O47" s="30" t="s">
        <v>476</v>
      </c>
      <c r="P47" s="30" t="s">
        <v>418</v>
      </c>
      <c r="Q47" s="30" t="s">
        <v>420</v>
      </c>
      <c r="R47" s="30" t="s">
        <v>421</v>
      </c>
      <c r="S47" s="30" t="s">
        <v>422</v>
      </c>
      <c r="T47" s="30" t="s">
        <v>423</v>
      </c>
      <c r="U47" s="30" t="s">
        <v>408</v>
      </c>
      <c r="V47" s="30" t="s">
        <v>424</v>
      </c>
      <c r="X47" s="30" t="s">
        <v>390</v>
      </c>
      <c r="Y47" s="30" t="s">
        <v>416</v>
      </c>
      <c r="Z47" s="30" t="s">
        <v>417</v>
      </c>
      <c r="AA47" s="30" t="s">
        <v>476</v>
      </c>
      <c r="AB47" s="30" t="s">
        <v>418</v>
      </c>
      <c r="AC47" s="30" t="s">
        <v>420</v>
      </c>
      <c r="AD47" s="30" t="s">
        <v>421</v>
      </c>
      <c r="AE47" s="30" t="s">
        <v>422</v>
      </c>
      <c r="AF47" s="30" t="s">
        <v>423</v>
      </c>
      <c r="AG47" s="30" t="s">
        <v>408</v>
      </c>
      <c r="AH47" s="30" t="s">
        <v>424</v>
      </c>
    </row>
    <row r="48" spans="1:34" ht="11.25" customHeight="1" x14ac:dyDescent="0.25">
      <c r="A48" s="9" t="s">
        <v>35</v>
      </c>
      <c r="B48" s="9" t="s">
        <v>858</v>
      </c>
      <c r="C48" s="9" t="s">
        <v>859</v>
      </c>
      <c r="D48" s="9" t="s">
        <v>860</v>
      </c>
      <c r="E48" s="9" t="s">
        <v>861</v>
      </c>
      <c r="F48" s="9" t="s">
        <v>862</v>
      </c>
      <c r="G48" s="9" t="s">
        <v>863</v>
      </c>
      <c r="L48" s="26">
        <f>$I$5*$L$5</f>
        <v>0</v>
      </c>
      <c r="M48" s="26">
        <f>$I$5*$M$5</f>
        <v>82783.59347394458</v>
      </c>
      <c r="N48" s="26">
        <f>$I$5*$N$5</f>
        <v>0</v>
      </c>
      <c r="O48" s="26">
        <f>$I$5*$O$5</f>
        <v>0</v>
      </c>
      <c r="P48" s="26">
        <f>$I$5*$P$5</f>
        <v>-47055.245383313799</v>
      </c>
      <c r="Q48" s="26">
        <f>$I$5*$Q$5</f>
        <v>569263.20796640764</v>
      </c>
      <c r="R48" s="26">
        <f>$I$5*$R$5</f>
        <v>0</v>
      </c>
      <c r="S48" s="26">
        <f>$I$5*$S$5</f>
        <v>0</v>
      </c>
      <c r="T48" s="26">
        <f>$I$5*$T$5</f>
        <v>0</v>
      </c>
      <c r="U48" s="26">
        <f>$I$5*$U$5</f>
        <v>0</v>
      </c>
      <c r="V48" s="26">
        <f>$I$5*$V$5</f>
        <v>19970.122867953709</v>
      </c>
      <c r="X48" s="26">
        <f>$I$5*$X$5</f>
        <v>0</v>
      </c>
      <c r="Y48" s="26">
        <f>$I$5*$Y$5</f>
        <v>9028.8982855093291</v>
      </c>
      <c r="Z48" s="26">
        <f>$I$5*$Z$5</f>
        <v>0</v>
      </c>
      <c r="AA48" s="26">
        <f>$I$5*$AA$5</f>
        <v>0</v>
      </c>
      <c r="AB48" s="26">
        <f>$I$5*$AB$5</f>
        <v>0</v>
      </c>
      <c r="AC48" s="26">
        <f>$I$5*$AC$5</f>
        <v>663542.71661998681</v>
      </c>
      <c r="AD48" s="26">
        <f>$I$5*$AD$5</f>
        <v>0</v>
      </c>
      <c r="AE48" s="26">
        <f>$I$5*$AE$5</f>
        <v>0</v>
      </c>
      <c r="AF48" s="26">
        <f>$I$5*$AF$5</f>
        <v>0</v>
      </c>
      <c r="AG48" s="26">
        <f>$I$5*$AG$5</f>
        <v>0</v>
      </c>
      <c r="AH48" s="26">
        <f>$I$5*$AH$5</f>
        <v>0</v>
      </c>
    </row>
    <row r="49" spans="1:34" ht="11.25" customHeight="1" x14ac:dyDescent="0.25">
      <c r="A49" s="9" t="s">
        <v>35</v>
      </c>
      <c r="B49" s="9" t="s">
        <v>858</v>
      </c>
      <c r="C49" s="9" t="s">
        <v>859</v>
      </c>
      <c r="D49" s="9" t="s">
        <v>860</v>
      </c>
      <c r="E49" s="9" t="s">
        <v>861</v>
      </c>
      <c r="F49" s="9" t="s">
        <v>862</v>
      </c>
      <c r="G49" s="9" t="s">
        <v>864</v>
      </c>
      <c r="L49" s="26">
        <f>$I$6*$L$6</f>
        <v>0</v>
      </c>
      <c r="M49" s="26">
        <f>$I$6*$M$6</f>
        <v>1002856.4032857531</v>
      </c>
      <c r="N49" s="26">
        <f>$I$6*$N$6</f>
        <v>0</v>
      </c>
      <c r="O49" s="26">
        <f>$I$6*$O$6</f>
        <v>0</v>
      </c>
      <c r="P49" s="26">
        <f>$I$6*$P$6</f>
        <v>-570036.3098600104</v>
      </c>
      <c r="Q49" s="26">
        <f>$I$6*$Q$6</f>
        <v>6896164.1951890336</v>
      </c>
      <c r="R49" s="26">
        <f>$I$6*$R$6</f>
        <v>0</v>
      </c>
      <c r="S49" s="26">
        <f>$I$6*$S$6</f>
        <v>0</v>
      </c>
      <c r="T49" s="26">
        <f>$I$6*$T$6</f>
        <v>0</v>
      </c>
      <c r="U49" s="26">
        <f>$I$6*$U$6</f>
        <v>0</v>
      </c>
      <c r="V49" s="26">
        <f>$I$6*$V$6</f>
        <v>241921.91655504785</v>
      </c>
      <c r="X49" s="26">
        <f>$I$6*$X$6</f>
        <v>0</v>
      </c>
      <c r="Y49" s="26">
        <f>$I$6*$Y$6</f>
        <v>109377.81364961734</v>
      </c>
      <c r="Z49" s="26">
        <f>$I$6*$Z$6</f>
        <v>0</v>
      </c>
      <c r="AA49" s="26">
        <f>$I$6*$AA$6</f>
        <v>0</v>
      </c>
      <c r="AB49" s="26">
        <f>$I$6*$AB$6</f>
        <v>0</v>
      </c>
      <c r="AC49" s="26">
        <f>$I$6*$AC$6</f>
        <v>8038284.3301604018</v>
      </c>
      <c r="AD49" s="26">
        <f>$I$6*$AD$6</f>
        <v>0</v>
      </c>
      <c r="AE49" s="26">
        <f>$I$6*$AE$6</f>
        <v>0</v>
      </c>
      <c r="AF49" s="26">
        <f>$I$6*$AF$6</f>
        <v>0</v>
      </c>
      <c r="AG49" s="26">
        <f>$I$6*$AG$6</f>
        <v>0</v>
      </c>
      <c r="AH49" s="26">
        <f>$I$6*$AH$6</f>
        <v>0</v>
      </c>
    </row>
    <row r="50" spans="1:34" ht="11.25" customHeight="1" x14ac:dyDescent="0.25">
      <c r="A50" s="9" t="s">
        <v>35</v>
      </c>
      <c r="B50" s="9" t="s">
        <v>865</v>
      </c>
      <c r="C50" s="9" t="s">
        <v>866</v>
      </c>
      <c r="D50" s="9" t="s">
        <v>867</v>
      </c>
      <c r="E50" s="9" t="s">
        <v>868</v>
      </c>
      <c r="F50" s="9" t="s">
        <v>869</v>
      </c>
      <c r="G50" s="9" t="s">
        <v>870</v>
      </c>
      <c r="L50" s="26">
        <f>$I$7*$L$7</f>
        <v>0</v>
      </c>
      <c r="M50" s="26">
        <f>$I$7*$M$7</f>
        <v>0</v>
      </c>
      <c r="N50" s="26">
        <f>$I$7*$N$7</f>
        <v>0</v>
      </c>
      <c r="O50" s="26">
        <f>$I$7*$O$7</f>
        <v>0</v>
      </c>
      <c r="P50" s="26">
        <f>$I$7*$P$7</f>
        <v>0</v>
      </c>
      <c r="Q50" s="26">
        <f>$I$7*$Q$7</f>
        <v>0</v>
      </c>
      <c r="R50" s="26">
        <f>$I$7*$R$7</f>
        <v>0</v>
      </c>
      <c r="S50" s="26">
        <f>$I$7*$S$7</f>
        <v>0</v>
      </c>
      <c r="T50" s="26">
        <f>$I$7*$T$7</f>
        <v>0</v>
      </c>
      <c r="U50" s="26">
        <f>$I$7*$U$7</f>
        <v>0</v>
      </c>
      <c r="V50" s="26">
        <f>$I$7*$V$7</f>
        <v>0</v>
      </c>
      <c r="X50" s="26">
        <f>$I$7*$X$7</f>
        <v>0</v>
      </c>
      <c r="Y50" s="26">
        <f>$I$7*$Y$7</f>
        <v>0</v>
      </c>
      <c r="Z50" s="26">
        <f>$I$7*$Z$7</f>
        <v>0</v>
      </c>
      <c r="AA50" s="26">
        <f>$I$7*$AA$7</f>
        <v>0</v>
      </c>
      <c r="AB50" s="26">
        <f>$I$7*$AB$7</f>
        <v>0</v>
      </c>
      <c r="AC50" s="26">
        <f>$I$7*$AC$7</f>
        <v>0</v>
      </c>
      <c r="AD50" s="26">
        <f>$I$7*$AD$7</f>
        <v>0</v>
      </c>
      <c r="AE50" s="26">
        <f>$I$7*$AE$7</f>
        <v>0</v>
      </c>
      <c r="AF50" s="26">
        <f>$I$7*$AF$7</f>
        <v>0</v>
      </c>
      <c r="AG50" s="26">
        <f>$I$7*$AG$7</f>
        <v>0</v>
      </c>
      <c r="AH50" s="26">
        <f>$I$7*$AH$7</f>
        <v>0</v>
      </c>
    </row>
    <row r="51" spans="1:34" ht="11.25" customHeight="1" x14ac:dyDescent="0.25">
      <c r="A51" s="9" t="s">
        <v>22</v>
      </c>
      <c r="B51" s="9" t="s">
        <v>871</v>
      </c>
      <c r="C51" s="9" t="s">
        <v>872</v>
      </c>
      <c r="D51" s="9" t="s">
        <v>873</v>
      </c>
      <c r="E51" s="9" t="s">
        <v>874</v>
      </c>
      <c r="F51" s="9" t="s">
        <v>875</v>
      </c>
      <c r="G51" s="9" t="s">
        <v>876</v>
      </c>
      <c r="L51" s="26">
        <f>$I$8*$L$8</f>
        <v>0</v>
      </c>
      <c r="M51" s="26">
        <f>$I$8*$M$8</f>
        <v>0</v>
      </c>
      <c r="N51" s="26">
        <f>$I$8*$N$8</f>
        <v>0</v>
      </c>
      <c r="O51" s="26">
        <f>$I$8*$O$8</f>
        <v>0</v>
      </c>
      <c r="P51" s="26">
        <f>$I$8*$P$8</f>
        <v>0</v>
      </c>
      <c r="Q51" s="26">
        <f>$I$8*$Q$8</f>
        <v>0</v>
      </c>
      <c r="R51" s="26">
        <f>$I$8*$R$8</f>
        <v>0</v>
      </c>
      <c r="S51" s="26">
        <f>$I$8*$S$8</f>
        <v>0</v>
      </c>
      <c r="T51" s="26">
        <f>$I$8*$T$8</f>
        <v>0</v>
      </c>
      <c r="U51" s="26">
        <f>$I$8*$U$8</f>
        <v>0</v>
      </c>
      <c r="V51" s="26">
        <f>$I$8*$V$8</f>
        <v>0</v>
      </c>
      <c r="X51" s="26">
        <f>$I$8*$X$8</f>
        <v>0</v>
      </c>
      <c r="Y51" s="26">
        <f>$I$8*$Y$8</f>
        <v>0</v>
      </c>
      <c r="Z51" s="26">
        <f>$I$8*$Z$8</f>
        <v>0</v>
      </c>
      <c r="AA51" s="26">
        <f>$I$8*$AA$8</f>
        <v>0</v>
      </c>
      <c r="AB51" s="26">
        <f>$I$8*$AB$8</f>
        <v>0</v>
      </c>
      <c r="AC51" s="26">
        <f>$I$8*$AC$8</f>
        <v>0</v>
      </c>
      <c r="AD51" s="26">
        <f>$I$8*$AD$8</f>
        <v>0</v>
      </c>
      <c r="AE51" s="26">
        <f>$I$8*$AE$8</f>
        <v>0</v>
      </c>
      <c r="AF51" s="26">
        <f>$I$8*$AF$8</f>
        <v>0</v>
      </c>
      <c r="AG51" s="26">
        <f>$I$8*$AG$8</f>
        <v>0</v>
      </c>
      <c r="AH51" s="26">
        <f>$I$8*$AH$8</f>
        <v>0</v>
      </c>
    </row>
    <row r="52" spans="1:34" ht="11.25" customHeight="1" x14ac:dyDescent="0.25">
      <c r="A52" s="9" t="s">
        <v>22</v>
      </c>
      <c r="B52" s="9" t="s">
        <v>871</v>
      </c>
      <c r="C52" s="9" t="s">
        <v>872</v>
      </c>
      <c r="D52" s="9" t="s">
        <v>873</v>
      </c>
      <c r="E52" s="9" t="s">
        <v>874</v>
      </c>
      <c r="F52" s="9" t="s">
        <v>875</v>
      </c>
      <c r="G52" s="9" t="s">
        <v>877</v>
      </c>
      <c r="L52" s="26">
        <f>$I$9*$L$9</f>
        <v>0</v>
      </c>
      <c r="M52" s="26">
        <f>$I$9*$M$9</f>
        <v>0</v>
      </c>
      <c r="N52" s="26">
        <f>$I$9*$N$9</f>
        <v>0</v>
      </c>
      <c r="O52" s="26">
        <f>$I$9*$O$9</f>
        <v>0</v>
      </c>
      <c r="P52" s="26">
        <f>$I$9*$P$9</f>
        <v>0</v>
      </c>
      <c r="Q52" s="26">
        <f>$I$9*$Q$9</f>
        <v>0</v>
      </c>
      <c r="R52" s="26">
        <f>$I$9*$R$9</f>
        <v>0</v>
      </c>
      <c r="S52" s="26">
        <f>$I$9*$S$9</f>
        <v>0</v>
      </c>
      <c r="T52" s="26">
        <f>$I$9*$T$9</f>
        <v>0</v>
      </c>
      <c r="U52" s="26">
        <f>$I$9*$U$9</f>
        <v>0</v>
      </c>
      <c r="V52" s="26">
        <f>$I$9*$V$9</f>
        <v>0</v>
      </c>
      <c r="X52" s="26">
        <f>$I$9*$X$9</f>
        <v>0</v>
      </c>
      <c r="Y52" s="26">
        <f>$I$9*$Y$9</f>
        <v>0</v>
      </c>
      <c r="Z52" s="26">
        <f>$I$9*$Z$9</f>
        <v>0</v>
      </c>
      <c r="AA52" s="26">
        <f>$I$9*$AA$9</f>
        <v>0</v>
      </c>
      <c r="AB52" s="26">
        <f>$I$9*$AB$9</f>
        <v>0</v>
      </c>
      <c r="AC52" s="26">
        <f>$I$9*$AC$9</f>
        <v>0</v>
      </c>
      <c r="AD52" s="26">
        <f>$I$9*$AD$9</f>
        <v>0</v>
      </c>
      <c r="AE52" s="26">
        <f>$I$9*$AE$9</f>
        <v>0</v>
      </c>
      <c r="AF52" s="26">
        <f>$I$9*$AF$9</f>
        <v>0</v>
      </c>
      <c r="AG52" s="26">
        <f>$I$9*$AG$9</f>
        <v>0</v>
      </c>
      <c r="AH52" s="26">
        <f>$I$9*$AH$9</f>
        <v>0</v>
      </c>
    </row>
    <row r="53" spans="1:34" ht="11.25" customHeight="1" x14ac:dyDescent="0.25">
      <c r="A53" s="9" t="s">
        <v>22</v>
      </c>
      <c r="B53" s="9" t="s">
        <v>871</v>
      </c>
      <c r="C53" s="9" t="s">
        <v>872</v>
      </c>
      <c r="D53" s="9" t="s">
        <v>873</v>
      </c>
      <c r="E53" s="9" t="s">
        <v>874</v>
      </c>
      <c r="F53" s="9" t="s">
        <v>875</v>
      </c>
      <c r="G53" s="9" t="s">
        <v>878</v>
      </c>
      <c r="L53" s="26">
        <f>$I$10*$L$10</f>
        <v>0</v>
      </c>
      <c r="M53" s="26">
        <f>$I$10*$M$10</f>
        <v>0</v>
      </c>
      <c r="N53" s="26">
        <f>$I$10*$N$10</f>
        <v>0</v>
      </c>
      <c r="O53" s="26">
        <f>$I$10*$O$10</f>
        <v>0</v>
      </c>
      <c r="P53" s="26">
        <f>$I$10*$P$10</f>
        <v>0</v>
      </c>
      <c r="Q53" s="26">
        <f>$I$10*$Q$10</f>
        <v>0</v>
      </c>
      <c r="R53" s="26">
        <f>$I$10*$R$10</f>
        <v>0</v>
      </c>
      <c r="S53" s="26">
        <f>$I$10*$S$10</f>
        <v>0</v>
      </c>
      <c r="T53" s="26">
        <f>$I$10*$T$10</f>
        <v>0</v>
      </c>
      <c r="U53" s="26">
        <f>$I$10*$U$10</f>
        <v>0</v>
      </c>
      <c r="V53" s="26">
        <f>$I$10*$V$10</f>
        <v>0</v>
      </c>
      <c r="X53" s="26">
        <f>$I$10*$X$10</f>
        <v>0</v>
      </c>
      <c r="Y53" s="26">
        <f>$I$10*$Y$10</f>
        <v>0</v>
      </c>
      <c r="Z53" s="26">
        <f>$I$10*$Z$10</f>
        <v>0</v>
      </c>
      <c r="AA53" s="26">
        <f>$I$10*$AA$10</f>
        <v>0</v>
      </c>
      <c r="AB53" s="26">
        <f>$I$10*$AB$10</f>
        <v>0</v>
      </c>
      <c r="AC53" s="26">
        <f>$I$10*$AC$10</f>
        <v>0</v>
      </c>
      <c r="AD53" s="26">
        <f>$I$10*$AD$10</f>
        <v>0</v>
      </c>
      <c r="AE53" s="26">
        <f>$I$10*$AE$10</f>
        <v>0</v>
      </c>
      <c r="AF53" s="26">
        <f>$I$10*$AF$10</f>
        <v>0</v>
      </c>
      <c r="AG53" s="26">
        <f>$I$10*$AG$10</f>
        <v>0</v>
      </c>
      <c r="AH53" s="26">
        <f>$I$10*$AH$10</f>
        <v>0</v>
      </c>
    </row>
    <row r="54" spans="1:34" ht="11.25" customHeight="1" x14ac:dyDescent="0.25">
      <c r="A54" s="9" t="s">
        <v>22</v>
      </c>
      <c r="B54" s="9" t="s">
        <v>879</v>
      </c>
      <c r="C54" s="9" t="s">
        <v>880</v>
      </c>
      <c r="D54" s="9" t="s">
        <v>881</v>
      </c>
      <c r="E54" s="9" t="s">
        <v>882</v>
      </c>
      <c r="F54" s="9" t="s">
        <v>883</v>
      </c>
      <c r="G54" s="9" t="s">
        <v>884</v>
      </c>
      <c r="L54" s="26">
        <f>$I$11*$L$11</f>
        <v>0</v>
      </c>
      <c r="M54" s="26">
        <f>$I$11*$M$11</f>
        <v>125081.95059204537</v>
      </c>
      <c r="N54" s="26">
        <f>$I$11*$N$11</f>
        <v>0</v>
      </c>
      <c r="O54" s="26">
        <f>$I$11*$O$11</f>
        <v>0</v>
      </c>
      <c r="P54" s="26">
        <f>$I$11*$P$11</f>
        <v>-71098.168503457389</v>
      </c>
      <c r="Q54" s="26">
        <f>$I$11*$Q$11</f>
        <v>860128.79442270717</v>
      </c>
      <c r="R54" s="26">
        <f>$I$11*$R$11</f>
        <v>0</v>
      </c>
      <c r="S54" s="26">
        <f>$I$11*$S$11</f>
        <v>0</v>
      </c>
      <c r="T54" s="26">
        <f>$I$11*$T$11</f>
        <v>0</v>
      </c>
      <c r="U54" s="26">
        <f>$I$11*$U$11</f>
        <v>0</v>
      </c>
      <c r="V54" s="26">
        <f>$I$11*$V$11</f>
        <v>30173.876453824803</v>
      </c>
      <c r="X54" s="26">
        <f>$I$11*$X$11</f>
        <v>0</v>
      </c>
      <c r="Y54" s="26">
        <f>$I$11*$Y$11</f>
        <v>13642.222593346771</v>
      </c>
      <c r="Z54" s="26">
        <f>$I$11*$Z$11</f>
        <v>0</v>
      </c>
      <c r="AA54" s="26">
        <f>$I$11*$AA$11</f>
        <v>0</v>
      </c>
      <c r="AB54" s="26">
        <f>$I$11*$AB$11</f>
        <v>0</v>
      </c>
      <c r="AC54" s="26">
        <f>$I$11*$AC$11</f>
        <v>1002580.5091693127</v>
      </c>
      <c r="AD54" s="26">
        <f>$I$11*$AD$11</f>
        <v>0</v>
      </c>
      <c r="AE54" s="26">
        <f>$I$11*$AE$11</f>
        <v>0</v>
      </c>
      <c r="AF54" s="26">
        <f>$I$11*$AF$11</f>
        <v>0</v>
      </c>
      <c r="AG54" s="26">
        <f>$I$11*$AG$11</f>
        <v>0</v>
      </c>
      <c r="AH54" s="26">
        <f>$I$11*$AH$11</f>
        <v>0</v>
      </c>
    </row>
    <row r="55" spans="1:34" ht="11.25" customHeight="1" x14ac:dyDescent="0.25">
      <c r="A55" s="9" t="s">
        <v>22</v>
      </c>
      <c r="B55" s="9" t="s">
        <v>879</v>
      </c>
      <c r="C55" s="9" t="s">
        <v>880</v>
      </c>
      <c r="D55" s="9" t="s">
        <v>885</v>
      </c>
      <c r="E55" s="9" t="s">
        <v>886</v>
      </c>
      <c r="F55" s="9" t="s">
        <v>887</v>
      </c>
      <c r="G55" s="9" t="s">
        <v>888</v>
      </c>
      <c r="L55" s="26">
        <f>$I$12*$L$12</f>
        <v>0</v>
      </c>
      <c r="M55" s="26">
        <f>$I$12*$M$12</f>
        <v>257.8139303714724</v>
      </c>
      <c r="N55" s="26">
        <f>$I$12*$N$12</f>
        <v>0</v>
      </c>
      <c r="O55" s="26">
        <f>$I$12*$O$12</f>
        <v>0</v>
      </c>
      <c r="P55" s="26">
        <f>$I$12*$P$12</f>
        <v>-146.54471070628864</v>
      </c>
      <c r="Q55" s="26">
        <f>$I$12*$Q$12</f>
        <v>1772.863183426377</v>
      </c>
      <c r="R55" s="26">
        <f>$I$12*$R$12</f>
        <v>0</v>
      </c>
      <c r="S55" s="26">
        <f>$I$12*$S$12</f>
        <v>0</v>
      </c>
      <c r="T55" s="26">
        <f>$I$12*$T$12</f>
        <v>0</v>
      </c>
      <c r="U55" s="26">
        <f>$I$12*$U$12</f>
        <v>0</v>
      </c>
      <c r="V55" s="26">
        <f>$I$12*$V$12</f>
        <v>62.193191314035388</v>
      </c>
      <c r="X55" s="26">
        <f>$I$12*$X$12</f>
        <v>0</v>
      </c>
      <c r="Y55" s="26">
        <f>$I$12*$Y$12</f>
        <v>28.118805384354999</v>
      </c>
      <c r="Z55" s="26">
        <f>$I$12*$Z$12</f>
        <v>0</v>
      </c>
      <c r="AA55" s="26">
        <f>$I$12*$AA$12</f>
        <v>0</v>
      </c>
      <c r="AB55" s="26">
        <f>$I$12*$AB$12</f>
        <v>0</v>
      </c>
      <c r="AC55" s="26">
        <f>$I$12*$AC$12</f>
        <v>2066.4789792557863</v>
      </c>
      <c r="AD55" s="26">
        <f>$I$12*$AD$12</f>
        <v>0</v>
      </c>
      <c r="AE55" s="26">
        <f>$I$12*$AE$12</f>
        <v>0</v>
      </c>
      <c r="AF55" s="26">
        <f>$I$12*$AF$12</f>
        <v>0</v>
      </c>
      <c r="AG55" s="26">
        <f>$I$12*$AG$12</f>
        <v>0</v>
      </c>
      <c r="AH55" s="26">
        <f>$I$12*$AH$12</f>
        <v>0</v>
      </c>
    </row>
    <row r="56" spans="1:34" ht="11.25" customHeight="1" x14ac:dyDescent="0.25">
      <c r="A56" s="9" t="s">
        <v>22</v>
      </c>
      <c r="B56" s="9" t="s">
        <v>879</v>
      </c>
      <c r="C56" s="9" t="s">
        <v>880</v>
      </c>
      <c r="D56" s="9" t="s">
        <v>889</v>
      </c>
      <c r="E56" s="9" t="s">
        <v>890</v>
      </c>
      <c r="F56" s="9" t="s">
        <v>891</v>
      </c>
      <c r="G56" s="9" t="s">
        <v>892</v>
      </c>
      <c r="L56" s="26">
        <f>$I$13*$L$13</f>
        <v>0</v>
      </c>
      <c r="M56" s="26">
        <f>$I$13*$M$13</f>
        <v>789.19730384155753</v>
      </c>
      <c r="N56" s="26">
        <f>$I$13*$N$13</f>
        <v>0</v>
      </c>
      <c r="O56" s="26">
        <f>$I$13*$O$13</f>
        <v>0</v>
      </c>
      <c r="P56" s="26">
        <f>$I$13*$P$13</f>
        <v>-448.58976555303002</v>
      </c>
      <c r="Q56" s="26">
        <f>$I$13*$Q$13</f>
        <v>5426.9326813493035</v>
      </c>
      <c r="R56" s="26">
        <f>$I$13*$R$13</f>
        <v>0</v>
      </c>
      <c r="S56" s="26">
        <f>$I$13*$S$13</f>
        <v>0</v>
      </c>
      <c r="T56" s="26">
        <f>$I$13*$T$13</f>
        <v>0</v>
      </c>
      <c r="U56" s="26">
        <f>$I$13*$U$13</f>
        <v>0</v>
      </c>
      <c r="V56" s="26">
        <f>$I$13*$V$13</f>
        <v>190.38032131009317</v>
      </c>
      <c r="X56" s="26">
        <f>$I$13*$X$13</f>
        <v>0</v>
      </c>
      <c r="Y56" s="26">
        <f>$I$13*$Y$13</f>
        <v>86.074811258662507</v>
      </c>
      <c r="Z56" s="26">
        <f>$I$13*$Z$13</f>
        <v>0</v>
      </c>
      <c r="AA56" s="26">
        <f>$I$13*$AA$13</f>
        <v>0</v>
      </c>
      <c r="AB56" s="26">
        <f>$I$13*$AB$13</f>
        <v>0</v>
      </c>
      <c r="AC56" s="26">
        <f>$I$13*$AC$13</f>
        <v>6325.7235034743499</v>
      </c>
      <c r="AD56" s="26">
        <f>$I$13*$AD$13</f>
        <v>0</v>
      </c>
      <c r="AE56" s="26">
        <f>$I$13*$AE$13</f>
        <v>0</v>
      </c>
      <c r="AF56" s="26">
        <f>$I$13*$AF$13</f>
        <v>0</v>
      </c>
      <c r="AG56" s="26">
        <f>$I$13*$AG$13</f>
        <v>0</v>
      </c>
      <c r="AH56" s="26">
        <f>$I$13*$AH$13</f>
        <v>0</v>
      </c>
    </row>
    <row r="57" spans="1:34" ht="11.25" customHeight="1" x14ac:dyDescent="0.25">
      <c r="A57" s="9" t="s">
        <v>22</v>
      </c>
      <c r="B57" s="9" t="s">
        <v>879</v>
      </c>
      <c r="C57" s="9" t="s">
        <v>880</v>
      </c>
      <c r="D57" s="9" t="s">
        <v>893</v>
      </c>
      <c r="E57" s="9" t="s">
        <v>894</v>
      </c>
      <c r="F57" s="9" t="s">
        <v>895</v>
      </c>
      <c r="G57" s="9" t="s">
        <v>896</v>
      </c>
      <c r="L57" s="26">
        <f>$I$14*$L$14</f>
        <v>0</v>
      </c>
      <c r="M57" s="26">
        <f>$I$14*$M$14</f>
        <v>916.53028002654094</v>
      </c>
      <c r="N57" s="26">
        <f>$I$14*$N$14</f>
        <v>0</v>
      </c>
      <c r="O57" s="26">
        <f>$I$14*$O$14</f>
        <v>0</v>
      </c>
      <c r="P57" s="26">
        <f>$I$14*$P$14</f>
        <v>-520.96744557797206</v>
      </c>
      <c r="Q57" s="26">
        <f>$I$14*$Q$14</f>
        <v>6302.5407029531025</v>
      </c>
      <c r="R57" s="26">
        <f>$I$14*$R$14</f>
        <v>0</v>
      </c>
      <c r="S57" s="26">
        <f>$I$14*$S$14</f>
        <v>0</v>
      </c>
      <c r="T57" s="26">
        <f>$I$14*$T$14</f>
        <v>0</v>
      </c>
      <c r="U57" s="26">
        <f>$I$14*$U$14</f>
        <v>0</v>
      </c>
      <c r="V57" s="26">
        <f>$I$14*$V$14</f>
        <v>221.09721910164265</v>
      </c>
      <c r="X57" s="26">
        <f>$I$14*$X$14</f>
        <v>0</v>
      </c>
      <c r="Y57" s="26">
        <f>$I$14*$Y$14</f>
        <v>99.962544831465564</v>
      </c>
      <c r="Z57" s="26">
        <f>$I$14*$Z$14</f>
        <v>0</v>
      </c>
      <c r="AA57" s="26">
        <f>$I$14*$AA$14</f>
        <v>0</v>
      </c>
      <c r="AB57" s="26">
        <f>$I$14*$AB$14</f>
        <v>0</v>
      </c>
      <c r="AC57" s="26">
        <f>$I$14*$AC$14</f>
        <v>7346.346858749248</v>
      </c>
      <c r="AD57" s="26">
        <f>$I$14*$AD$14</f>
        <v>0</v>
      </c>
      <c r="AE57" s="26">
        <f>$I$14*$AE$14</f>
        <v>0</v>
      </c>
      <c r="AF57" s="26">
        <f>$I$14*$AF$14</f>
        <v>0</v>
      </c>
      <c r="AG57" s="26">
        <f>$I$14*$AG$14</f>
        <v>0</v>
      </c>
      <c r="AH57" s="26">
        <f>$I$14*$AH$14</f>
        <v>0</v>
      </c>
    </row>
    <row r="58" spans="1:34" ht="11.25" customHeight="1" x14ac:dyDescent="0.25">
      <c r="A58" s="9" t="s">
        <v>22</v>
      </c>
      <c r="B58" s="9" t="s">
        <v>879</v>
      </c>
      <c r="C58" s="9" t="s">
        <v>880</v>
      </c>
      <c r="D58" s="9" t="s">
        <v>897</v>
      </c>
      <c r="E58" s="9" t="s">
        <v>898</v>
      </c>
      <c r="F58" s="9" t="s">
        <v>899</v>
      </c>
      <c r="G58" s="9" t="s">
        <v>900</v>
      </c>
      <c r="L58" s="26">
        <f>$I$15*$L$15</f>
        <v>0</v>
      </c>
      <c r="M58" s="26">
        <f>$I$15*$M$15</f>
        <v>262.33150012549459</v>
      </c>
      <c r="N58" s="26">
        <f>$I$15*$N$15</f>
        <v>0</v>
      </c>
      <c r="O58" s="26">
        <f>$I$15*$O$15</f>
        <v>0</v>
      </c>
      <c r="P58" s="26">
        <f>$I$15*$P$15</f>
        <v>-149.11255470038461</v>
      </c>
      <c r="Q58" s="26">
        <f>$I$15*$Q$15</f>
        <v>1803.9283515649902</v>
      </c>
      <c r="R58" s="26">
        <f>$I$15*$R$15</f>
        <v>0</v>
      </c>
      <c r="S58" s="26">
        <f>$I$15*$S$15</f>
        <v>0</v>
      </c>
      <c r="T58" s="26">
        <f>$I$15*$T$15</f>
        <v>0</v>
      </c>
      <c r="U58" s="26">
        <f>$I$15*$U$15</f>
        <v>0</v>
      </c>
      <c r="V58" s="26">
        <f>$I$15*$V$15</f>
        <v>63.282977578034291</v>
      </c>
      <c r="X58" s="26">
        <f>$I$15*$X$15</f>
        <v>0</v>
      </c>
      <c r="Y58" s="26">
        <f>$I$15*$Y$15</f>
        <v>28.611519895710419</v>
      </c>
      <c r="Z58" s="26">
        <f>$I$15*$Z$15</f>
        <v>0</v>
      </c>
      <c r="AA58" s="26">
        <f>$I$15*$AA$15</f>
        <v>0</v>
      </c>
      <c r="AB58" s="26">
        <f>$I$15*$AB$15</f>
        <v>0</v>
      </c>
      <c r="AC58" s="26">
        <f>$I$15*$AC$15</f>
        <v>2102.6890588296765</v>
      </c>
      <c r="AD58" s="26">
        <f>$I$15*$AD$15</f>
        <v>0</v>
      </c>
      <c r="AE58" s="26">
        <f>$I$15*$AE$15</f>
        <v>0</v>
      </c>
      <c r="AF58" s="26">
        <f>$I$15*$AF$15</f>
        <v>0</v>
      </c>
      <c r="AG58" s="26">
        <f>$I$15*$AG$15</f>
        <v>0</v>
      </c>
      <c r="AH58" s="26">
        <f>$I$15*$AH$15</f>
        <v>0</v>
      </c>
    </row>
    <row r="59" spans="1:34" ht="11.25" customHeight="1" x14ac:dyDescent="0.25">
      <c r="A59" s="9" t="s">
        <v>22</v>
      </c>
      <c r="B59" s="9" t="s">
        <v>901</v>
      </c>
      <c r="C59" s="9" t="s">
        <v>902</v>
      </c>
      <c r="D59" s="9" t="s">
        <v>903</v>
      </c>
      <c r="E59" s="9" t="s">
        <v>904</v>
      </c>
      <c r="F59" s="9" t="s">
        <v>905</v>
      </c>
      <c r="G59" s="9" t="s">
        <v>906</v>
      </c>
      <c r="L59" s="26">
        <f>$I$16*$L$16</f>
        <v>0</v>
      </c>
      <c r="M59" s="26">
        <f>$I$16*$M$16</f>
        <v>0</v>
      </c>
      <c r="N59" s="26">
        <f>$I$16*$N$16</f>
        <v>0</v>
      </c>
      <c r="O59" s="26">
        <f>$I$16*$O$16</f>
        <v>0</v>
      </c>
      <c r="P59" s="26">
        <f>$I$16*$P$16</f>
        <v>0</v>
      </c>
      <c r="Q59" s="26">
        <f>$I$16*$Q$16</f>
        <v>0</v>
      </c>
      <c r="R59" s="26">
        <f>$I$16*$R$16</f>
        <v>0</v>
      </c>
      <c r="S59" s="26">
        <f>$I$16*$S$16</f>
        <v>0</v>
      </c>
      <c r="T59" s="26">
        <f>$I$16*$T$16</f>
        <v>0</v>
      </c>
      <c r="U59" s="26">
        <f>$I$16*$U$16</f>
        <v>0</v>
      </c>
      <c r="V59" s="26">
        <f>$I$16*$V$16</f>
        <v>0</v>
      </c>
      <c r="X59" s="26">
        <f>$I$16*$X$16</f>
        <v>0</v>
      </c>
      <c r="Y59" s="26">
        <f>$I$16*$Y$16</f>
        <v>0</v>
      </c>
      <c r="Z59" s="26">
        <f>$I$16*$Z$16</f>
        <v>0</v>
      </c>
      <c r="AA59" s="26">
        <f>$I$16*$AA$16</f>
        <v>0</v>
      </c>
      <c r="AB59" s="26">
        <f>$I$16*$AB$16</f>
        <v>0</v>
      </c>
      <c r="AC59" s="26">
        <f>$I$16*$AC$16</f>
        <v>0</v>
      </c>
      <c r="AD59" s="26">
        <f>$I$16*$AD$16</f>
        <v>0</v>
      </c>
      <c r="AE59" s="26">
        <f>$I$16*$AE$16</f>
        <v>0</v>
      </c>
      <c r="AF59" s="26">
        <f>$I$16*$AF$16</f>
        <v>0</v>
      </c>
      <c r="AG59" s="26">
        <f>$I$16*$AG$16</f>
        <v>0</v>
      </c>
      <c r="AH59" s="26">
        <f>$I$16*$AH$16</f>
        <v>0</v>
      </c>
    </row>
    <row r="60" spans="1:34" ht="11.25" customHeight="1" x14ac:dyDescent="0.25">
      <c r="A60" s="9" t="s">
        <v>22</v>
      </c>
      <c r="B60" s="9" t="s">
        <v>901</v>
      </c>
      <c r="C60" s="9" t="s">
        <v>902</v>
      </c>
      <c r="D60" s="9" t="s">
        <v>907</v>
      </c>
      <c r="E60" s="9" t="s">
        <v>908</v>
      </c>
      <c r="F60" s="9" t="s">
        <v>909</v>
      </c>
      <c r="G60" s="9" t="s">
        <v>910</v>
      </c>
      <c r="L60" s="26">
        <f>$I$17*$L$17</f>
        <v>0</v>
      </c>
      <c r="M60" s="26">
        <f>$I$17*$M$17</f>
        <v>0</v>
      </c>
      <c r="N60" s="26">
        <f>$I$17*$N$17</f>
        <v>0</v>
      </c>
      <c r="O60" s="26">
        <f>$I$17*$O$17</f>
        <v>0</v>
      </c>
      <c r="P60" s="26">
        <f>$I$17*$P$17</f>
        <v>0</v>
      </c>
      <c r="Q60" s="26">
        <f>$I$17*$Q$17</f>
        <v>0</v>
      </c>
      <c r="R60" s="26">
        <f>$I$17*$R$17</f>
        <v>0</v>
      </c>
      <c r="S60" s="26">
        <f>$I$17*$S$17</f>
        <v>0</v>
      </c>
      <c r="T60" s="26">
        <f>$I$17*$T$17</f>
        <v>0</v>
      </c>
      <c r="U60" s="26">
        <f>$I$17*$U$17</f>
        <v>0</v>
      </c>
      <c r="V60" s="26">
        <f>$I$17*$V$17</f>
        <v>0</v>
      </c>
      <c r="X60" s="26">
        <f>$I$17*$X$17</f>
        <v>0</v>
      </c>
      <c r="Y60" s="26">
        <f>$I$17*$Y$17</f>
        <v>0</v>
      </c>
      <c r="Z60" s="26">
        <f>$I$17*$Z$17</f>
        <v>0</v>
      </c>
      <c r="AA60" s="26">
        <f>$I$17*$AA$17</f>
        <v>0</v>
      </c>
      <c r="AB60" s="26">
        <f>$I$17*$AB$17</f>
        <v>0</v>
      </c>
      <c r="AC60" s="26">
        <f>$I$17*$AC$17</f>
        <v>0</v>
      </c>
      <c r="AD60" s="26">
        <f>$I$17*$AD$17</f>
        <v>0</v>
      </c>
      <c r="AE60" s="26">
        <f>$I$17*$AE$17</f>
        <v>0</v>
      </c>
      <c r="AF60" s="26">
        <f>$I$17*$AF$17</f>
        <v>0</v>
      </c>
      <c r="AG60" s="26">
        <f>$I$17*$AG$17</f>
        <v>0</v>
      </c>
      <c r="AH60" s="26">
        <f>$I$17*$AH$17</f>
        <v>0</v>
      </c>
    </row>
    <row r="61" spans="1:34" ht="11.25" customHeight="1" x14ac:dyDescent="0.25">
      <c r="A61" s="9" t="s">
        <v>22</v>
      </c>
      <c r="B61" s="9" t="s">
        <v>901</v>
      </c>
      <c r="C61" s="9" t="s">
        <v>902</v>
      </c>
      <c r="D61" s="9" t="s">
        <v>911</v>
      </c>
      <c r="E61" s="9" t="s">
        <v>912</v>
      </c>
      <c r="F61" s="9" t="s">
        <v>913</v>
      </c>
      <c r="G61" s="9" t="s">
        <v>914</v>
      </c>
      <c r="L61" s="26">
        <f>$I$18*$L$18</f>
        <v>0</v>
      </c>
      <c r="M61" s="26">
        <f>$I$18*$M$18</f>
        <v>0</v>
      </c>
      <c r="N61" s="26">
        <f>$I$18*$N$18</f>
        <v>0</v>
      </c>
      <c r="O61" s="26">
        <f>$I$18*$O$18</f>
        <v>0</v>
      </c>
      <c r="P61" s="26">
        <f>$I$18*$P$18</f>
        <v>0</v>
      </c>
      <c r="Q61" s="26">
        <f>$I$18*$Q$18</f>
        <v>0</v>
      </c>
      <c r="R61" s="26">
        <f>$I$18*$R$18</f>
        <v>0</v>
      </c>
      <c r="S61" s="26">
        <f>$I$18*$S$18</f>
        <v>0</v>
      </c>
      <c r="T61" s="26">
        <f>$I$18*$T$18</f>
        <v>0</v>
      </c>
      <c r="U61" s="26">
        <f>$I$18*$U$18</f>
        <v>0</v>
      </c>
      <c r="V61" s="26">
        <f>$I$18*$V$18</f>
        <v>0</v>
      </c>
      <c r="X61" s="26">
        <f>$I$18*$X$18</f>
        <v>0</v>
      </c>
      <c r="Y61" s="26">
        <f>$I$18*$Y$18</f>
        <v>0</v>
      </c>
      <c r="Z61" s="26">
        <f>$I$18*$Z$18</f>
        <v>0</v>
      </c>
      <c r="AA61" s="26">
        <f>$I$18*$AA$18</f>
        <v>0</v>
      </c>
      <c r="AB61" s="26">
        <f>$I$18*$AB$18</f>
        <v>0</v>
      </c>
      <c r="AC61" s="26">
        <f>$I$18*$AC$18</f>
        <v>0</v>
      </c>
      <c r="AD61" s="26">
        <f>$I$18*$AD$18</f>
        <v>0</v>
      </c>
      <c r="AE61" s="26">
        <f>$I$18*$AE$18</f>
        <v>0</v>
      </c>
      <c r="AF61" s="26">
        <f>$I$18*$AF$18</f>
        <v>0</v>
      </c>
      <c r="AG61" s="26">
        <f>$I$18*$AG$18</f>
        <v>0</v>
      </c>
      <c r="AH61" s="26">
        <f>$I$18*$AH$18</f>
        <v>0</v>
      </c>
    </row>
    <row r="62" spans="1:34" ht="11.25" customHeight="1" x14ac:dyDescent="0.25">
      <c r="A62" s="9" t="s">
        <v>22</v>
      </c>
      <c r="B62" s="9" t="s">
        <v>901</v>
      </c>
      <c r="C62" s="9" t="s">
        <v>902</v>
      </c>
      <c r="D62" s="9" t="s">
        <v>915</v>
      </c>
      <c r="E62" s="9" t="s">
        <v>916</v>
      </c>
      <c r="F62" s="9" t="s">
        <v>917</v>
      </c>
      <c r="G62" s="9" t="s">
        <v>918</v>
      </c>
      <c r="L62" s="26">
        <f>$I$19*$L$19</f>
        <v>0</v>
      </c>
      <c r="M62" s="26">
        <f>$I$19*$M$19</f>
        <v>0</v>
      </c>
      <c r="N62" s="26">
        <f>$I$19*$N$19</f>
        <v>0</v>
      </c>
      <c r="O62" s="26">
        <f>$I$19*$O$19</f>
        <v>0</v>
      </c>
      <c r="P62" s="26">
        <f>$I$19*$P$19</f>
        <v>0</v>
      </c>
      <c r="Q62" s="26">
        <f>$I$19*$Q$19</f>
        <v>0</v>
      </c>
      <c r="R62" s="26">
        <f>$I$19*$R$19</f>
        <v>0</v>
      </c>
      <c r="S62" s="26">
        <f>$I$19*$S$19</f>
        <v>0</v>
      </c>
      <c r="T62" s="26">
        <f>$I$19*$T$19</f>
        <v>0</v>
      </c>
      <c r="U62" s="26">
        <f>$I$19*$U$19</f>
        <v>0</v>
      </c>
      <c r="V62" s="26">
        <f>$I$19*$V$19</f>
        <v>0</v>
      </c>
      <c r="X62" s="26">
        <f>$I$19*$X$19</f>
        <v>0</v>
      </c>
      <c r="Y62" s="26">
        <f>$I$19*$Y$19</f>
        <v>0</v>
      </c>
      <c r="Z62" s="26">
        <f>$I$19*$Z$19</f>
        <v>0</v>
      </c>
      <c r="AA62" s="26">
        <f>$I$19*$AA$19</f>
        <v>0</v>
      </c>
      <c r="AB62" s="26">
        <f>$I$19*$AB$19</f>
        <v>0</v>
      </c>
      <c r="AC62" s="26">
        <f>$I$19*$AC$19</f>
        <v>0</v>
      </c>
      <c r="AD62" s="26">
        <f>$I$19*$AD$19</f>
        <v>0</v>
      </c>
      <c r="AE62" s="26">
        <f>$I$19*$AE$19</f>
        <v>0</v>
      </c>
      <c r="AF62" s="26">
        <f>$I$19*$AF$19</f>
        <v>0</v>
      </c>
      <c r="AG62" s="26">
        <f>$I$19*$AG$19</f>
        <v>0</v>
      </c>
      <c r="AH62" s="26">
        <f>$I$19*$AH$19</f>
        <v>0</v>
      </c>
    </row>
    <row r="63" spans="1:34" ht="11.25" customHeight="1" x14ac:dyDescent="0.25">
      <c r="A63" s="9" t="s">
        <v>22</v>
      </c>
      <c r="B63" s="9" t="s">
        <v>901</v>
      </c>
      <c r="C63" s="9" t="s">
        <v>902</v>
      </c>
      <c r="D63" s="9" t="s">
        <v>919</v>
      </c>
      <c r="E63" s="9" t="s">
        <v>920</v>
      </c>
      <c r="F63" s="9" t="s">
        <v>921</v>
      </c>
      <c r="G63" s="9" t="s">
        <v>922</v>
      </c>
      <c r="L63" s="26">
        <f>$I$20*$L$20</f>
        <v>0</v>
      </c>
      <c r="M63" s="26">
        <f>$I$20*$M$20</f>
        <v>0</v>
      </c>
      <c r="N63" s="26">
        <f>$I$20*$N$20</f>
        <v>0</v>
      </c>
      <c r="O63" s="26">
        <f>$I$20*$O$20</f>
        <v>0</v>
      </c>
      <c r="P63" s="26">
        <f>$I$20*$P$20</f>
        <v>0</v>
      </c>
      <c r="Q63" s="26">
        <f>$I$20*$Q$20</f>
        <v>0</v>
      </c>
      <c r="R63" s="26">
        <f>$I$20*$R$20</f>
        <v>0</v>
      </c>
      <c r="S63" s="26">
        <f>$I$20*$S$20</f>
        <v>0</v>
      </c>
      <c r="T63" s="26">
        <f>$I$20*$T$20</f>
        <v>0</v>
      </c>
      <c r="U63" s="26">
        <f>$I$20*$U$20</f>
        <v>0</v>
      </c>
      <c r="V63" s="26">
        <f>$I$20*$V$20</f>
        <v>0</v>
      </c>
      <c r="X63" s="26">
        <f>$I$20*$X$20</f>
        <v>0</v>
      </c>
      <c r="Y63" s="26">
        <f>$I$20*$Y$20</f>
        <v>0</v>
      </c>
      <c r="Z63" s="26">
        <f>$I$20*$Z$20</f>
        <v>0</v>
      </c>
      <c r="AA63" s="26">
        <f>$I$20*$AA$20</f>
        <v>0</v>
      </c>
      <c r="AB63" s="26">
        <f>$I$20*$AB$20</f>
        <v>0</v>
      </c>
      <c r="AC63" s="26">
        <f>$I$20*$AC$20</f>
        <v>0</v>
      </c>
      <c r="AD63" s="26">
        <f>$I$20*$AD$20</f>
        <v>0</v>
      </c>
      <c r="AE63" s="26">
        <f>$I$20*$AE$20</f>
        <v>0</v>
      </c>
      <c r="AF63" s="26">
        <f>$I$20*$AF$20</f>
        <v>0</v>
      </c>
      <c r="AG63" s="26">
        <f>$I$20*$AG$20</f>
        <v>0</v>
      </c>
      <c r="AH63" s="26">
        <f>$I$20*$AH$20</f>
        <v>0</v>
      </c>
    </row>
    <row r="64" spans="1:34" ht="11.25" customHeight="1" x14ac:dyDescent="0.25">
      <c r="A64" s="9" t="s">
        <v>41</v>
      </c>
      <c r="B64" s="9" t="s">
        <v>923</v>
      </c>
      <c r="C64" s="9" t="s">
        <v>924</v>
      </c>
      <c r="D64" s="9" t="s">
        <v>925</v>
      </c>
      <c r="E64" s="9" t="s">
        <v>926</v>
      </c>
      <c r="F64" s="9" t="s">
        <v>927</v>
      </c>
      <c r="G64" s="9" t="s">
        <v>928</v>
      </c>
      <c r="L64" s="26">
        <f>$I$21*$L$21</f>
        <v>0</v>
      </c>
      <c r="M64" s="26">
        <f>$I$21*$M$21</f>
        <v>0</v>
      </c>
      <c r="N64" s="26">
        <f>$I$21*$N$21</f>
        <v>0</v>
      </c>
      <c r="O64" s="26">
        <f>$I$21*$O$21</f>
        <v>0</v>
      </c>
      <c r="P64" s="26">
        <f>$I$21*$P$21</f>
        <v>0</v>
      </c>
      <c r="Q64" s="26">
        <f>$I$21*$Q$21</f>
        <v>0</v>
      </c>
      <c r="R64" s="26">
        <f>$I$21*$R$21</f>
        <v>0</v>
      </c>
      <c r="S64" s="26">
        <f>$I$21*$S$21</f>
        <v>0</v>
      </c>
      <c r="T64" s="26">
        <f>$I$21*$T$21</f>
        <v>0</v>
      </c>
      <c r="U64" s="26">
        <f>$I$21*$U$21</f>
        <v>0</v>
      </c>
      <c r="V64" s="26">
        <f>$I$21*$V$21</f>
        <v>0</v>
      </c>
      <c r="X64" s="26">
        <f>$I$21*$X$21</f>
        <v>0</v>
      </c>
      <c r="Y64" s="26">
        <f>$I$21*$Y$21</f>
        <v>0</v>
      </c>
      <c r="Z64" s="26">
        <f>$I$21*$Z$21</f>
        <v>0</v>
      </c>
      <c r="AA64" s="26">
        <f>$I$21*$AA$21</f>
        <v>0</v>
      </c>
      <c r="AB64" s="26">
        <f>$I$21*$AB$21</f>
        <v>0</v>
      </c>
      <c r="AC64" s="26">
        <f>$I$21*$AC$21</f>
        <v>0</v>
      </c>
      <c r="AD64" s="26">
        <f>$I$21*$AD$21</f>
        <v>0</v>
      </c>
      <c r="AE64" s="26">
        <f>$I$21*$AE$21</f>
        <v>0</v>
      </c>
      <c r="AF64" s="26">
        <f>$I$21*$AF$21</f>
        <v>0</v>
      </c>
      <c r="AG64" s="26">
        <f>$I$21*$AG$21</f>
        <v>0</v>
      </c>
      <c r="AH64" s="26">
        <f>$I$21*$AH$21</f>
        <v>0</v>
      </c>
    </row>
    <row r="65" spans="1:34" ht="11.25" customHeight="1" x14ac:dyDescent="0.25">
      <c r="A65" s="9" t="s">
        <v>41</v>
      </c>
      <c r="B65" s="9" t="s">
        <v>923</v>
      </c>
      <c r="C65" s="9" t="s">
        <v>924</v>
      </c>
      <c r="D65" s="9" t="s">
        <v>925</v>
      </c>
      <c r="E65" s="9" t="s">
        <v>926</v>
      </c>
      <c r="F65" s="9" t="s">
        <v>927</v>
      </c>
      <c r="G65" s="9" t="s">
        <v>929</v>
      </c>
      <c r="L65" s="26">
        <f>$I$22*$L$22</f>
        <v>0</v>
      </c>
      <c r="M65" s="26">
        <f>$I$22*$M$22</f>
        <v>0</v>
      </c>
      <c r="N65" s="26">
        <f>$I$22*$N$22</f>
        <v>0</v>
      </c>
      <c r="O65" s="26">
        <f>$I$22*$O$22</f>
        <v>0</v>
      </c>
      <c r="P65" s="26">
        <f>$I$22*$P$22</f>
        <v>0</v>
      </c>
      <c r="Q65" s="26">
        <f>$I$22*$Q$22</f>
        <v>0</v>
      </c>
      <c r="R65" s="26">
        <f>$I$22*$R$22</f>
        <v>0</v>
      </c>
      <c r="S65" s="26">
        <f>$I$22*$S$22</f>
        <v>0</v>
      </c>
      <c r="T65" s="26">
        <f>$I$22*$T$22</f>
        <v>0</v>
      </c>
      <c r="U65" s="26">
        <f>$I$22*$U$22</f>
        <v>0</v>
      </c>
      <c r="V65" s="26">
        <f>$I$22*$V$22</f>
        <v>0</v>
      </c>
      <c r="X65" s="26">
        <f>$I$22*$X$22</f>
        <v>0</v>
      </c>
      <c r="Y65" s="26">
        <f>$I$22*$Y$22</f>
        <v>0</v>
      </c>
      <c r="Z65" s="26">
        <f>$I$22*$Z$22</f>
        <v>0</v>
      </c>
      <c r="AA65" s="26">
        <f>$I$22*$AA$22</f>
        <v>0</v>
      </c>
      <c r="AB65" s="26">
        <f>$I$22*$AB$22</f>
        <v>0</v>
      </c>
      <c r="AC65" s="26">
        <f>$I$22*$AC$22</f>
        <v>0</v>
      </c>
      <c r="AD65" s="26">
        <f>$I$22*$AD$22</f>
        <v>0</v>
      </c>
      <c r="AE65" s="26">
        <f>$I$22*$AE$22</f>
        <v>0</v>
      </c>
      <c r="AF65" s="26">
        <f>$I$22*$AF$22</f>
        <v>0</v>
      </c>
      <c r="AG65" s="26">
        <f>$I$22*$AG$22</f>
        <v>0</v>
      </c>
      <c r="AH65" s="26">
        <f>$I$22*$AH$22</f>
        <v>0</v>
      </c>
    </row>
    <row r="66" spans="1:34" ht="11.25" customHeight="1" x14ac:dyDescent="0.25">
      <c r="A66" s="9" t="s">
        <v>41</v>
      </c>
      <c r="B66" s="9" t="s">
        <v>923</v>
      </c>
      <c r="C66" s="9" t="s">
        <v>924</v>
      </c>
      <c r="D66" s="9" t="s">
        <v>925</v>
      </c>
      <c r="E66" s="9" t="s">
        <v>926</v>
      </c>
      <c r="F66" s="9" t="s">
        <v>927</v>
      </c>
      <c r="G66" s="9" t="s">
        <v>930</v>
      </c>
      <c r="L66" s="26">
        <f>$I$23*$L$23</f>
        <v>0</v>
      </c>
      <c r="M66" s="26">
        <f>$I$23*$M$23</f>
        <v>0</v>
      </c>
      <c r="N66" s="26">
        <f>$I$23*$N$23</f>
        <v>0</v>
      </c>
      <c r="O66" s="26">
        <f>$I$23*$O$23</f>
        <v>0</v>
      </c>
      <c r="P66" s="26">
        <f>$I$23*$P$23</f>
        <v>0</v>
      </c>
      <c r="Q66" s="26">
        <f>$I$23*$Q$23</f>
        <v>0</v>
      </c>
      <c r="R66" s="26">
        <f>$I$23*$R$23</f>
        <v>0</v>
      </c>
      <c r="S66" s="26">
        <f>$I$23*$S$23</f>
        <v>0</v>
      </c>
      <c r="T66" s="26">
        <f>$I$23*$T$23</f>
        <v>0</v>
      </c>
      <c r="U66" s="26">
        <f>$I$23*$U$23</f>
        <v>0</v>
      </c>
      <c r="V66" s="26">
        <f>$I$23*$V$23</f>
        <v>0</v>
      </c>
      <c r="X66" s="26">
        <f>$I$23*$X$23</f>
        <v>0</v>
      </c>
      <c r="Y66" s="26">
        <f>$I$23*$Y$23</f>
        <v>0</v>
      </c>
      <c r="Z66" s="26">
        <f>$I$23*$Z$23</f>
        <v>0</v>
      </c>
      <c r="AA66" s="26">
        <f>$I$23*$AA$23</f>
        <v>0</v>
      </c>
      <c r="AB66" s="26">
        <f>$I$23*$AB$23</f>
        <v>0</v>
      </c>
      <c r="AC66" s="26">
        <f>$I$23*$AC$23</f>
        <v>0</v>
      </c>
      <c r="AD66" s="26">
        <f>$I$23*$AD$23</f>
        <v>0</v>
      </c>
      <c r="AE66" s="26">
        <f>$I$23*$AE$23</f>
        <v>0</v>
      </c>
      <c r="AF66" s="26">
        <f>$I$23*$AF$23</f>
        <v>0</v>
      </c>
      <c r="AG66" s="26">
        <f>$I$23*$AG$23</f>
        <v>0</v>
      </c>
      <c r="AH66" s="26">
        <f>$I$23*$AH$23</f>
        <v>0</v>
      </c>
    </row>
    <row r="67" spans="1:34" ht="11.25" customHeight="1" x14ac:dyDescent="0.25">
      <c r="A67" s="9" t="s">
        <v>41</v>
      </c>
      <c r="B67" s="9" t="s">
        <v>931</v>
      </c>
      <c r="C67" s="9" t="s">
        <v>932</v>
      </c>
      <c r="D67" s="9" t="s">
        <v>933</v>
      </c>
      <c r="E67" s="9" t="s">
        <v>934</v>
      </c>
      <c r="F67" s="9" t="s">
        <v>935</v>
      </c>
      <c r="G67" s="9" t="s">
        <v>936</v>
      </c>
      <c r="L67" s="26">
        <f>$I$24*$L$24</f>
        <v>0</v>
      </c>
      <c r="M67" s="26">
        <f>$I$24*$M$24</f>
        <v>522144.06480551022</v>
      </c>
      <c r="N67" s="26">
        <f>$I$24*$N$24</f>
        <v>0</v>
      </c>
      <c r="O67" s="26">
        <f>$I$24*$O$24</f>
        <v>0</v>
      </c>
      <c r="P67" s="26">
        <f>$I$24*$P$24</f>
        <v>-296793.31451825966</v>
      </c>
      <c r="Q67" s="26">
        <f>$I$24*$Q$24</f>
        <v>3590535.1879337961</v>
      </c>
      <c r="R67" s="26">
        <f>$I$24*$R$24</f>
        <v>0</v>
      </c>
      <c r="S67" s="26">
        <f>$I$24*$S$24</f>
        <v>0</v>
      </c>
      <c r="T67" s="26">
        <f>$I$24*$T$24</f>
        <v>0</v>
      </c>
      <c r="U67" s="26">
        <f>$I$24*$U$24</f>
        <v>0</v>
      </c>
      <c r="V67" s="26">
        <f>$I$24*$V$24</f>
        <v>125958.30515886845</v>
      </c>
      <c r="X67" s="26">
        <f>$I$24*$X$24</f>
        <v>0</v>
      </c>
      <c r="Y67" s="26">
        <f>$I$24*$Y$24</f>
        <v>53313.310442669404</v>
      </c>
      <c r="Z67" s="26">
        <f>$I$24*$Z$24</f>
        <v>0</v>
      </c>
      <c r="AA67" s="26">
        <f>$I$24*$AA$24</f>
        <v>0</v>
      </c>
      <c r="AB67" s="26">
        <f>$I$24*$AB$24</f>
        <v>0</v>
      </c>
      <c r="AC67" s="26">
        <f>$I$24*$AC$24</f>
        <v>3918048.2185638007</v>
      </c>
      <c r="AD67" s="26">
        <f>$I$24*$AD$24</f>
        <v>0</v>
      </c>
      <c r="AE67" s="26">
        <f>$I$24*$AE$24</f>
        <v>0</v>
      </c>
      <c r="AF67" s="26">
        <f>$I$24*$AF$24</f>
        <v>0</v>
      </c>
      <c r="AG67" s="26">
        <f>$I$24*$AG$24</f>
        <v>0</v>
      </c>
      <c r="AH67" s="26">
        <f>$I$24*$AH$24</f>
        <v>0</v>
      </c>
    </row>
    <row r="68" spans="1:34" ht="11.25" customHeight="1" x14ac:dyDescent="0.25">
      <c r="A68" s="9" t="s">
        <v>41</v>
      </c>
      <c r="B68" s="9" t="s">
        <v>923</v>
      </c>
      <c r="C68" s="9" t="s">
        <v>924</v>
      </c>
      <c r="D68" s="9" t="s">
        <v>937</v>
      </c>
      <c r="E68" s="9" t="s">
        <v>938</v>
      </c>
      <c r="F68" s="9" t="s">
        <v>939</v>
      </c>
      <c r="G68" s="9" t="s">
        <v>940</v>
      </c>
      <c r="L68" s="26">
        <f>$I$25*$L$25</f>
        <v>0</v>
      </c>
      <c r="M68" s="26">
        <f>$I$25*$M$25</f>
        <v>0</v>
      </c>
      <c r="N68" s="26">
        <f>$I$25*$N$25</f>
        <v>0</v>
      </c>
      <c r="O68" s="26">
        <f>$I$25*$O$25</f>
        <v>0</v>
      </c>
      <c r="P68" s="26">
        <f>$I$25*$P$25</f>
        <v>0</v>
      </c>
      <c r="Q68" s="26">
        <f>$I$25*$Q$25</f>
        <v>0</v>
      </c>
      <c r="R68" s="26">
        <f>$I$25*$R$25</f>
        <v>0</v>
      </c>
      <c r="S68" s="26">
        <f>$I$25*$S$25</f>
        <v>0</v>
      </c>
      <c r="T68" s="26">
        <f>$I$25*$T$25</f>
        <v>0</v>
      </c>
      <c r="U68" s="26">
        <f>$I$25*$U$25</f>
        <v>0</v>
      </c>
      <c r="V68" s="26">
        <f>$I$25*$V$25</f>
        <v>0</v>
      </c>
      <c r="X68" s="26">
        <f>$I$25*$X$25</f>
        <v>0</v>
      </c>
      <c r="Y68" s="26">
        <f>$I$25*$Y$25</f>
        <v>0</v>
      </c>
      <c r="Z68" s="26">
        <f>$I$25*$Z$25</f>
        <v>0</v>
      </c>
      <c r="AA68" s="26">
        <f>$I$25*$AA$25</f>
        <v>0</v>
      </c>
      <c r="AB68" s="26">
        <f>$I$25*$AB$25</f>
        <v>0</v>
      </c>
      <c r="AC68" s="26">
        <f>$I$25*$AC$25</f>
        <v>0</v>
      </c>
      <c r="AD68" s="26">
        <f>$I$25*$AD$25</f>
        <v>0</v>
      </c>
      <c r="AE68" s="26">
        <f>$I$25*$AE$25</f>
        <v>0</v>
      </c>
      <c r="AF68" s="26">
        <f>$I$25*$AF$25</f>
        <v>0</v>
      </c>
      <c r="AG68" s="26">
        <f>$I$25*$AG$25</f>
        <v>0</v>
      </c>
      <c r="AH68" s="26">
        <f>$I$25*$AH$25</f>
        <v>0</v>
      </c>
    </row>
    <row r="69" spans="1:34" ht="11.25" customHeight="1" x14ac:dyDescent="0.25">
      <c r="A69" s="9" t="s">
        <v>41</v>
      </c>
      <c r="B69" s="9" t="s">
        <v>923</v>
      </c>
      <c r="C69" s="9" t="s">
        <v>924</v>
      </c>
      <c r="D69" s="9" t="s">
        <v>937</v>
      </c>
      <c r="E69" s="9" t="s">
        <v>938</v>
      </c>
      <c r="F69" s="9" t="s">
        <v>939</v>
      </c>
      <c r="G69" s="9" t="s">
        <v>941</v>
      </c>
      <c r="L69" s="26">
        <f>$I$26*$L$26</f>
        <v>0</v>
      </c>
      <c r="M69" s="26">
        <f>$I$26*$M$26</f>
        <v>0</v>
      </c>
      <c r="N69" s="26">
        <f>$I$26*$N$26</f>
        <v>0</v>
      </c>
      <c r="O69" s="26">
        <f>$I$26*$O$26</f>
        <v>0</v>
      </c>
      <c r="P69" s="26">
        <f>$I$26*$P$26</f>
        <v>0</v>
      </c>
      <c r="Q69" s="26">
        <f>$I$26*$Q$26</f>
        <v>0</v>
      </c>
      <c r="R69" s="26">
        <f>$I$26*$R$26</f>
        <v>0</v>
      </c>
      <c r="S69" s="26">
        <f>$I$26*$S$26</f>
        <v>0</v>
      </c>
      <c r="T69" s="26">
        <f>$I$26*$T$26</f>
        <v>0</v>
      </c>
      <c r="U69" s="26">
        <f>$I$26*$U$26</f>
        <v>0</v>
      </c>
      <c r="V69" s="26">
        <f>$I$26*$V$26</f>
        <v>0</v>
      </c>
      <c r="X69" s="26">
        <f>$I$26*$X$26</f>
        <v>0</v>
      </c>
      <c r="Y69" s="26">
        <f>$I$26*$Y$26</f>
        <v>0</v>
      </c>
      <c r="Z69" s="26">
        <f>$I$26*$Z$26</f>
        <v>0</v>
      </c>
      <c r="AA69" s="26">
        <f>$I$26*$AA$26</f>
        <v>0</v>
      </c>
      <c r="AB69" s="26">
        <f>$I$26*$AB$26</f>
        <v>0</v>
      </c>
      <c r="AC69" s="26">
        <f>$I$26*$AC$26</f>
        <v>0</v>
      </c>
      <c r="AD69" s="26">
        <f>$I$26*$AD$26</f>
        <v>0</v>
      </c>
      <c r="AE69" s="26">
        <f>$I$26*$AE$26</f>
        <v>0</v>
      </c>
      <c r="AF69" s="26">
        <f>$I$26*$AF$26</f>
        <v>0</v>
      </c>
      <c r="AG69" s="26">
        <f>$I$26*$AG$26</f>
        <v>0</v>
      </c>
      <c r="AH69" s="26">
        <f>$I$26*$AH$26</f>
        <v>0</v>
      </c>
    </row>
    <row r="70" spans="1:34" ht="11.25" customHeight="1" x14ac:dyDescent="0.25">
      <c r="A70" s="9" t="s">
        <v>41</v>
      </c>
      <c r="B70" s="9" t="s">
        <v>923</v>
      </c>
      <c r="C70" s="9" t="s">
        <v>924</v>
      </c>
      <c r="D70" s="9" t="s">
        <v>937</v>
      </c>
      <c r="E70" s="9" t="s">
        <v>938</v>
      </c>
      <c r="F70" s="9" t="s">
        <v>939</v>
      </c>
      <c r="G70" s="9" t="s">
        <v>942</v>
      </c>
      <c r="L70" s="26">
        <f>$I$27*$L$27</f>
        <v>0</v>
      </c>
      <c r="M70" s="26">
        <f>$I$27*$M$27</f>
        <v>0</v>
      </c>
      <c r="N70" s="26">
        <f>$I$27*$N$27</f>
        <v>0</v>
      </c>
      <c r="O70" s="26">
        <f>$I$27*$O$27</f>
        <v>0</v>
      </c>
      <c r="P70" s="26">
        <f>$I$27*$P$27</f>
        <v>0</v>
      </c>
      <c r="Q70" s="26">
        <f>$I$27*$Q$27</f>
        <v>0</v>
      </c>
      <c r="R70" s="26">
        <f>$I$27*$R$27</f>
        <v>0</v>
      </c>
      <c r="S70" s="26">
        <f>$I$27*$S$27</f>
        <v>0</v>
      </c>
      <c r="T70" s="26">
        <f>$I$27*$T$27</f>
        <v>0</v>
      </c>
      <c r="U70" s="26">
        <f>$I$27*$U$27</f>
        <v>0</v>
      </c>
      <c r="V70" s="26">
        <f>$I$27*$V$27</f>
        <v>0</v>
      </c>
      <c r="X70" s="26">
        <f>$I$27*$X$27</f>
        <v>0</v>
      </c>
      <c r="Y70" s="26">
        <f>$I$27*$Y$27</f>
        <v>0</v>
      </c>
      <c r="Z70" s="26">
        <f>$I$27*$Z$27</f>
        <v>0</v>
      </c>
      <c r="AA70" s="26">
        <f>$I$27*$AA$27</f>
        <v>0</v>
      </c>
      <c r="AB70" s="26">
        <f>$I$27*$AB$27</f>
        <v>0</v>
      </c>
      <c r="AC70" s="26">
        <f>$I$27*$AC$27</f>
        <v>0</v>
      </c>
      <c r="AD70" s="26">
        <f>$I$27*$AD$27</f>
        <v>0</v>
      </c>
      <c r="AE70" s="26">
        <f>$I$27*$AE$27</f>
        <v>0</v>
      </c>
      <c r="AF70" s="26">
        <f>$I$27*$AF$27</f>
        <v>0</v>
      </c>
      <c r="AG70" s="26">
        <f>$I$27*$AG$27</f>
        <v>0</v>
      </c>
      <c r="AH70" s="26">
        <f>$I$27*$AH$27</f>
        <v>0</v>
      </c>
    </row>
    <row r="71" spans="1:34" ht="11.25" customHeight="1" x14ac:dyDescent="0.25">
      <c r="A71" s="9" t="s">
        <v>41</v>
      </c>
      <c r="B71" s="9" t="s">
        <v>931</v>
      </c>
      <c r="C71" s="9" t="s">
        <v>932</v>
      </c>
      <c r="D71" s="9" t="s">
        <v>943</v>
      </c>
      <c r="E71" s="9" t="s">
        <v>944</v>
      </c>
      <c r="F71" s="9" t="s">
        <v>945</v>
      </c>
      <c r="G71" s="9" t="s">
        <v>946</v>
      </c>
      <c r="L71" s="26">
        <f>$I$28*$L$28</f>
        <v>0</v>
      </c>
      <c r="M71" s="26">
        <f>$I$28*$M$28</f>
        <v>0</v>
      </c>
      <c r="N71" s="26">
        <f>$I$28*$N$28</f>
        <v>0</v>
      </c>
      <c r="O71" s="26">
        <f>$I$28*$O$28</f>
        <v>0</v>
      </c>
      <c r="P71" s="26">
        <f>$I$28*$P$28</f>
        <v>0</v>
      </c>
      <c r="Q71" s="26">
        <f>$I$28*$Q$28</f>
        <v>0</v>
      </c>
      <c r="R71" s="26">
        <f>$I$28*$R$28</f>
        <v>0</v>
      </c>
      <c r="S71" s="26">
        <f>$I$28*$S$28</f>
        <v>0</v>
      </c>
      <c r="T71" s="26">
        <f>$I$28*$T$28</f>
        <v>0</v>
      </c>
      <c r="U71" s="26">
        <f>$I$28*$U$28</f>
        <v>0</v>
      </c>
      <c r="V71" s="26">
        <f>$I$28*$V$28</f>
        <v>0</v>
      </c>
      <c r="X71" s="26">
        <f>$I$28*$X$28</f>
        <v>0</v>
      </c>
      <c r="Y71" s="26">
        <f>$I$28*$Y$28</f>
        <v>0</v>
      </c>
      <c r="Z71" s="26">
        <f>$I$28*$Z$28</f>
        <v>0</v>
      </c>
      <c r="AA71" s="26">
        <f>$I$28*$AA$28</f>
        <v>0</v>
      </c>
      <c r="AB71" s="26">
        <f>$I$28*$AB$28</f>
        <v>0</v>
      </c>
      <c r="AC71" s="26">
        <f>$I$28*$AC$28</f>
        <v>0</v>
      </c>
      <c r="AD71" s="26">
        <f>$I$28*$AD$28</f>
        <v>0</v>
      </c>
      <c r="AE71" s="26">
        <f>$I$28*$AE$28</f>
        <v>0</v>
      </c>
      <c r="AF71" s="26">
        <f>$I$28*$AF$28</f>
        <v>0</v>
      </c>
      <c r="AG71" s="26">
        <f>$I$28*$AG$28</f>
        <v>0</v>
      </c>
      <c r="AH71" s="26">
        <f>$I$28*$AH$28</f>
        <v>0</v>
      </c>
    </row>
    <row r="72" spans="1:34" ht="11.25" customHeight="1" x14ac:dyDescent="0.25">
      <c r="A72" s="9" t="s">
        <v>41</v>
      </c>
      <c r="B72" s="9" t="s">
        <v>923</v>
      </c>
      <c r="C72" s="9" t="s">
        <v>924</v>
      </c>
      <c r="D72" s="9" t="s">
        <v>947</v>
      </c>
      <c r="E72" s="9" t="s">
        <v>948</v>
      </c>
      <c r="F72" s="9" t="s">
        <v>949</v>
      </c>
      <c r="G72" s="9" t="s">
        <v>950</v>
      </c>
      <c r="L72" s="26">
        <f>$I$29*$L$29</f>
        <v>0</v>
      </c>
      <c r="M72" s="26">
        <f>$I$29*$M$29</f>
        <v>0</v>
      </c>
      <c r="N72" s="26">
        <f>$I$29*$N$29</f>
        <v>0</v>
      </c>
      <c r="O72" s="26">
        <f>$I$29*$O$29</f>
        <v>0</v>
      </c>
      <c r="P72" s="26">
        <f>$I$29*$P$29</f>
        <v>0</v>
      </c>
      <c r="Q72" s="26">
        <f>$I$29*$Q$29</f>
        <v>0</v>
      </c>
      <c r="R72" s="26">
        <f>$I$29*$R$29</f>
        <v>0</v>
      </c>
      <c r="S72" s="26">
        <f>$I$29*$S$29</f>
        <v>0</v>
      </c>
      <c r="T72" s="26">
        <f>$I$29*$T$29</f>
        <v>0</v>
      </c>
      <c r="U72" s="26">
        <f>$I$29*$U$29</f>
        <v>0</v>
      </c>
      <c r="V72" s="26">
        <f>$I$29*$V$29</f>
        <v>0</v>
      </c>
      <c r="X72" s="26">
        <f>$I$29*$X$29</f>
        <v>0</v>
      </c>
      <c r="Y72" s="26">
        <f>$I$29*$Y$29</f>
        <v>0</v>
      </c>
      <c r="Z72" s="26">
        <f>$I$29*$Z$29</f>
        <v>0</v>
      </c>
      <c r="AA72" s="26">
        <f>$I$29*$AA$29</f>
        <v>0</v>
      </c>
      <c r="AB72" s="26">
        <f>$I$29*$AB$29</f>
        <v>0</v>
      </c>
      <c r="AC72" s="26">
        <f>$I$29*$AC$29</f>
        <v>0</v>
      </c>
      <c r="AD72" s="26">
        <f>$I$29*$AD$29</f>
        <v>0</v>
      </c>
      <c r="AE72" s="26">
        <f>$I$29*$AE$29</f>
        <v>0</v>
      </c>
      <c r="AF72" s="26">
        <f>$I$29*$AF$29</f>
        <v>0</v>
      </c>
      <c r="AG72" s="26">
        <f>$I$29*$AG$29</f>
        <v>0</v>
      </c>
      <c r="AH72" s="26">
        <f>$I$29*$AH$29</f>
        <v>0</v>
      </c>
    </row>
    <row r="73" spans="1:34" ht="11.25" customHeight="1" x14ac:dyDescent="0.25">
      <c r="A73" s="9" t="s">
        <v>41</v>
      </c>
      <c r="B73" s="9" t="s">
        <v>923</v>
      </c>
      <c r="C73" s="9" t="s">
        <v>924</v>
      </c>
      <c r="D73" s="9" t="s">
        <v>947</v>
      </c>
      <c r="E73" s="9" t="s">
        <v>948</v>
      </c>
      <c r="F73" s="9" t="s">
        <v>949</v>
      </c>
      <c r="G73" s="9" t="s">
        <v>951</v>
      </c>
      <c r="L73" s="26">
        <f>$I$30*$L$30</f>
        <v>0</v>
      </c>
      <c r="M73" s="26">
        <f>$I$30*$M$30</f>
        <v>0</v>
      </c>
      <c r="N73" s="26">
        <f>$I$30*$N$30</f>
        <v>0</v>
      </c>
      <c r="O73" s="26">
        <f>$I$30*$O$30</f>
        <v>0</v>
      </c>
      <c r="P73" s="26">
        <f>$I$30*$P$30</f>
        <v>0</v>
      </c>
      <c r="Q73" s="26">
        <f>$I$30*$Q$30</f>
        <v>0</v>
      </c>
      <c r="R73" s="26">
        <f>$I$30*$R$30</f>
        <v>0</v>
      </c>
      <c r="S73" s="26">
        <f>$I$30*$S$30</f>
        <v>0</v>
      </c>
      <c r="T73" s="26">
        <f>$I$30*$T$30</f>
        <v>0</v>
      </c>
      <c r="U73" s="26">
        <f>$I$30*$U$30</f>
        <v>0</v>
      </c>
      <c r="V73" s="26">
        <f>$I$30*$V$30</f>
        <v>0</v>
      </c>
      <c r="X73" s="26">
        <f>$I$30*$X$30</f>
        <v>0</v>
      </c>
      <c r="Y73" s="26">
        <f>$I$30*$Y$30</f>
        <v>0</v>
      </c>
      <c r="Z73" s="26">
        <f>$I$30*$Z$30</f>
        <v>0</v>
      </c>
      <c r="AA73" s="26">
        <f>$I$30*$AA$30</f>
        <v>0</v>
      </c>
      <c r="AB73" s="26">
        <f>$I$30*$AB$30</f>
        <v>0</v>
      </c>
      <c r="AC73" s="26">
        <f>$I$30*$AC$30</f>
        <v>0</v>
      </c>
      <c r="AD73" s="26">
        <f>$I$30*$AD$30</f>
        <v>0</v>
      </c>
      <c r="AE73" s="26">
        <f>$I$30*$AE$30</f>
        <v>0</v>
      </c>
      <c r="AF73" s="26">
        <f>$I$30*$AF$30</f>
        <v>0</v>
      </c>
      <c r="AG73" s="26">
        <f>$I$30*$AG$30</f>
        <v>0</v>
      </c>
      <c r="AH73" s="26">
        <f>$I$30*$AH$30</f>
        <v>0</v>
      </c>
    </row>
    <row r="74" spans="1:34" ht="11.25" customHeight="1" x14ac:dyDescent="0.25">
      <c r="A74" s="9" t="s">
        <v>41</v>
      </c>
      <c r="B74" s="9" t="s">
        <v>923</v>
      </c>
      <c r="C74" s="9" t="s">
        <v>924</v>
      </c>
      <c r="D74" s="9" t="s">
        <v>947</v>
      </c>
      <c r="E74" s="9" t="s">
        <v>948</v>
      </c>
      <c r="F74" s="9" t="s">
        <v>949</v>
      </c>
      <c r="G74" s="9" t="s">
        <v>952</v>
      </c>
      <c r="L74" s="26">
        <f>$I$31*$L$31</f>
        <v>0</v>
      </c>
      <c r="M74" s="26">
        <f>$I$31*$M$31</f>
        <v>0</v>
      </c>
      <c r="N74" s="26">
        <f>$I$31*$N$31</f>
        <v>0</v>
      </c>
      <c r="O74" s="26">
        <f>$I$31*$O$31</f>
        <v>0</v>
      </c>
      <c r="P74" s="26">
        <f>$I$31*$P$31</f>
        <v>0</v>
      </c>
      <c r="Q74" s="26">
        <f>$I$31*$Q$31</f>
        <v>0</v>
      </c>
      <c r="R74" s="26">
        <f>$I$31*$R$31</f>
        <v>0</v>
      </c>
      <c r="S74" s="26">
        <f>$I$31*$S$31</f>
        <v>0</v>
      </c>
      <c r="T74" s="26">
        <f>$I$31*$T$31</f>
        <v>0</v>
      </c>
      <c r="U74" s="26">
        <f>$I$31*$U$31</f>
        <v>0</v>
      </c>
      <c r="V74" s="26">
        <f>$I$31*$V$31</f>
        <v>0</v>
      </c>
      <c r="X74" s="26">
        <f>$I$31*$X$31</f>
        <v>0</v>
      </c>
      <c r="Y74" s="26">
        <f>$I$31*$Y$31</f>
        <v>0</v>
      </c>
      <c r="Z74" s="26">
        <f>$I$31*$Z$31</f>
        <v>0</v>
      </c>
      <c r="AA74" s="26">
        <f>$I$31*$AA$31</f>
        <v>0</v>
      </c>
      <c r="AB74" s="26">
        <f>$I$31*$AB$31</f>
        <v>0</v>
      </c>
      <c r="AC74" s="26">
        <f>$I$31*$AC$31</f>
        <v>0</v>
      </c>
      <c r="AD74" s="26">
        <f>$I$31*$AD$31</f>
        <v>0</v>
      </c>
      <c r="AE74" s="26">
        <f>$I$31*$AE$31</f>
        <v>0</v>
      </c>
      <c r="AF74" s="26">
        <f>$I$31*$AF$31</f>
        <v>0</v>
      </c>
      <c r="AG74" s="26">
        <f>$I$31*$AG$31</f>
        <v>0</v>
      </c>
      <c r="AH74" s="26">
        <f>$I$31*$AH$31</f>
        <v>0</v>
      </c>
    </row>
    <row r="75" spans="1:34" ht="11.25" customHeight="1" x14ac:dyDescent="0.25">
      <c r="A75" s="9" t="s">
        <v>41</v>
      </c>
      <c r="B75" s="9" t="s">
        <v>931</v>
      </c>
      <c r="C75" s="9" t="s">
        <v>932</v>
      </c>
      <c r="D75" s="9" t="s">
        <v>953</v>
      </c>
      <c r="E75" s="9" t="s">
        <v>954</v>
      </c>
      <c r="F75" s="9" t="s">
        <v>955</v>
      </c>
      <c r="G75" s="9" t="s">
        <v>956</v>
      </c>
      <c r="L75" s="26">
        <f>$I$32*$L$32</f>
        <v>0</v>
      </c>
      <c r="M75" s="26">
        <f>$I$32*$M$32</f>
        <v>0</v>
      </c>
      <c r="N75" s="26">
        <f>$I$32*$N$32</f>
        <v>0</v>
      </c>
      <c r="O75" s="26">
        <f>$I$32*$O$32</f>
        <v>0</v>
      </c>
      <c r="P75" s="26">
        <f>$I$32*$P$32</f>
        <v>0</v>
      </c>
      <c r="Q75" s="26">
        <f>$I$32*$Q$32</f>
        <v>0</v>
      </c>
      <c r="R75" s="26">
        <f>$I$32*$R$32</f>
        <v>0</v>
      </c>
      <c r="S75" s="26">
        <f>$I$32*$S$32</f>
        <v>0</v>
      </c>
      <c r="T75" s="26">
        <f>$I$32*$T$32</f>
        <v>0</v>
      </c>
      <c r="U75" s="26">
        <f>$I$32*$U$32</f>
        <v>0</v>
      </c>
      <c r="V75" s="26">
        <f>$I$32*$V$32</f>
        <v>0</v>
      </c>
      <c r="X75" s="26">
        <f>$I$32*$X$32</f>
        <v>0</v>
      </c>
      <c r="Y75" s="26">
        <f>$I$32*$Y$32</f>
        <v>0</v>
      </c>
      <c r="Z75" s="26">
        <f>$I$32*$Z$32</f>
        <v>0</v>
      </c>
      <c r="AA75" s="26">
        <f>$I$32*$AA$32</f>
        <v>0</v>
      </c>
      <c r="AB75" s="26">
        <f>$I$32*$AB$32</f>
        <v>0</v>
      </c>
      <c r="AC75" s="26">
        <f>$I$32*$AC$32</f>
        <v>0</v>
      </c>
      <c r="AD75" s="26">
        <f>$I$32*$AD$32</f>
        <v>0</v>
      </c>
      <c r="AE75" s="26">
        <f>$I$32*$AE$32</f>
        <v>0</v>
      </c>
      <c r="AF75" s="26">
        <f>$I$32*$AF$32</f>
        <v>0</v>
      </c>
      <c r="AG75" s="26">
        <f>$I$32*$AG$32</f>
        <v>0</v>
      </c>
      <c r="AH75" s="26">
        <f>$I$32*$AH$32</f>
        <v>0</v>
      </c>
    </row>
    <row r="76" spans="1:34" ht="11.25" customHeight="1" x14ac:dyDescent="0.25">
      <c r="A76" s="9" t="s">
        <v>41</v>
      </c>
      <c r="B76" s="9" t="s">
        <v>957</v>
      </c>
      <c r="C76" s="9" t="s">
        <v>958</v>
      </c>
      <c r="D76" s="9" t="s">
        <v>959</v>
      </c>
      <c r="E76" s="9" t="s">
        <v>960</v>
      </c>
      <c r="F76" s="9" t="s">
        <v>961</v>
      </c>
      <c r="G76" s="9" t="s">
        <v>962</v>
      </c>
      <c r="L76" s="26">
        <f>$I$33*$L$33</f>
        <v>0</v>
      </c>
      <c r="M76" s="26">
        <f>$I$33*$M$33</f>
        <v>0</v>
      </c>
      <c r="N76" s="26">
        <f>$I$33*$N$33</f>
        <v>0</v>
      </c>
      <c r="O76" s="26">
        <f>$I$33*$O$33</f>
        <v>0</v>
      </c>
      <c r="P76" s="26">
        <f>$I$33*$P$33</f>
        <v>0</v>
      </c>
      <c r="Q76" s="26">
        <f>$I$33*$Q$33</f>
        <v>0</v>
      </c>
      <c r="R76" s="26">
        <f>$I$33*$R$33</f>
        <v>0</v>
      </c>
      <c r="S76" s="26">
        <f>$I$33*$S$33</f>
        <v>0</v>
      </c>
      <c r="T76" s="26">
        <f>$I$33*$T$33</f>
        <v>0</v>
      </c>
      <c r="U76" s="26">
        <f>$I$33*$U$33</f>
        <v>0</v>
      </c>
      <c r="V76" s="26">
        <f>$I$33*$V$33</f>
        <v>0</v>
      </c>
      <c r="X76" s="26">
        <f>$I$33*$X$33</f>
        <v>0</v>
      </c>
      <c r="Y76" s="26">
        <f>$I$33*$Y$33</f>
        <v>0</v>
      </c>
      <c r="Z76" s="26">
        <f>$I$33*$Z$33</f>
        <v>0</v>
      </c>
      <c r="AA76" s="26">
        <f>$I$33*$AA$33</f>
        <v>0</v>
      </c>
      <c r="AB76" s="26">
        <f>$I$33*$AB$33</f>
        <v>0</v>
      </c>
      <c r="AC76" s="26">
        <f>$I$33*$AC$33</f>
        <v>0</v>
      </c>
      <c r="AD76" s="26">
        <f>$I$33*$AD$33</f>
        <v>0</v>
      </c>
      <c r="AE76" s="26">
        <f>$I$33*$AE$33</f>
        <v>0</v>
      </c>
      <c r="AF76" s="26">
        <f>$I$33*$AF$33</f>
        <v>0</v>
      </c>
      <c r="AG76" s="26">
        <f>$I$33*$AG$33</f>
        <v>0</v>
      </c>
      <c r="AH76" s="26">
        <f>$I$33*$AH$33</f>
        <v>0</v>
      </c>
    </row>
    <row r="77" spans="1:34" ht="11.25" customHeight="1" x14ac:dyDescent="0.25">
      <c r="A77" s="9" t="s">
        <v>41</v>
      </c>
      <c r="B77" s="9" t="s">
        <v>957</v>
      </c>
      <c r="C77" s="9" t="s">
        <v>958</v>
      </c>
      <c r="D77" s="9" t="s">
        <v>963</v>
      </c>
      <c r="E77" s="9" t="s">
        <v>964</v>
      </c>
      <c r="F77" s="9" t="s">
        <v>965</v>
      </c>
      <c r="G77" s="9" t="s">
        <v>966</v>
      </c>
      <c r="L77" s="26">
        <f>$I$34*$L$34</f>
        <v>0</v>
      </c>
      <c r="M77" s="26">
        <f>$I$34*$M$34</f>
        <v>0</v>
      </c>
      <c r="N77" s="26">
        <f>$I$34*$N$34</f>
        <v>0</v>
      </c>
      <c r="O77" s="26">
        <f>$I$34*$O$34</f>
        <v>0</v>
      </c>
      <c r="P77" s="26">
        <f>$I$34*$P$34</f>
        <v>0</v>
      </c>
      <c r="Q77" s="26">
        <f>$I$34*$Q$34</f>
        <v>0</v>
      </c>
      <c r="R77" s="26">
        <f>$I$34*$R$34</f>
        <v>0</v>
      </c>
      <c r="S77" s="26">
        <f>$I$34*$S$34</f>
        <v>0</v>
      </c>
      <c r="T77" s="26">
        <f>$I$34*$T$34</f>
        <v>0</v>
      </c>
      <c r="U77" s="26">
        <f>$I$34*$U$34</f>
        <v>0</v>
      </c>
      <c r="V77" s="26">
        <f>$I$34*$V$34</f>
        <v>0</v>
      </c>
      <c r="X77" s="26">
        <f>$I$34*$X$34</f>
        <v>0</v>
      </c>
      <c r="Y77" s="26">
        <f>$I$34*$Y$34</f>
        <v>0</v>
      </c>
      <c r="Z77" s="26">
        <f>$I$34*$Z$34</f>
        <v>0</v>
      </c>
      <c r="AA77" s="26">
        <f>$I$34*$AA$34</f>
        <v>0</v>
      </c>
      <c r="AB77" s="26">
        <f>$I$34*$AB$34</f>
        <v>0</v>
      </c>
      <c r="AC77" s="26">
        <f>$I$34*$AC$34</f>
        <v>0</v>
      </c>
      <c r="AD77" s="26">
        <f>$I$34*$AD$34</f>
        <v>0</v>
      </c>
      <c r="AE77" s="26">
        <f>$I$34*$AE$34</f>
        <v>0</v>
      </c>
      <c r="AF77" s="26">
        <f>$I$34*$AF$34</f>
        <v>0</v>
      </c>
      <c r="AG77" s="26">
        <f>$I$34*$AG$34</f>
        <v>0</v>
      </c>
      <c r="AH77" s="26">
        <f>$I$34*$AH$34</f>
        <v>0</v>
      </c>
    </row>
    <row r="78" spans="1:34" ht="11.25" customHeight="1" x14ac:dyDescent="0.25">
      <c r="A78" s="9" t="s">
        <v>41</v>
      </c>
      <c r="B78" s="9" t="s">
        <v>957</v>
      </c>
      <c r="C78" s="9" t="s">
        <v>958</v>
      </c>
      <c r="D78" s="9" t="s">
        <v>967</v>
      </c>
      <c r="E78" s="9" t="s">
        <v>968</v>
      </c>
      <c r="F78" s="9" t="s">
        <v>969</v>
      </c>
      <c r="G78" s="9" t="s">
        <v>970</v>
      </c>
      <c r="L78" s="26">
        <f>$I$35*$L$35</f>
        <v>0</v>
      </c>
      <c r="M78" s="26">
        <f>$I$35*$M$35</f>
        <v>0</v>
      </c>
      <c r="N78" s="26">
        <f>$I$35*$N$35</f>
        <v>0</v>
      </c>
      <c r="O78" s="26">
        <f>$I$35*$O$35</f>
        <v>0</v>
      </c>
      <c r="P78" s="26">
        <f>$I$35*$P$35</f>
        <v>0</v>
      </c>
      <c r="Q78" s="26">
        <f>$I$35*$Q$35</f>
        <v>0</v>
      </c>
      <c r="R78" s="26">
        <f>$I$35*$R$35</f>
        <v>0</v>
      </c>
      <c r="S78" s="26">
        <f>$I$35*$S$35</f>
        <v>0</v>
      </c>
      <c r="T78" s="26">
        <f>$I$35*$T$35</f>
        <v>0</v>
      </c>
      <c r="U78" s="26">
        <f>$I$35*$U$35</f>
        <v>0</v>
      </c>
      <c r="V78" s="26">
        <f>$I$35*$V$35</f>
        <v>0</v>
      </c>
      <c r="X78" s="26">
        <f>$I$35*$X$35</f>
        <v>0</v>
      </c>
      <c r="Y78" s="26">
        <f>$I$35*$Y$35</f>
        <v>0</v>
      </c>
      <c r="Z78" s="26">
        <f>$I$35*$Z$35</f>
        <v>0</v>
      </c>
      <c r="AA78" s="26">
        <f>$I$35*$AA$35</f>
        <v>0</v>
      </c>
      <c r="AB78" s="26">
        <f>$I$35*$AB$35</f>
        <v>0</v>
      </c>
      <c r="AC78" s="26">
        <f>$I$35*$AC$35</f>
        <v>0</v>
      </c>
      <c r="AD78" s="26">
        <f>$I$35*$AD$35</f>
        <v>0</v>
      </c>
      <c r="AE78" s="26">
        <f>$I$35*$AE$35</f>
        <v>0</v>
      </c>
      <c r="AF78" s="26">
        <f>$I$35*$AF$35</f>
        <v>0</v>
      </c>
      <c r="AG78" s="26">
        <f>$I$35*$AG$35</f>
        <v>0</v>
      </c>
      <c r="AH78" s="26">
        <f>$I$35*$AH$35</f>
        <v>0</v>
      </c>
    </row>
    <row r="79" spans="1:34" ht="11.25" customHeight="1" x14ac:dyDescent="0.25">
      <c r="A79" s="9" t="s">
        <v>33</v>
      </c>
      <c r="B79" s="9" t="s">
        <v>971</v>
      </c>
      <c r="C79" s="9" t="s">
        <v>972</v>
      </c>
      <c r="D79" s="9" t="s">
        <v>973</v>
      </c>
      <c r="E79" s="9" t="s">
        <v>974</v>
      </c>
      <c r="F79" s="9" t="s">
        <v>975</v>
      </c>
      <c r="G79" s="9" t="s">
        <v>976</v>
      </c>
      <c r="L79" s="26">
        <f>$I$36*$L$36</f>
        <v>0</v>
      </c>
      <c r="M79" s="26">
        <f>$I$36*$M$36</f>
        <v>0</v>
      </c>
      <c r="N79" s="26">
        <f>$I$36*$N$36</f>
        <v>0</v>
      </c>
      <c r="O79" s="26">
        <f>$I$36*$O$36</f>
        <v>0</v>
      </c>
      <c r="P79" s="26">
        <f>$I$36*$P$36</f>
        <v>0</v>
      </c>
      <c r="Q79" s="26">
        <f>$I$36*$Q$36</f>
        <v>0</v>
      </c>
      <c r="R79" s="26">
        <f>$I$36*$R$36</f>
        <v>0</v>
      </c>
      <c r="S79" s="26">
        <f>$I$36*$S$36</f>
        <v>0</v>
      </c>
      <c r="T79" s="26">
        <f>$I$36*$T$36</f>
        <v>0</v>
      </c>
      <c r="U79" s="26">
        <f>$I$36*$U$36</f>
        <v>0</v>
      </c>
      <c r="V79" s="26">
        <f>$I$36*$V$36</f>
        <v>0</v>
      </c>
      <c r="X79" s="26">
        <f>$I$36*$X$36</f>
        <v>0</v>
      </c>
      <c r="Y79" s="26">
        <f>$I$36*$Y$36</f>
        <v>0</v>
      </c>
      <c r="Z79" s="26">
        <f>$I$36*$Z$36</f>
        <v>0</v>
      </c>
      <c r="AA79" s="26">
        <f>$I$36*$AA$36</f>
        <v>0</v>
      </c>
      <c r="AB79" s="26">
        <f>$I$36*$AB$36</f>
        <v>0</v>
      </c>
      <c r="AC79" s="26">
        <f>$I$36*$AC$36</f>
        <v>0</v>
      </c>
      <c r="AD79" s="26">
        <f>$I$36*$AD$36</f>
        <v>0</v>
      </c>
      <c r="AE79" s="26">
        <f>$I$36*$AE$36</f>
        <v>0</v>
      </c>
      <c r="AF79" s="26">
        <f>$I$36*$AF$36</f>
        <v>0</v>
      </c>
      <c r="AG79" s="26">
        <f>$I$36*$AG$36</f>
        <v>0</v>
      </c>
      <c r="AH79" s="26">
        <f>$I$36*$AH$36</f>
        <v>0</v>
      </c>
    </row>
    <row r="80" spans="1:34" ht="11.25" customHeight="1" x14ac:dyDescent="0.25">
      <c r="A80" s="9" t="s">
        <v>33</v>
      </c>
      <c r="B80" s="9" t="s">
        <v>971</v>
      </c>
      <c r="C80" s="9" t="s">
        <v>972</v>
      </c>
      <c r="D80" s="9" t="s">
        <v>973</v>
      </c>
      <c r="E80" s="9" t="s">
        <v>974</v>
      </c>
      <c r="F80" s="9" t="s">
        <v>975</v>
      </c>
      <c r="G80" s="9" t="s">
        <v>977</v>
      </c>
      <c r="L80" s="26">
        <f>$I$37*$L$37</f>
        <v>0</v>
      </c>
      <c r="M80" s="26">
        <f>$I$37*$M$37</f>
        <v>0</v>
      </c>
      <c r="N80" s="26">
        <f>$I$37*$N$37</f>
        <v>0</v>
      </c>
      <c r="O80" s="26">
        <f>$I$37*$O$37</f>
        <v>0</v>
      </c>
      <c r="P80" s="26">
        <f>$I$37*$P$37</f>
        <v>0</v>
      </c>
      <c r="Q80" s="26">
        <f>$I$37*$Q$37</f>
        <v>0</v>
      </c>
      <c r="R80" s="26">
        <f>$I$37*$R$37</f>
        <v>0</v>
      </c>
      <c r="S80" s="26">
        <f>$I$37*$S$37</f>
        <v>0</v>
      </c>
      <c r="T80" s="26">
        <f>$I$37*$T$37</f>
        <v>0</v>
      </c>
      <c r="U80" s="26">
        <f>$I$37*$U$37</f>
        <v>0</v>
      </c>
      <c r="V80" s="26">
        <f>$I$37*$V$37</f>
        <v>0</v>
      </c>
      <c r="X80" s="26">
        <f>$I$37*$X$37</f>
        <v>0</v>
      </c>
      <c r="Y80" s="26">
        <f>$I$37*$Y$37</f>
        <v>0</v>
      </c>
      <c r="Z80" s="26">
        <f>$I$37*$Z$37</f>
        <v>0</v>
      </c>
      <c r="AA80" s="26">
        <f>$I$37*$AA$37</f>
        <v>0</v>
      </c>
      <c r="AB80" s="26">
        <f>$I$37*$AB$37</f>
        <v>0</v>
      </c>
      <c r="AC80" s="26">
        <f>$I$37*$AC$37</f>
        <v>0</v>
      </c>
      <c r="AD80" s="26">
        <f>$I$37*$AD$37</f>
        <v>0</v>
      </c>
      <c r="AE80" s="26">
        <f>$I$37*$AE$37</f>
        <v>0</v>
      </c>
      <c r="AF80" s="26">
        <f>$I$37*$AF$37</f>
        <v>0</v>
      </c>
      <c r="AG80" s="26">
        <f>$I$37*$AG$37</f>
        <v>0</v>
      </c>
      <c r="AH80" s="26">
        <f>$I$37*$AH$37</f>
        <v>0</v>
      </c>
    </row>
    <row r="81" spans="1:34" ht="11.25" customHeight="1" x14ac:dyDescent="0.25">
      <c r="A81" s="9" t="s">
        <v>33</v>
      </c>
      <c r="B81" s="9" t="s">
        <v>971</v>
      </c>
      <c r="C81" s="9" t="s">
        <v>972</v>
      </c>
      <c r="D81" s="9" t="s">
        <v>973</v>
      </c>
      <c r="E81" s="9" t="s">
        <v>974</v>
      </c>
      <c r="F81" s="9" t="s">
        <v>975</v>
      </c>
      <c r="G81" s="9" t="s">
        <v>978</v>
      </c>
      <c r="L81" s="26">
        <f>$I$38*$L$38</f>
        <v>0</v>
      </c>
      <c r="M81" s="26">
        <f>$I$38*$M$38</f>
        <v>0</v>
      </c>
      <c r="N81" s="26">
        <f>$I$38*$N$38</f>
        <v>0</v>
      </c>
      <c r="O81" s="26">
        <f>$I$38*$O$38</f>
        <v>0</v>
      </c>
      <c r="P81" s="26">
        <f>$I$38*$P$38</f>
        <v>0</v>
      </c>
      <c r="Q81" s="26">
        <f>$I$38*$Q$38</f>
        <v>0</v>
      </c>
      <c r="R81" s="26">
        <f>$I$38*$R$38</f>
        <v>0</v>
      </c>
      <c r="S81" s="26">
        <f>$I$38*$S$38</f>
        <v>0</v>
      </c>
      <c r="T81" s="26">
        <f>$I$38*$T$38</f>
        <v>0</v>
      </c>
      <c r="U81" s="26">
        <f>$I$38*$U$38</f>
        <v>0</v>
      </c>
      <c r="V81" s="26">
        <f>$I$38*$V$38</f>
        <v>0</v>
      </c>
      <c r="X81" s="26">
        <f>$I$38*$X$38</f>
        <v>0</v>
      </c>
      <c r="Y81" s="26">
        <f>$I$38*$Y$38</f>
        <v>0</v>
      </c>
      <c r="Z81" s="26">
        <f>$I$38*$Z$38</f>
        <v>0</v>
      </c>
      <c r="AA81" s="26">
        <f>$I$38*$AA$38</f>
        <v>0</v>
      </c>
      <c r="AB81" s="26">
        <f>$I$38*$AB$38</f>
        <v>0</v>
      </c>
      <c r="AC81" s="26">
        <f>$I$38*$AC$38</f>
        <v>0</v>
      </c>
      <c r="AD81" s="26">
        <f>$I$38*$AD$38</f>
        <v>0</v>
      </c>
      <c r="AE81" s="26">
        <f>$I$38*$AE$38</f>
        <v>0</v>
      </c>
      <c r="AF81" s="26">
        <f>$I$38*$AF$38</f>
        <v>0</v>
      </c>
      <c r="AG81" s="26">
        <f>$I$38*$AG$38</f>
        <v>0</v>
      </c>
      <c r="AH81" s="26">
        <f>$I$38*$AH$38</f>
        <v>0</v>
      </c>
    </row>
    <row r="82" spans="1:34" ht="11.25" customHeight="1" x14ac:dyDescent="0.25">
      <c r="A82" s="9" t="s">
        <v>33</v>
      </c>
      <c r="B82" s="9" t="s">
        <v>979</v>
      </c>
      <c r="C82" s="9" t="s">
        <v>980</v>
      </c>
      <c r="D82" s="9" t="s">
        <v>981</v>
      </c>
      <c r="E82" s="9" t="s">
        <v>982</v>
      </c>
      <c r="F82" s="9" t="s">
        <v>983</v>
      </c>
      <c r="G82" s="9" t="s">
        <v>984</v>
      </c>
      <c r="L82" s="26">
        <f>$I$39*$L$39</f>
        <v>0</v>
      </c>
      <c r="M82" s="26">
        <f>$I$39*$M$39</f>
        <v>82342.564099341558</v>
      </c>
      <c r="N82" s="26">
        <f>$I$39*$N$39</f>
        <v>0</v>
      </c>
      <c r="O82" s="26">
        <f>$I$39*$O$39</f>
        <v>0</v>
      </c>
      <c r="P82" s="26">
        <f>$I$39*$P$39</f>
        <v>-46804.558688374345</v>
      </c>
      <c r="Q82" s="26">
        <f>$I$39*$Q$39</f>
        <v>566230.45973625313</v>
      </c>
      <c r="R82" s="26">
        <f>$I$39*$R$39</f>
        <v>0</v>
      </c>
      <c r="S82" s="26">
        <f>$I$39*$S$39</f>
        <v>0</v>
      </c>
      <c r="T82" s="26">
        <f>$I$39*$T$39</f>
        <v>0</v>
      </c>
      <c r="U82" s="26">
        <f>$I$39*$U$39</f>
        <v>0</v>
      </c>
      <c r="V82" s="26">
        <f>$I$39*$V$39</f>
        <v>19863.732091356516</v>
      </c>
      <c r="X82" s="26">
        <f>$I$39*$X$39</f>
        <v>0</v>
      </c>
      <c r="Y82" s="26">
        <f>$I$39*$Y$39</f>
        <v>8980.7968538474415</v>
      </c>
      <c r="Z82" s="26">
        <f>$I$39*$Z$39</f>
        <v>0</v>
      </c>
      <c r="AA82" s="26">
        <f>$I$39*$AA$39</f>
        <v>0</v>
      </c>
      <c r="AB82" s="26">
        <f>$I$39*$AB$39</f>
        <v>0</v>
      </c>
      <c r="AC82" s="26">
        <f>$I$39*$AC$39</f>
        <v>660007.69455760904</v>
      </c>
      <c r="AD82" s="26">
        <f>$I$39*$AD$39</f>
        <v>0</v>
      </c>
      <c r="AE82" s="26">
        <f>$I$39*$AE$39</f>
        <v>0</v>
      </c>
      <c r="AF82" s="26">
        <f>$I$39*$AF$39</f>
        <v>0</v>
      </c>
      <c r="AG82" s="26">
        <f>$I$39*$AG$39</f>
        <v>0</v>
      </c>
      <c r="AH82" s="26">
        <f>$I$39*$AH$39</f>
        <v>0</v>
      </c>
    </row>
    <row r="83" spans="1:34" ht="11.25" customHeight="1" x14ac:dyDescent="0.25">
      <c r="A83" s="9" t="s">
        <v>33</v>
      </c>
      <c r="B83" s="9" t="s">
        <v>985</v>
      </c>
      <c r="C83" s="9" t="s">
        <v>986</v>
      </c>
      <c r="D83" s="9" t="s">
        <v>987</v>
      </c>
      <c r="E83" s="9" t="s">
        <v>988</v>
      </c>
      <c r="F83" s="9" t="s">
        <v>989</v>
      </c>
      <c r="G83" s="9" t="s">
        <v>990</v>
      </c>
      <c r="L83" s="26">
        <f>$I$40*$L$40</f>
        <v>0</v>
      </c>
      <c r="M83" s="26">
        <f>$I$40*$M$40</f>
        <v>0</v>
      </c>
      <c r="N83" s="26">
        <f>$I$40*$N$40</f>
        <v>0</v>
      </c>
      <c r="O83" s="26">
        <f>$I$40*$O$40</f>
        <v>0</v>
      </c>
      <c r="P83" s="26">
        <f>$I$40*$P$40</f>
        <v>0</v>
      </c>
      <c r="Q83" s="26">
        <f>$I$40*$Q$40</f>
        <v>0</v>
      </c>
      <c r="R83" s="26">
        <f>$I$40*$R$40</f>
        <v>0</v>
      </c>
      <c r="S83" s="26">
        <f>$I$40*$S$40</f>
        <v>0</v>
      </c>
      <c r="T83" s="26">
        <f>$I$40*$T$40</f>
        <v>0</v>
      </c>
      <c r="U83" s="26">
        <f>$I$40*$U$40</f>
        <v>0</v>
      </c>
      <c r="V83" s="26">
        <f>$I$40*$V$40</f>
        <v>0</v>
      </c>
      <c r="X83" s="26">
        <f>$I$40*$X$40</f>
        <v>0</v>
      </c>
      <c r="Y83" s="26">
        <f>$I$40*$Y$40</f>
        <v>0</v>
      </c>
      <c r="Z83" s="26">
        <f>$I$40*$Z$40</f>
        <v>0</v>
      </c>
      <c r="AA83" s="26">
        <f>$I$40*$AA$40</f>
        <v>0</v>
      </c>
      <c r="AB83" s="26">
        <f>$I$40*$AB$40</f>
        <v>0</v>
      </c>
      <c r="AC83" s="26">
        <f>$I$40*$AC$40</f>
        <v>0</v>
      </c>
      <c r="AD83" s="26">
        <f>$I$40*$AD$40</f>
        <v>0</v>
      </c>
      <c r="AE83" s="26">
        <f>$I$40*$AE$40</f>
        <v>0</v>
      </c>
      <c r="AF83" s="26">
        <f>$I$40*$AF$40</f>
        <v>0</v>
      </c>
      <c r="AG83" s="26">
        <f>$I$40*$AG$40</f>
        <v>0</v>
      </c>
      <c r="AH83" s="26">
        <f>$I$40*$AH$40</f>
        <v>0</v>
      </c>
    </row>
    <row r="84" spans="1:34" ht="11.25" customHeight="1" x14ac:dyDescent="0.25">
      <c r="A84" s="9" t="s">
        <v>44</v>
      </c>
      <c r="B84" s="9" t="s">
        <v>991</v>
      </c>
      <c r="C84" s="9" t="s">
        <v>992</v>
      </c>
      <c r="D84" s="9" t="s">
        <v>993</v>
      </c>
      <c r="E84" s="9" t="s">
        <v>994</v>
      </c>
      <c r="F84" s="9" t="s">
        <v>995</v>
      </c>
      <c r="G84" s="9" t="s">
        <v>996</v>
      </c>
      <c r="L84" s="26">
        <f>$I$41*$L$41</f>
        <v>0</v>
      </c>
      <c r="M84" s="26">
        <f>$I$41*$M$41</f>
        <v>12972.678041622768</v>
      </c>
      <c r="N84" s="26">
        <f>$I$41*$N$41</f>
        <v>0</v>
      </c>
      <c r="O84" s="26">
        <f>$I$41*$O$41</f>
        <v>0</v>
      </c>
      <c r="P84" s="26">
        <f>$I$41*$P$41</f>
        <v>-7373.8348736868302</v>
      </c>
      <c r="Q84" s="26">
        <f>$I$41*$Q$41</f>
        <v>89206.906924303476</v>
      </c>
      <c r="R84" s="26">
        <f>$I$41*$R$41</f>
        <v>0</v>
      </c>
      <c r="S84" s="26">
        <f>$I$41*$S$41</f>
        <v>0</v>
      </c>
      <c r="T84" s="26">
        <f>$I$41*$T$41</f>
        <v>0</v>
      </c>
      <c r="U84" s="26">
        <f>$I$41*$U$41</f>
        <v>0</v>
      </c>
      <c r="V84" s="26">
        <f>$I$41*$V$41</f>
        <v>3129.4362028286505</v>
      </c>
      <c r="X84" s="26">
        <f>$I$41*$X$41</f>
        <v>0</v>
      </c>
      <c r="Y84" s="26">
        <f>$I$41*$Y$41</f>
        <v>1414.8816886686352</v>
      </c>
      <c r="Z84" s="26">
        <f>$I$41*$Z$41</f>
        <v>0</v>
      </c>
      <c r="AA84" s="26">
        <f>$I$41*$AA$41</f>
        <v>0</v>
      </c>
      <c r="AB84" s="26">
        <f>$I$41*$AB$41</f>
        <v>0</v>
      </c>
      <c r="AC84" s="26">
        <f>$I$41*$AC$41</f>
        <v>103981.06277283189</v>
      </c>
      <c r="AD84" s="26">
        <f>$I$41*$AD$41</f>
        <v>0</v>
      </c>
      <c r="AE84" s="26">
        <f>$I$41*$AE$41</f>
        <v>0</v>
      </c>
      <c r="AF84" s="26">
        <f>$I$41*$AF$41</f>
        <v>0</v>
      </c>
      <c r="AG84" s="26">
        <f>$I$41*$AG$41</f>
        <v>0</v>
      </c>
      <c r="AH84" s="26">
        <f>$I$41*$AH$41</f>
        <v>0</v>
      </c>
    </row>
    <row r="85" spans="1:34" ht="11.25" customHeight="1" x14ac:dyDescent="0.25">
      <c r="A85" s="9" t="s">
        <v>44</v>
      </c>
      <c r="B85" s="9" t="s">
        <v>991</v>
      </c>
      <c r="C85" s="9" t="s">
        <v>992</v>
      </c>
      <c r="D85" s="9" t="s">
        <v>997</v>
      </c>
      <c r="E85" s="9" t="s">
        <v>998</v>
      </c>
      <c r="F85" s="9" t="s">
        <v>999</v>
      </c>
      <c r="G85" s="9" t="s">
        <v>1000</v>
      </c>
      <c r="L85" s="26">
        <f>$I$42*$L$42</f>
        <v>0</v>
      </c>
      <c r="M85" s="26">
        <f>$I$42*$M$42</f>
        <v>0</v>
      </c>
      <c r="N85" s="26">
        <f>$I$42*$N$42</f>
        <v>0</v>
      </c>
      <c r="O85" s="26">
        <f>$I$42*$O$42</f>
        <v>0</v>
      </c>
      <c r="P85" s="26">
        <f>$I$42*$P$42</f>
        <v>0</v>
      </c>
      <c r="Q85" s="26">
        <f>$I$42*$Q$42</f>
        <v>0</v>
      </c>
      <c r="R85" s="26">
        <f>$I$42*$R$42</f>
        <v>0</v>
      </c>
      <c r="S85" s="26">
        <f>$I$42*$S$42</f>
        <v>0</v>
      </c>
      <c r="T85" s="26">
        <f>$I$42*$T$42</f>
        <v>0</v>
      </c>
      <c r="U85" s="26">
        <f>$I$42*$U$42</f>
        <v>0</v>
      </c>
      <c r="V85" s="26">
        <f>$I$42*$V$42</f>
        <v>0</v>
      </c>
      <c r="X85" s="26">
        <f>$I$42*$X$42</f>
        <v>0</v>
      </c>
      <c r="Y85" s="26">
        <f>$I$42*$Y$42</f>
        <v>0</v>
      </c>
      <c r="Z85" s="26">
        <f>$I$42*$Z$42</f>
        <v>0</v>
      </c>
      <c r="AA85" s="26">
        <f>$I$42*$AA$42</f>
        <v>0</v>
      </c>
      <c r="AB85" s="26">
        <f>$I$42*$AB$42</f>
        <v>0</v>
      </c>
      <c r="AC85" s="26">
        <f>$I$42*$AC$42</f>
        <v>0</v>
      </c>
      <c r="AD85" s="26">
        <f>$I$42*$AD$42</f>
        <v>0</v>
      </c>
      <c r="AE85" s="26">
        <f>$I$42*$AE$42</f>
        <v>0</v>
      </c>
      <c r="AF85" s="26">
        <f>$I$42*$AF$42</f>
        <v>0</v>
      </c>
      <c r="AG85" s="26">
        <f>$I$42*$AG$42</f>
        <v>0</v>
      </c>
      <c r="AH85" s="26">
        <f>$I$42*$AH$42</f>
        <v>0</v>
      </c>
    </row>
  </sheetData>
  <mergeCells count="69">
    <mergeCell ref="F1:F4"/>
    <mergeCell ref="A1:A4"/>
    <mergeCell ref="B1:B4"/>
    <mergeCell ref="C1:C4"/>
    <mergeCell ref="D1:D4"/>
    <mergeCell ref="E1:E4"/>
    <mergeCell ref="H1:H4"/>
    <mergeCell ref="I1:I4"/>
    <mergeCell ref="J1:J4"/>
    <mergeCell ref="L1:V1"/>
    <mergeCell ref="L2:V2"/>
    <mergeCell ref="L3:P3"/>
    <mergeCell ref="R3:T3"/>
    <mergeCell ref="A5:A7"/>
    <mergeCell ref="B5:B6"/>
    <mergeCell ref="C5:C6"/>
    <mergeCell ref="D5:D6"/>
    <mergeCell ref="E5:E6"/>
    <mergeCell ref="A8:A20"/>
    <mergeCell ref="B8:B10"/>
    <mergeCell ref="C8:C10"/>
    <mergeCell ref="D8:D10"/>
    <mergeCell ref="E8:E10"/>
    <mergeCell ref="B11:B15"/>
    <mergeCell ref="C11:C15"/>
    <mergeCell ref="B16:B20"/>
    <mergeCell ref="C16:C20"/>
    <mergeCell ref="A21:A35"/>
    <mergeCell ref="B21:B23"/>
    <mergeCell ref="C21:C23"/>
    <mergeCell ref="D21:D23"/>
    <mergeCell ref="E21:E23"/>
    <mergeCell ref="B25:B27"/>
    <mergeCell ref="C25:C27"/>
    <mergeCell ref="D25:D27"/>
    <mergeCell ref="E25:E27"/>
    <mergeCell ref="X1:AH1"/>
    <mergeCell ref="X2:AH2"/>
    <mergeCell ref="X3:AB3"/>
    <mergeCell ref="AD3:AF3"/>
    <mergeCell ref="B33:B35"/>
    <mergeCell ref="C33:C35"/>
    <mergeCell ref="F25:F27"/>
    <mergeCell ref="B29:B31"/>
    <mergeCell ref="C29:C31"/>
    <mergeCell ref="D29:D31"/>
    <mergeCell ref="E29:E31"/>
    <mergeCell ref="F29:F31"/>
    <mergeCell ref="F21:F23"/>
    <mergeCell ref="F8:F10"/>
    <mergeCell ref="F5:F6"/>
    <mergeCell ref="G1:G4"/>
    <mergeCell ref="E36:E38"/>
    <mergeCell ref="F36:F38"/>
    <mergeCell ref="A41:A42"/>
    <mergeCell ref="B41:B42"/>
    <mergeCell ref="C41:C42"/>
    <mergeCell ref="A36:A40"/>
    <mergeCell ref="B36:B38"/>
    <mergeCell ref="C36:C38"/>
    <mergeCell ref="D36:D38"/>
    <mergeCell ref="L44:V44"/>
    <mergeCell ref="X44:AH44"/>
    <mergeCell ref="L45:V45"/>
    <mergeCell ref="X45:AH45"/>
    <mergeCell ref="L46:P46"/>
    <mergeCell ref="R46:T46"/>
    <mergeCell ref="X46:AB46"/>
    <mergeCell ref="AD46:AF46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9AE1-AAFE-4368-9795-4E261A77DAF5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2.42578125" style="14" bestFit="1" customWidth="1"/>
    <col min="3" max="7" width="10.28515625" style="14" bestFit="1" customWidth="1"/>
    <col min="8" max="8" width="8.7109375" style="14" bestFit="1" customWidth="1"/>
    <col min="9" max="9" width="8" style="14" bestFit="1" customWidth="1"/>
    <col min="10" max="10" width="7.28515625" style="14" bestFit="1" customWidth="1"/>
    <col min="11" max="11" width="7.140625" style="14" bestFit="1" customWidth="1"/>
    <col min="12" max="12" width="9.5703125" style="14" bestFit="1" customWidth="1"/>
    <col min="13" max="13" width="9.7109375" style="14" bestFit="1" customWidth="1"/>
    <col min="14" max="14" width="10.85546875" style="14" bestFit="1" customWidth="1"/>
    <col min="15" max="15" width="7.42578125" style="14" bestFit="1" customWidth="1"/>
    <col min="16" max="16" width="9.7109375" style="14" bestFit="1" customWidth="1"/>
    <col min="17" max="17" width="11" style="14" bestFit="1" customWidth="1"/>
    <col min="18" max="18" width="7.7109375" style="14" bestFit="1" customWidth="1"/>
    <col min="19" max="19" width="7.140625" style="14" bestFit="1" customWidth="1"/>
    <col min="20" max="20" width="14.5703125" style="14" bestFit="1" customWidth="1"/>
    <col min="21" max="21" width="17.7109375" style="14" bestFit="1" customWidth="1"/>
    <col min="22" max="22" width="18.42578125" style="14" bestFit="1" customWidth="1"/>
    <col min="23" max="23" width="6" style="14" bestFit="1" customWidth="1"/>
    <col min="24" max="24" width="10.85546875" style="14" bestFit="1" customWidth="1"/>
    <col min="25" max="26" width="9.140625" style="14"/>
    <col min="27" max="27" width="3" style="14" bestFit="1" customWidth="1"/>
    <col min="28" max="28" width="21.57031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63</v>
      </c>
      <c r="B1" s="14" t="s">
        <v>64</v>
      </c>
      <c r="C1" s="14" t="s">
        <v>65</v>
      </c>
      <c r="D1" s="14" t="s">
        <v>66</v>
      </c>
      <c r="E1" s="14" t="s">
        <v>67</v>
      </c>
      <c r="F1" s="14" t="s">
        <v>15</v>
      </c>
      <c r="G1" s="14" t="s">
        <v>69</v>
      </c>
      <c r="I1" s="14" t="s">
        <v>1008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82</v>
      </c>
      <c r="AB2" s="14" t="s">
        <v>36</v>
      </c>
      <c r="AC2" s="14" t="s">
        <v>24</v>
      </c>
      <c r="AD2" s="14" t="s">
        <v>24</v>
      </c>
      <c r="AE2" s="14" t="s">
        <v>81</v>
      </c>
      <c r="AG2" s="14" t="s">
        <v>79</v>
      </c>
    </row>
    <row r="3" spans="1:33" x14ac:dyDescent="0.2">
      <c r="AA3" s="14" t="s">
        <v>22</v>
      </c>
      <c r="AB3" s="14" t="s">
        <v>53</v>
      </c>
      <c r="AC3" s="14" t="s">
        <v>42</v>
      </c>
      <c r="AD3" s="14" t="s">
        <v>29</v>
      </c>
      <c r="AE3" s="14" t="s">
        <v>83</v>
      </c>
      <c r="AG3" s="14" t="s">
        <v>80</v>
      </c>
    </row>
    <row r="4" spans="1:33" x14ac:dyDescent="0.2">
      <c r="AA4" s="14" t="s">
        <v>41</v>
      </c>
      <c r="AB4" s="14" t="s">
        <v>39</v>
      </c>
      <c r="AC4" s="14" t="s">
        <v>45</v>
      </c>
      <c r="AD4" s="14" t="s">
        <v>30</v>
      </c>
      <c r="AE4" s="14" t="s">
        <v>84</v>
      </c>
      <c r="AG4" s="14" t="s">
        <v>77</v>
      </c>
    </row>
    <row r="5" spans="1:33" x14ac:dyDescent="0.2">
      <c r="A5" s="14" t="s">
        <v>1001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425</v>
      </c>
      <c r="AA5" s="14" t="s">
        <v>33</v>
      </c>
      <c r="AB5" s="14" t="s">
        <v>86</v>
      </c>
      <c r="AD5" s="14" t="s">
        <v>31</v>
      </c>
      <c r="AG5" s="14" t="s">
        <v>9</v>
      </c>
    </row>
    <row r="6" spans="1:33" x14ac:dyDescent="0.2">
      <c r="A6" s="14" t="s">
        <v>1002</v>
      </c>
      <c r="B6" s="45">
        <f>SUM(TUSD!$AI$57:'TUSD'!$AI$103)</f>
        <v>0</v>
      </c>
      <c r="C6" s="45">
        <f>SUM(TUSD!$AJ$57:'TUSD'!$AJ$103)</f>
        <v>97883.132131417224</v>
      </c>
      <c r="D6" s="45">
        <f>SUM(TUSD!$AK$57:'TUSD'!$AK$103)</f>
        <v>0</v>
      </c>
      <c r="E6" s="45">
        <f>SUM(TUSD!$AL$57:'TUSD'!$AL$103)</f>
        <v>0</v>
      </c>
      <c r="F6" s="45">
        <f>SUM(TUSD!$AM$57:'TUSD'!$AM$103)</f>
        <v>0</v>
      </c>
      <c r="G6" s="45">
        <f>SUM(TUSD!$AN$57:'TUSD'!$AN$103)</f>
        <v>3622135.0710506085</v>
      </c>
      <c r="H6" s="45">
        <f>SUM(TUSD!$AO$57:'TUSD'!$AO$103)</f>
        <v>612969.74960953114</v>
      </c>
      <c r="I6" s="45">
        <f>SUM(TUSD!$AP$57:'TUSD'!$AP$103)</f>
        <v>0</v>
      </c>
      <c r="J6" s="45">
        <f>SUM(TUSD!$AQ$57:'TUSD'!$AQ$103)</f>
        <v>0</v>
      </c>
      <c r="K6" s="45">
        <f>SUM(TUSD!$AR$57:'TUSD'!$AR$103)</f>
        <v>0</v>
      </c>
      <c r="L6" s="45">
        <f>SUM(TUSD!$AS$57:'TUSD'!$AS$103)</f>
        <v>0</v>
      </c>
      <c r="M6" s="45">
        <f>SUM(TUSD!$AT$57:'TUSD'!$AT$103)</f>
        <v>0</v>
      </c>
      <c r="N6" s="45">
        <f>SUM(TUSD!$AU$57:'TUSD'!$AU$103)</f>
        <v>8857271.2525915951</v>
      </c>
      <c r="O6" s="45">
        <f>SUM(TUSD!$AV$57:'TUSD'!$AV$103)</f>
        <v>0</v>
      </c>
      <c r="P6" s="45">
        <f>SUM(TUSD!$AW$57:'TUSD'!$AW$103)</f>
        <v>0</v>
      </c>
      <c r="Q6" s="45">
        <f>SUM(TUSD!$AX$57:'TUSD'!$AX$103)</f>
        <v>13450611.08246769</v>
      </c>
      <c r="R6" s="45">
        <f>SUM(TUSD!$AY$57:'TUSD'!$AY$103)</f>
        <v>0</v>
      </c>
      <c r="S6" s="45">
        <f>SUM(TUSD!$AZ$57:'TUSD'!$AZ$103)</f>
        <v>0</v>
      </c>
      <c r="T6" s="45">
        <f>SUM(TUSD!$BA$57:'TUSD'!$BA$103)</f>
        <v>919606.40955110826</v>
      </c>
      <c r="U6" s="45">
        <f>SUM(TUSD!$BB$57:'TUSD'!$BB$103)</f>
        <v>0</v>
      </c>
      <c r="V6" s="45">
        <f>SUM(TUSD!$BC$57:'TUSD'!$BC$103)</f>
        <v>0</v>
      </c>
      <c r="W6" s="45">
        <f>SUM(TUSD!$BD$57:'TUSD'!$BD$103)</f>
        <v>0</v>
      </c>
      <c r="X6" s="45">
        <f t="shared" ref="X6:X11" si="0">SUM(B6:W6)</f>
        <v>27560476.697401948</v>
      </c>
      <c r="AA6" s="14" t="s">
        <v>44</v>
      </c>
      <c r="AB6" s="14" t="s">
        <v>23</v>
      </c>
      <c r="AD6" s="14" t="s">
        <v>32</v>
      </c>
      <c r="AG6" s="14" t="s">
        <v>74</v>
      </c>
    </row>
    <row r="7" spans="1:33" x14ac:dyDescent="0.2">
      <c r="A7" s="14" t="s">
        <v>1003</v>
      </c>
      <c r="B7" s="45">
        <f>SUM(TUSD!$L$57:'TUSD'!$L$103)</f>
        <v>0</v>
      </c>
      <c r="C7" s="45">
        <f>SUM(TUSD!$M$57:'TUSD'!$M$103)</f>
        <v>113096.46902603768</v>
      </c>
      <c r="D7" s="45">
        <f ca="1">SUM(TUSD!$N$57:'TUSD'!$N$103)</f>
        <v>0</v>
      </c>
      <c r="E7" s="45">
        <f>SUM(TUSD!$O$57:'TUSD'!$O$103)</f>
        <v>0</v>
      </c>
      <c r="F7" s="45">
        <f>SUM(TUSD!$P$57:'TUSD'!$P$103)</f>
        <v>0</v>
      </c>
      <c r="G7" s="45">
        <f>SUM(TUSD!$Q$57:'TUSD'!$Q$103)</f>
        <v>5712234.5518910335</v>
      </c>
      <c r="H7" s="45">
        <f>SUM(TUSD!$R$57:'TUSD'!$R$103)</f>
        <v>995946.11303341133</v>
      </c>
      <c r="I7" s="45">
        <f>SUM(TUSD!$S$57:'TUSD'!$S$103)</f>
        <v>0</v>
      </c>
      <c r="J7" s="45">
        <f>SUM(TUSD!$T$57:'TUSD'!$T$103)</f>
        <v>0</v>
      </c>
      <c r="K7" s="45">
        <f>SUM(TUSD!$U$57:'TUSD'!$U$103)</f>
        <v>0</v>
      </c>
      <c r="L7" s="45">
        <f>SUM(TUSD!$V$57:'TUSD'!$V$103)</f>
        <v>0</v>
      </c>
      <c r="M7" s="45">
        <f>SUM(TUSD!$W$57:'TUSD'!$W$103)</f>
        <v>0</v>
      </c>
      <c r="N7" s="45">
        <f>SUM(TUSD!$X$57:'TUSD'!$X$103)</f>
        <v>10238412.056941561</v>
      </c>
      <c r="O7" s="45">
        <f>SUM(TUSD!$Y$57:'TUSD'!$Y$103)</f>
        <v>0</v>
      </c>
      <c r="P7" s="45">
        <f>SUM(TUSD!$Z$57:'TUSD'!$Z$103)</f>
        <v>0</v>
      </c>
      <c r="Q7" s="45">
        <f>SUM(TUSD!$AA$57:'TUSD'!$AA$103)</f>
        <v>14741765.837040067</v>
      </c>
      <c r="R7" s="45">
        <f ca="1">SUM(TUSD!$AB$57:'TUSD'!$AB$103)</f>
        <v>0</v>
      </c>
      <c r="S7" s="45">
        <f ca="1">SUM(TUSD!$AC$57:'TUSD'!$AC$103)</f>
        <v>0</v>
      </c>
      <c r="T7" s="45">
        <f>SUM(TUSD!$AD$57:'TUSD'!$AD$103)</f>
        <v>1110272.2403611548</v>
      </c>
      <c r="U7" s="45">
        <f>SUM(TUSD!$AE$57:'TUSD'!$AE$103)</f>
        <v>38949.070915889744</v>
      </c>
      <c r="V7" s="45">
        <f ca="1">SUM(TUSD!$AF$57:'TUSD'!$AF$103)</f>
        <v>0</v>
      </c>
      <c r="W7" s="45">
        <f ca="1">SUM(TUSD!$AG$57:'TUSD'!$AG$103)</f>
        <v>0</v>
      </c>
      <c r="X7" s="45">
        <f t="shared" ca="1" si="0"/>
        <v>32950676.339209154</v>
      </c>
      <c r="AB7" s="14" t="s">
        <v>88</v>
      </c>
      <c r="AD7" s="14" t="s">
        <v>89</v>
      </c>
      <c r="AG7" s="14" t="s">
        <v>75</v>
      </c>
    </row>
    <row r="8" spans="1:33" x14ac:dyDescent="0.2">
      <c r="A8" s="14" t="s">
        <v>1006</v>
      </c>
      <c r="B8" s="45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45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39414.007190678822</v>
      </c>
      <c r="D8" s="45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45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45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45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2068749.1198790446</v>
      </c>
      <c r="H8" s="45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370762.68109218183</v>
      </c>
      <c r="I8" s="45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45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45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45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45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45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5410087.4811667483</v>
      </c>
      <c r="O8" s="45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45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45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5935650.2282175329</v>
      </c>
      <c r="R8" s="45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45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45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379457.87393289106</v>
      </c>
      <c r="U8" s="45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45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45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45">
        <f t="shared" si="0"/>
        <v>14204121.391479077</v>
      </c>
      <c r="AD8" s="14" t="s">
        <v>90</v>
      </c>
      <c r="AG8" s="14" t="s">
        <v>85</v>
      </c>
    </row>
    <row r="9" spans="1:33" x14ac:dyDescent="0.2">
      <c r="A9" s="14" t="s">
        <v>1007</v>
      </c>
      <c r="B9" s="45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45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50128.329323141908</v>
      </c>
      <c r="D9" s="45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45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45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45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3148545.1972838612</v>
      </c>
      <c r="H9" s="45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591428.73956525745</v>
      </c>
      <c r="I9" s="45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45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45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45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45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45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6162348.1934110355</v>
      </c>
      <c r="O9" s="45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45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45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6433144.2366979942</v>
      </c>
      <c r="R9" s="45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0</v>
      </c>
      <c r="S9" s="45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45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236453.74985909305</v>
      </c>
      <c r="U9" s="45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8294.9510370484495</v>
      </c>
      <c r="V9" s="45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45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45">
        <f t="shared" ca="1" si="0"/>
        <v>16630343.397177432</v>
      </c>
      <c r="AD9" s="14" t="s">
        <v>46</v>
      </c>
    </row>
    <row r="10" spans="1:33" x14ac:dyDescent="0.2">
      <c r="A10" s="14" t="s">
        <v>1004</v>
      </c>
      <c r="B10" s="45">
        <f>SUMIF(TUSD!$A$57:'TUSD'!$A$103,$A$2,TUSD!$AI$57:'TUSD'!$AI$103)</f>
        <v>0</v>
      </c>
      <c r="C10" s="45">
        <f>SUMIF(TUSD!$A$57:'TUSD'!$A$103,$A$2,TUSD!$AJ$57:'TUSD'!$AJ$103)</f>
        <v>39414.007190678822</v>
      </c>
      <c r="D10" s="45">
        <f>SUMIF(TUSD!$A$57:'TUSD'!$A$103,$A$2,TUSD!$AK$57:'TUSD'!$AK$103)</f>
        <v>0</v>
      </c>
      <c r="E10" s="45">
        <f>SUMIF(TUSD!$A$57:'TUSD'!$A$103,$A$2,TUSD!$AL$57:'TUSD'!$AL$103)</f>
        <v>0</v>
      </c>
      <c r="F10" s="45">
        <f>SUMIF(TUSD!$A$57:'TUSD'!$A$103,$A$2,TUSD!$AM$57:'TUSD'!$AM$103)</f>
        <v>0</v>
      </c>
      <c r="G10" s="45">
        <f>SUMIF(TUSD!$A$57:'TUSD'!$A$103,$A$2,TUSD!$AN$57:'TUSD'!$AN$103)</f>
        <v>2068749.1198790446</v>
      </c>
      <c r="H10" s="45">
        <f>SUMIF(TUSD!$A$57:'TUSD'!$A$103,$A$2,TUSD!$AO$57:'TUSD'!$AO$103)</f>
        <v>370762.68109218183</v>
      </c>
      <c r="I10" s="45">
        <f>SUMIF(TUSD!$A$57:'TUSD'!$A$103,$A$2,TUSD!$AP$57:'TUSD'!$AP$103)</f>
        <v>0</v>
      </c>
      <c r="J10" s="45">
        <f>SUMIF(TUSD!$A$57:'TUSD'!$A$103,$A$2,TUSD!$AQ$57:'TUSD'!$AQ$103)</f>
        <v>0</v>
      </c>
      <c r="K10" s="45">
        <f>SUMIF(TUSD!$A$57:'TUSD'!$A$103,$A$2,TUSD!$AR$57:'TUSD'!$AR$103)</f>
        <v>0</v>
      </c>
      <c r="L10" s="45">
        <f>SUMIF(TUSD!$A$57:'TUSD'!$A$103,$A$2,TUSD!$AS$57:'TUSD'!$AS$103)</f>
        <v>0</v>
      </c>
      <c r="M10" s="45">
        <f>SUMIF(TUSD!$A$57:'TUSD'!$A$103,$A$2,TUSD!$AT$57:'TUSD'!$AT$103)</f>
        <v>0</v>
      </c>
      <c r="N10" s="45">
        <f>SUMIF(TUSD!$A$57:'TUSD'!$A$103,$A$2,TUSD!$AU$57:'TUSD'!$AU$103)</f>
        <v>5410087.4811667483</v>
      </c>
      <c r="O10" s="45">
        <f>SUMIF(TUSD!$A$57:'TUSD'!$A$103,$A$2,TUSD!$AV$57:'TUSD'!$AV$103)</f>
        <v>0</v>
      </c>
      <c r="P10" s="45">
        <f>SUMIF(TUSD!$A$57:'TUSD'!$A$103,$A$2,TUSD!$AW$57:'TUSD'!$AW$103)</f>
        <v>0</v>
      </c>
      <c r="Q10" s="45">
        <f>SUMIF(TUSD!$A$57:'TUSD'!$A$103,$A$2,TUSD!$AX$57:'TUSD'!$AX$103)</f>
        <v>5935650.2282175329</v>
      </c>
      <c r="R10" s="45">
        <f>SUMIF(TUSD!$A$57:'TUSD'!$A$103,$A$2,TUSD!$AY$57:'TUSD'!$AY$103)</f>
        <v>0</v>
      </c>
      <c r="S10" s="45">
        <f>SUMIF(TUSD!$A$57:'TUSD'!$A$103,$A$2,TUSD!$AZ$57:'TUSD'!$AZ$103)</f>
        <v>0</v>
      </c>
      <c r="T10" s="45">
        <f>SUMIF(TUSD!$A$57:'TUSD'!$A$103,$A$2,TUSD!$BA$57:'TUSD'!$BA$103)</f>
        <v>379457.87393289106</v>
      </c>
      <c r="U10" s="45">
        <f>SUMIF(TUSD!$A$57:'TUSD'!$A$103,$A$2,TUSD!$BB$57:'TUSD'!$BB$103)</f>
        <v>0</v>
      </c>
      <c r="V10" s="45">
        <f>SUMIF(TUSD!$A$57:'TUSD'!$A$103,$A$2,TUSD!$BC$57:'TUSD'!$BC$103)</f>
        <v>0</v>
      </c>
      <c r="W10" s="45">
        <f>SUMIF(TUSD!$A$57:'TUSD'!$A$103,$A$2,TUSD!$BD$57:'TUSD'!$BD$103)</f>
        <v>0</v>
      </c>
      <c r="X10" s="45">
        <f t="shared" si="0"/>
        <v>14204121.391479077</v>
      </c>
      <c r="AD10" s="14" t="s">
        <v>91</v>
      </c>
    </row>
    <row r="11" spans="1:33" x14ac:dyDescent="0.2">
      <c r="A11" s="14" t="s">
        <v>1005</v>
      </c>
      <c r="B11" s="45">
        <f>SUMIF(TUSD!$A$57:'TUSD'!$A$103,$A$2,TUSD!$L$57:'TUSD'!$L$103)</f>
        <v>0</v>
      </c>
      <c r="C11" s="45">
        <f>SUMIF(TUSD!$A$57:'TUSD'!$A$103,$A$2,TUSD!$M$57:'TUSD'!$M$103)</f>
        <v>50128.329323141908</v>
      </c>
      <c r="D11" s="45">
        <f ca="1">SUMIF(TUSD!$A$57:'TUSD'!$A$103,$A$2,TUSD!$N$57:'TUSD'!$N$103)</f>
        <v>0</v>
      </c>
      <c r="E11" s="45">
        <f>SUMIF(TUSD!$A$57:'TUSD'!$A$103,$A$2,TUSD!$O$57:'TUSD'!$O$103)</f>
        <v>0</v>
      </c>
      <c r="F11" s="45">
        <f>SUMIF(TUSD!$A$57:'TUSD'!$A$103,$A$2,TUSD!$P$57:'TUSD'!$P$103)</f>
        <v>0</v>
      </c>
      <c r="G11" s="45">
        <f>SUMIF(TUSD!$A$57:'TUSD'!$A$103,$A$2,TUSD!$Q$57:'TUSD'!$Q$103)</f>
        <v>3148545.1972838612</v>
      </c>
      <c r="H11" s="45">
        <f>SUMIF(TUSD!$A$57:'TUSD'!$A$103,$A$2,TUSD!$R$57:'TUSD'!$R$103)</f>
        <v>591428.73956525745</v>
      </c>
      <c r="I11" s="45">
        <f>SUMIF(TUSD!$A$57:'TUSD'!$A$103,$A$2,TUSD!$S$57:'TUSD'!$S$103)</f>
        <v>0</v>
      </c>
      <c r="J11" s="45">
        <f>SUMIF(TUSD!$A$57:'TUSD'!$A$103,$A$2,TUSD!$T$57:'TUSD'!$T$103)</f>
        <v>0</v>
      </c>
      <c r="K11" s="45">
        <f>SUMIF(TUSD!$A$57:'TUSD'!$A$103,$A$2,TUSD!$U$57:'TUSD'!$U$103)</f>
        <v>0</v>
      </c>
      <c r="L11" s="45">
        <f>SUMIF(TUSD!$A$57:'TUSD'!$A$103,$A$2,TUSD!$V$57:'TUSD'!$V$103)</f>
        <v>0</v>
      </c>
      <c r="M11" s="45">
        <f>SUMIF(TUSD!$A$57:'TUSD'!$A$103,$A$2,TUSD!$W$57:'TUSD'!$W$103)</f>
        <v>0</v>
      </c>
      <c r="N11" s="45">
        <f>SUMIF(TUSD!$A$57:'TUSD'!$A$103,$A$2,TUSD!$X$57:'TUSD'!$X$103)</f>
        <v>6162348.1934110355</v>
      </c>
      <c r="O11" s="45">
        <f>SUMIF(TUSD!$A$57:'TUSD'!$A$103,$A$2,TUSD!$Y$57:'TUSD'!$Y$103)</f>
        <v>0</v>
      </c>
      <c r="P11" s="45">
        <f>SUMIF(TUSD!$A$57:'TUSD'!$A$103,$A$2,TUSD!$Z$57:'TUSD'!$Z$103)</f>
        <v>0</v>
      </c>
      <c r="Q11" s="45">
        <f>SUMIF(TUSD!$A$57:'TUSD'!$A$103,$A$2,TUSD!$AA$57:'TUSD'!$AA$103)</f>
        <v>6433144.2366979942</v>
      </c>
      <c r="R11" s="45">
        <f ca="1">SUMIF(TUSD!$A$57:'TUSD'!$A$103,$A$2,TUSD!$AB$57:'TUSD'!$AB$103)</f>
        <v>0</v>
      </c>
      <c r="S11" s="45">
        <f ca="1">SUMIF(TUSD!$A$57:'TUSD'!$A$103,$A$2,TUSD!$AC$57:'TUSD'!$AC$103)</f>
        <v>0</v>
      </c>
      <c r="T11" s="45">
        <f>SUMIF(TUSD!$A$57:'TUSD'!$A$103,$A$2,TUSD!$AD$57:'TUSD'!$AD$103)</f>
        <v>236453.74985909305</v>
      </c>
      <c r="U11" s="45">
        <f>SUMIF(TUSD!$A$57:'TUSD'!$A$103,$A$2,TUSD!$AE$57:'TUSD'!$AE$103)</f>
        <v>8294.9510370484495</v>
      </c>
      <c r="V11" s="45">
        <f ca="1">SUMIF(TUSD!$A$57:'TUSD'!$A$103,$A$2,TUSD!$AF$57:'TUSD'!$AF$103)</f>
        <v>0</v>
      </c>
      <c r="W11" s="45">
        <f ca="1">SUMIF(TUSD!$A$57:'TUSD'!$A$103,$A$2,TUSD!$AG$57:'TUSD'!$AG$103)</f>
        <v>0</v>
      </c>
      <c r="X11" s="45">
        <f t="shared" ca="1" si="0"/>
        <v>16630343.397177432</v>
      </c>
    </row>
    <row r="13" spans="1:33" x14ac:dyDescent="0.2">
      <c r="A13" s="14" t="s">
        <v>1009</v>
      </c>
      <c r="B13" s="63">
        <f t="shared" ref="B13:X13" si="1">IF($X$6&lt;&gt;0,(B$7-B$6)/$X$6,0)</f>
        <v>0</v>
      </c>
      <c r="C13" s="63">
        <f t="shared" si="1"/>
        <v>5.5199832215001483E-4</v>
      </c>
      <c r="D13" s="63">
        <f t="shared" ca="1" si="1"/>
        <v>0</v>
      </c>
      <c r="E13" s="63">
        <f t="shared" si="1"/>
        <v>0</v>
      </c>
      <c r="F13" s="63">
        <f t="shared" si="1"/>
        <v>0</v>
      </c>
      <c r="G13" s="63">
        <f t="shared" si="1"/>
        <v>7.5836840697223976E-2</v>
      </c>
      <c r="H13" s="63">
        <f t="shared" si="1"/>
        <v>1.389585411126007E-2</v>
      </c>
      <c r="I13" s="63">
        <f t="shared" si="1"/>
        <v>0</v>
      </c>
      <c r="J13" s="63">
        <f t="shared" si="1"/>
        <v>0</v>
      </c>
      <c r="K13" s="63">
        <f t="shared" si="1"/>
        <v>0</v>
      </c>
      <c r="L13" s="63">
        <f t="shared" si="1"/>
        <v>0</v>
      </c>
      <c r="M13" s="63">
        <f t="shared" si="1"/>
        <v>0</v>
      </c>
      <c r="N13" s="63">
        <f t="shared" si="1"/>
        <v>5.0113095630169663E-2</v>
      </c>
      <c r="O13" s="63">
        <f t="shared" si="1"/>
        <v>0</v>
      </c>
      <c r="P13" s="63">
        <f t="shared" si="1"/>
        <v>0</v>
      </c>
      <c r="Q13" s="63">
        <f t="shared" si="1"/>
        <v>4.6848055958846689E-2</v>
      </c>
      <c r="R13" s="63">
        <f t="shared" ca="1" si="1"/>
        <v>0</v>
      </c>
      <c r="S13" s="63">
        <f t="shared" ca="1" si="1"/>
        <v>0</v>
      </c>
      <c r="T13" s="63">
        <f t="shared" si="1"/>
        <v>6.9180890048980929E-3</v>
      </c>
      <c r="U13" s="63">
        <f t="shared" si="1"/>
        <v>1.4132219606913174E-3</v>
      </c>
      <c r="V13" s="63">
        <f t="shared" ca="1" si="1"/>
        <v>0</v>
      </c>
      <c r="W13" s="63">
        <f t="shared" ca="1" si="1"/>
        <v>0</v>
      </c>
      <c r="X13" s="63">
        <f t="shared" ca="1" si="1"/>
        <v>0.19557715568523987</v>
      </c>
    </row>
    <row r="14" spans="1:33" x14ac:dyDescent="0.2">
      <c r="A14" s="14" t="s">
        <v>1010</v>
      </c>
      <c r="B14" s="63">
        <f t="shared" ref="B14:X14" si="2">IF($X$10&lt;&gt;0,(B$9-B$8)/$X$10,0)</f>
        <v>0</v>
      </c>
      <c r="C14" s="63">
        <f t="shared" si="2"/>
        <v>7.5431079735002206E-4</v>
      </c>
      <c r="D14" s="63">
        <f t="shared" ca="1" si="2"/>
        <v>0</v>
      </c>
      <c r="E14" s="63">
        <f t="shared" si="2"/>
        <v>0</v>
      </c>
      <c r="F14" s="63">
        <f t="shared" si="2"/>
        <v>0</v>
      </c>
      <c r="G14" s="63">
        <f t="shared" si="2"/>
        <v>7.6019913350823407E-2</v>
      </c>
      <c r="H14" s="63">
        <f t="shared" si="2"/>
        <v>1.5535354309591524E-2</v>
      </c>
      <c r="I14" s="63">
        <f t="shared" si="2"/>
        <v>0</v>
      </c>
      <c r="J14" s="63">
        <f t="shared" si="2"/>
        <v>0</v>
      </c>
      <c r="K14" s="63">
        <f t="shared" si="2"/>
        <v>0</v>
      </c>
      <c r="L14" s="63">
        <f t="shared" si="2"/>
        <v>0</v>
      </c>
      <c r="M14" s="63">
        <f t="shared" si="2"/>
        <v>0</v>
      </c>
      <c r="N14" s="63">
        <f t="shared" si="2"/>
        <v>5.2960735233899187E-2</v>
      </c>
      <c r="O14" s="63">
        <f t="shared" si="2"/>
        <v>0</v>
      </c>
      <c r="P14" s="63">
        <f t="shared" si="2"/>
        <v>0</v>
      </c>
      <c r="Q14" s="63">
        <f t="shared" si="2"/>
        <v>3.5024623823540643E-2</v>
      </c>
      <c r="R14" s="63">
        <f t="shared" ca="1" si="2"/>
        <v>0</v>
      </c>
      <c r="S14" s="63">
        <f t="shared" ca="1" si="2"/>
        <v>0</v>
      </c>
      <c r="T14" s="63">
        <f t="shared" si="2"/>
        <v>-1.0067790899026312E-2</v>
      </c>
      <c r="U14" s="63">
        <f t="shared" si="2"/>
        <v>5.8398198722974274E-4</v>
      </c>
      <c r="V14" s="63">
        <f t="shared" ca="1" si="2"/>
        <v>0</v>
      </c>
      <c r="W14" s="63">
        <f t="shared" ca="1" si="2"/>
        <v>0</v>
      </c>
      <c r="X14" s="63">
        <f t="shared" ca="1" si="2"/>
        <v>0.17081112860340827</v>
      </c>
    </row>
    <row r="15" spans="1:33" x14ac:dyDescent="0.2">
      <c r="A15" s="14" t="s">
        <v>1011</v>
      </c>
      <c r="B15" s="63">
        <f t="shared" ref="B15:X15" si="3">IF($X$8&lt;&gt;0,(B$9-B$8)/$X$8,0)</f>
        <v>0</v>
      </c>
      <c r="C15" s="63">
        <f t="shared" si="3"/>
        <v>7.5431079735002206E-4</v>
      </c>
      <c r="D15" s="63">
        <f t="shared" ca="1" si="3"/>
        <v>0</v>
      </c>
      <c r="E15" s="63">
        <f t="shared" si="3"/>
        <v>0</v>
      </c>
      <c r="F15" s="63">
        <f t="shared" si="3"/>
        <v>0</v>
      </c>
      <c r="G15" s="63">
        <f t="shared" si="3"/>
        <v>7.6019913350823407E-2</v>
      </c>
      <c r="H15" s="63">
        <f t="shared" si="3"/>
        <v>1.5535354309591524E-2</v>
      </c>
      <c r="I15" s="63">
        <f t="shared" si="3"/>
        <v>0</v>
      </c>
      <c r="J15" s="63">
        <f t="shared" si="3"/>
        <v>0</v>
      </c>
      <c r="K15" s="63">
        <f t="shared" si="3"/>
        <v>0</v>
      </c>
      <c r="L15" s="63">
        <f t="shared" si="3"/>
        <v>0</v>
      </c>
      <c r="M15" s="63">
        <f t="shared" si="3"/>
        <v>0</v>
      </c>
      <c r="N15" s="63">
        <f t="shared" si="3"/>
        <v>5.2960735233899187E-2</v>
      </c>
      <c r="O15" s="63">
        <f t="shared" si="3"/>
        <v>0</v>
      </c>
      <c r="P15" s="63">
        <f t="shared" si="3"/>
        <v>0</v>
      </c>
      <c r="Q15" s="63">
        <f t="shared" si="3"/>
        <v>3.5024623823540643E-2</v>
      </c>
      <c r="R15" s="63">
        <f t="shared" ca="1" si="3"/>
        <v>0</v>
      </c>
      <c r="S15" s="63">
        <f t="shared" ca="1" si="3"/>
        <v>0</v>
      </c>
      <c r="T15" s="63">
        <f t="shared" si="3"/>
        <v>-1.0067790899026312E-2</v>
      </c>
      <c r="U15" s="63">
        <f t="shared" si="3"/>
        <v>5.8398198722974274E-4</v>
      </c>
      <c r="V15" s="63">
        <f t="shared" ca="1" si="3"/>
        <v>0</v>
      </c>
      <c r="W15" s="63">
        <f t="shared" ca="1" si="3"/>
        <v>0</v>
      </c>
      <c r="X15" s="63">
        <f t="shared" ca="1" si="3"/>
        <v>0.17081112860340827</v>
      </c>
    </row>
  </sheetData>
  <dataValidations count="6">
    <dataValidation type="list" allowBlank="1" showInputMessage="1" showErrorMessage="1" error="Deve-se selecionar grupo válido" sqref="A2" xr:uid="{93DD3835-A32D-4EA6-843E-D5329223DE1B}">
      <formula1>AA1:AA6</formula1>
    </dataValidation>
    <dataValidation type="list" allowBlank="1" showInputMessage="1" showErrorMessage="1" error="Deve-se selecionar grupo válido" sqref="B2" xr:uid="{2845244F-D914-45F5-A787-882AC1819F66}">
      <formula1>AB1:AB7</formula1>
    </dataValidation>
    <dataValidation type="list" allowBlank="1" showInputMessage="1" showErrorMessage="1" error="Deve-se selecionar grupo válido" sqref="C2 E2" xr:uid="{B310323D-68F5-4F83-969A-0D227FBE30D3}">
      <formula1>AC1:AC4</formula1>
    </dataValidation>
    <dataValidation type="list" allowBlank="1" showInputMessage="1" showErrorMessage="1" error="Deve-se selecionar grupo válido" sqref="D2" xr:uid="{BA50075A-6B6B-4288-BC5D-275109AD62D5}">
      <formula1>AD1:AD10</formula1>
    </dataValidation>
    <dataValidation type="list" allowBlank="1" showInputMessage="1" showErrorMessage="1" error="Deve-se selecionar grupo válido" sqref="F2" xr:uid="{7CF511EE-3FE4-4001-A1C9-53FB90E23699}">
      <formula1>AF1:AF1</formula1>
    </dataValidation>
    <dataValidation type="list" allowBlank="1" showInputMessage="1" showErrorMessage="1" error="Deve-se selecionar grupo válido" sqref="G2" xr:uid="{65FA516B-ECAB-45C3-BECD-664DF3DA5EAF}">
      <formula1>AG1:AG8</formula1>
    </dataValidation>
  </dataValidation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7D97-AF2E-4841-8543-2B0519B07E9E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0.5703125" style="14" bestFit="1" customWidth="1"/>
    <col min="3" max="5" width="10.28515625" style="14" bestFit="1" customWidth="1"/>
    <col min="6" max="6" width="10.5703125" style="14" bestFit="1" customWidth="1"/>
    <col min="7" max="7" width="14.85546875" style="14" bestFit="1" customWidth="1"/>
    <col min="8" max="8" width="6" style="14" bestFit="1" customWidth="1"/>
    <col min="9" max="9" width="9.5703125" style="14" bestFit="1" customWidth="1"/>
    <col min="10" max="10" width="6.42578125" style="14" bestFit="1" customWidth="1"/>
    <col min="11" max="11" width="7.7109375" style="14" bestFit="1" customWidth="1"/>
    <col min="12" max="12" width="10.7109375" style="14" bestFit="1" customWidth="1"/>
    <col min="13" max="13" width="10.85546875" style="14" bestFit="1" customWidth="1"/>
    <col min="14" max="26" width="9.140625" style="14"/>
    <col min="27" max="27" width="3" style="14" bestFit="1" customWidth="1"/>
    <col min="28" max="28" width="27.1406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63</v>
      </c>
      <c r="B1" s="14" t="s">
        <v>64</v>
      </c>
      <c r="C1" s="14" t="s">
        <v>65</v>
      </c>
      <c r="D1" s="14" t="s">
        <v>66</v>
      </c>
      <c r="E1" s="14" t="s">
        <v>67</v>
      </c>
      <c r="F1" s="14" t="s">
        <v>15</v>
      </c>
      <c r="G1" s="14" t="s">
        <v>69</v>
      </c>
      <c r="I1" s="14" t="s">
        <v>1008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72</v>
      </c>
      <c r="AC2" s="14" t="s">
        <v>24</v>
      </c>
      <c r="AD2" s="14" t="s">
        <v>24</v>
      </c>
      <c r="AG2" s="14" t="s">
        <v>74</v>
      </c>
    </row>
    <row r="3" spans="1:33" x14ac:dyDescent="0.2">
      <c r="AA3" s="14" t="s">
        <v>41</v>
      </c>
      <c r="AB3" s="14" t="s">
        <v>76</v>
      </c>
      <c r="AC3" s="14" t="s">
        <v>42</v>
      </c>
      <c r="AD3" s="14" t="s">
        <v>29</v>
      </c>
      <c r="AG3" s="14" t="s">
        <v>75</v>
      </c>
    </row>
    <row r="4" spans="1:33" x14ac:dyDescent="0.2">
      <c r="AA4" s="14" t="s">
        <v>33</v>
      </c>
      <c r="AB4" s="14" t="s">
        <v>87</v>
      </c>
      <c r="AC4" s="14" t="s">
        <v>45</v>
      </c>
      <c r="AD4" s="14" t="s">
        <v>30</v>
      </c>
      <c r="AG4" s="14" t="s">
        <v>77</v>
      </c>
    </row>
    <row r="5" spans="1:33" x14ac:dyDescent="0.2">
      <c r="A5" s="14" t="s">
        <v>1001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425</v>
      </c>
      <c r="AA5" s="14" t="s">
        <v>44</v>
      </c>
      <c r="AD5" s="14" t="s">
        <v>31</v>
      </c>
      <c r="AG5" s="14" t="s">
        <v>85</v>
      </c>
    </row>
    <row r="6" spans="1:33" x14ac:dyDescent="0.2">
      <c r="A6" s="14" t="s">
        <v>1002</v>
      </c>
      <c r="B6" s="45">
        <f>SUM(TE!$X$48:'TE'!$X$85)</f>
        <v>0</v>
      </c>
      <c r="C6" s="45">
        <f>SUM(TE!$Y$48:'TE'!$Y$85)</f>
        <v>196000.69119502913</v>
      </c>
      <c r="D6" s="45">
        <f>SUM(TE!$Z$48:'TE'!$Z$85)</f>
        <v>0</v>
      </c>
      <c r="E6" s="45">
        <f>SUM(TE!$AA$48:'TE'!$AA$85)</f>
        <v>0</v>
      </c>
      <c r="F6" s="45">
        <f>SUM(TE!$AB$48:'TE'!$AB$85)</f>
        <v>0</v>
      </c>
      <c r="G6" s="45">
        <f>SUM(TE!$AC$48:'TE'!$AC$85)</f>
        <v>14404285.770244252</v>
      </c>
      <c r="H6" s="45">
        <f>SUM(TE!$AD$48:'TE'!$AD$85)</f>
        <v>0</v>
      </c>
      <c r="I6" s="45">
        <f>SUM(TE!$AE$48:'TE'!$AE$85)</f>
        <v>0</v>
      </c>
      <c r="J6" s="45">
        <f>SUM(TE!$AF$48:'TE'!$AF$85)</f>
        <v>0</v>
      </c>
      <c r="K6" s="45">
        <f>SUM(TE!$AG$48:'TE'!$AG$85)</f>
        <v>0</v>
      </c>
      <c r="L6" s="45">
        <f>SUM(TE!$AH$48:'TE'!$AH$85)</f>
        <v>0</v>
      </c>
      <c r="M6" s="45">
        <f t="shared" ref="M6:M11" si="0">SUM(B6:L6)</f>
        <v>14600286.461439282</v>
      </c>
      <c r="AD6" s="14" t="s">
        <v>32</v>
      </c>
    </row>
    <row r="7" spans="1:33" x14ac:dyDescent="0.2">
      <c r="A7" s="14" t="s">
        <v>1003</v>
      </c>
      <c r="B7" s="45">
        <f>SUM(TE!$L$48:'TE'!$L$85)</f>
        <v>0</v>
      </c>
      <c r="C7" s="45">
        <f>SUM(TE!$M$48:'TE'!$M$85)</f>
        <v>1830407.1273125832</v>
      </c>
      <c r="D7" s="45">
        <f>SUM(TE!$N$48:'TE'!$N$85)</f>
        <v>0</v>
      </c>
      <c r="E7" s="45">
        <f>SUM(TE!$O$48:'TE'!$O$85)</f>
        <v>0</v>
      </c>
      <c r="F7" s="45">
        <f>SUM(TE!$P$48:'TE'!$P$85)</f>
        <v>-1040426.6463036401</v>
      </c>
      <c r="G7" s="45">
        <f>SUM(TE!$Q$48:'TE'!$Q$85)</f>
        <v>12586835.017091796</v>
      </c>
      <c r="H7" s="45">
        <f>SUM(TE!$R$48:'TE'!$R$85)</f>
        <v>0</v>
      </c>
      <c r="I7" s="45">
        <f>SUM(TE!$S$48:'TE'!$S$85)</f>
        <v>0</v>
      </c>
      <c r="J7" s="45">
        <f>SUM(TE!$T$48:'TE'!$T$85)</f>
        <v>0</v>
      </c>
      <c r="K7" s="45">
        <f>SUM(TE!$U$48:'TE'!$U$85)</f>
        <v>0</v>
      </c>
      <c r="L7" s="45">
        <f>SUM(TE!$V$48:'TE'!$V$85)</f>
        <v>441554.34303918376</v>
      </c>
      <c r="M7" s="45">
        <f t="shared" si="0"/>
        <v>13818369.841139922</v>
      </c>
      <c r="AD7" s="14" t="s">
        <v>89</v>
      </c>
    </row>
    <row r="8" spans="1:33" x14ac:dyDescent="0.2">
      <c r="A8" s="14" t="s">
        <v>1006</v>
      </c>
      <c r="B8" s="45">
        <f>IF($G$2&lt;&gt;"Não se aplica",SUMIF(TE!$G$48:'TE'!$G$85,$I$2,TE!$X$48:'TE'!$X$85),IF($F$2&lt;&gt;"Não se aplica",SUMIF(TE!$F$48:'TE'!$F$85,$I$2,TE!$X$48:'TE'!$X$85),IF($E$2&lt;&gt;"Não se aplica",SUMIF(TE!$E$48:'TE'!$E$85,$I$2,TE!$X$48:'TE'!$X$85),IF($D$2&lt;&gt;"Não se aplica",SUMIF(TE!$D$48:'TE'!$D$85,$I$2,TE!$X$48:'TE'!$X$85),IF($C$2&lt;&gt;"Não se aplica",SUMIF(TE!$C$48:'TE'!$C$85,$I$2,TE!$X$48:'TE'!$X$85),IF($B$2&lt;&gt;"Não se aplica",SUMIF(TE!$B$48:'TE'!$B$85,$I$2,TE!$X$48:'TE'!$X$85),SUMIF(TE!$A$48:'TE'!$A$85,$I$2,TE!$X$48:'TE'!$X$85)))))))</f>
        <v>0</v>
      </c>
      <c r="C8" s="45">
        <f>IF($G$2&lt;&gt;"Não se aplica",SUMIF(TE!$G$48:'TE'!$G$85,$I$2,TE!$Y$48:'TE'!$Y$85),IF($F$2&lt;&gt;"Não se aplica",SUMIF(TE!$F$48:'TE'!$F$85,$I$2,TE!$Y$48:'TE'!$Y$85),IF($E$2&lt;&gt;"Não se aplica",SUMIF(TE!$E$48:'TE'!$E$85,$I$2,TE!$Y$48:'TE'!$Y$85),IF($D$2&lt;&gt;"Não se aplica",SUMIF(TE!$D$48:'TE'!$D$85,$I$2,TE!$Y$48:'TE'!$Y$85),IF($C$2&lt;&gt;"Não se aplica",SUMIF(TE!$C$48:'TE'!$C$85,$I$2,TE!$Y$48:'TE'!$Y$85),IF($B$2&lt;&gt;"Não se aplica",SUMIF(TE!$B$48:'TE'!$B$85,$I$2,TE!$Y$48:'TE'!$Y$85),SUMIF(TE!$A$48:'TE'!$A$85,$I$2,TE!$Y$48:'TE'!$Y$85)))))))</f>
        <v>118406.71193512667</v>
      </c>
      <c r="D8" s="45">
        <f>IF($G$2&lt;&gt;"Não se aplica",SUMIF(TE!$G$48:'TE'!$G$85,$I$2,TE!$Z$48:'TE'!$Z$85),IF($F$2&lt;&gt;"Não se aplica",SUMIF(TE!$F$48:'TE'!$F$85,$I$2,TE!$Z$48:'TE'!$Z$85),IF($E$2&lt;&gt;"Não se aplica",SUMIF(TE!$E$48:'TE'!$E$85,$I$2,TE!$Z$48:'TE'!$Z$85),IF($D$2&lt;&gt;"Não se aplica",SUMIF(TE!$D$48:'TE'!$D$85,$I$2,TE!$Z$48:'TE'!$Z$85),IF($C$2&lt;&gt;"Não se aplica",SUMIF(TE!$C$48:'TE'!$C$85,$I$2,TE!$Z$48:'TE'!$Z$85),IF($B$2&lt;&gt;"Não se aplica",SUMIF(TE!$B$48:'TE'!$B$85,$I$2,TE!$Z$48:'TE'!$Z$85),SUMIF(TE!$A$48:'TE'!$A$85,$I$2,TE!$Z$48:'TE'!$Z$85)))))))</f>
        <v>0</v>
      </c>
      <c r="E8" s="45">
        <f>IF($G$2&lt;&gt;"Não se aplica",SUMIF(TE!$G$48:'TE'!$G$85,$I$2,TE!$AA$48:'TE'!$AA$85),IF($F$2&lt;&gt;"Não se aplica",SUMIF(TE!$F$48:'TE'!$F$85,$I$2,TE!$AA$48:'TE'!$AA$85),IF($E$2&lt;&gt;"Não se aplica",SUMIF(TE!$E$48:'TE'!$E$85,$I$2,TE!$AA$48:'TE'!$AA$85),IF($D$2&lt;&gt;"Não se aplica",SUMIF(TE!$D$48:'TE'!$D$85,$I$2,TE!$AA$48:'TE'!$AA$85),IF($C$2&lt;&gt;"Não se aplica",SUMIF(TE!$C$48:'TE'!$C$85,$I$2,TE!$AA$48:'TE'!$AA$85),IF($B$2&lt;&gt;"Não se aplica",SUMIF(TE!$B$48:'TE'!$B$85,$I$2,TE!$AA$48:'TE'!$AA$85),SUMIF(TE!$A$48:'TE'!$A$85,$I$2,TE!$AA$48:'TE'!$AA$85)))))))</f>
        <v>0</v>
      </c>
      <c r="F8" s="45">
        <f>IF($G$2&lt;&gt;"Não se aplica",SUMIF(TE!$G$48:'TE'!$G$85,$I$2,TE!$AB$48:'TE'!$AB$85),IF($F$2&lt;&gt;"Não se aplica",SUMIF(TE!$F$48:'TE'!$F$85,$I$2,TE!$AB$48:'TE'!$AB$85),IF($E$2&lt;&gt;"Não se aplica",SUMIF(TE!$E$48:'TE'!$E$85,$I$2,TE!$AB$48:'TE'!$AB$85),IF($D$2&lt;&gt;"Não se aplica",SUMIF(TE!$D$48:'TE'!$D$85,$I$2,TE!$AB$48:'TE'!$AB$85),IF($C$2&lt;&gt;"Não se aplica",SUMIF(TE!$C$48:'TE'!$C$85,$I$2,TE!$AB$48:'TE'!$AB$85),IF($B$2&lt;&gt;"Não se aplica",SUMIF(TE!$B$48:'TE'!$B$85,$I$2,TE!$AB$48:'TE'!$AB$85),SUMIF(TE!$A$48:'TE'!$A$85,$I$2,TE!$AB$48:'TE'!$AB$85)))))))</f>
        <v>0</v>
      </c>
      <c r="G8" s="45">
        <f>IF($G$2&lt;&gt;"Não se aplica",SUMIF(TE!$G$48:'TE'!$G$85,$I$2,TE!$AC$48:'TE'!$AC$85),IF($F$2&lt;&gt;"Não se aplica",SUMIF(TE!$F$48:'TE'!$F$85,$I$2,TE!$AC$48:'TE'!$AC$85),IF($E$2&lt;&gt;"Não se aplica",SUMIF(TE!$E$48:'TE'!$E$85,$I$2,TE!$AC$48:'TE'!$AC$85),IF($D$2&lt;&gt;"Não se aplica",SUMIF(TE!$D$48:'TE'!$D$85,$I$2,TE!$AC$48:'TE'!$AC$85),IF($C$2&lt;&gt;"Não se aplica",SUMIF(TE!$C$48:'TE'!$C$85,$I$2,TE!$AC$48:'TE'!$AC$85),IF($B$2&lt;&gt;"Não se aplica",SUMIF(TE!$B$48:'TE'!$B$85,$I$2,TE!$AC$48:'TE'!$AC$85),SUMIF(TE!$A$48:'TE'!$A$85,$I$2,TE!$AC$48:'TE'!$AC$85)))))))</f>
        <v>8701827.0467803888</v>
      </c>
      <c r="H8" s="45">
        <f>IF($G$2&lt;&gt;"Não se aplica",SUMIF(TE!$G$48:'TE'!$G$85,$I$2,TE!$AD$48:'TE'!$AD$85),IF($F$2&lt;&gt;"Não se aplica",SUMIF(TE!$F$48:'TE'!$F$85,$I$2,TE!$AD$48:'TE'!$AD$85),IF($E$2&lt;&gt;"Não se aplica",SUMIF(TE!$E$48:'TE'!$E$85,$I$2,TE!$AD$48:'TE'!$AD$85),IF($D$2&lt;&gt;"Não se aplica",SUMIF(TE!$D$48:'TE'!$D$85,$I$2,TE!$AD$48:'TE'!$AD$85),IF($C$2&lt;&gt;"Não se aplica",SUMIF(TE!$C$48:'TE'!$C$85,$I$2,TE!$AD$48:'TE'!$AD$85),IF($B$2&lt;&gt;"Não se aplica",SUMIF(TE!$B$48:'TE'!$B$85,$I$2,TE!$AD$48:'TE'!$AD$85),SUMIF(TE!$A$48:'TE'!$A$85,$I$2,TE!$AD$48:'TE'!$AD$85)))))))</f>
        <v>0</v>
      </c>
      <c r="I8" s="45">
        <f>IF($G$2&lt;&gt;"Não se aplica",SUMIF(TE!$G$48:'TE'!$G$85,$I$2,TE!$AE$48:'TE'!$AE$85),IF($F$2&lt;&gt;"Não se aplica",SUMIF(TE!$F$48:'TE'!$F$85,$I$2,TE!$AE$48:'TE'!$AE$85),IF($E$2&lt;&gt;"Não se aplica",SUMIF(TE!$E$48:'TE'!$E$85,$I$2,TE!$AE$48:'TE'!$AE$85),IF($D$2&lt;&gt;"Não se aplica",SUMIF(TE!$D$48:'TE'!$D$85,$I$2,TE!$AE$48:'TE'!$AE$85),IF($C$2&lt;&gt;"Não se aplica",SUMIF(TE!$C$48:'TE'!$C$85,$I$2,TE!$AE$48:'TE'!$AE$85),IF($B$2&lt;&gt;"Não se aplica",SUMIF(TE!$B$48:'TE'!$B$85,$I$2,TE!$AE$48:'TE'!$AE$85),SUMIF(TE!$A$48:'TE'!$A$85,$I$2,TE!$AE$48:'TE'!$AE$85)))))))</f>
        <v>0</v>
      </c>
      <c r="J8" s="45">
        <f>IF($G$2&lt;&gt;"Não se aplica",SUMIF(TE!$G$48:'TE'!$G$85,$I$2,TE!$AF$48:'TE'!$AF$85),IF($F$2&lt;&gt;"Não se aplica",SUMIF(TE!$F$48:'TE'!$F$85,$I$2,TE!$AF$48:'TE'!$AF$85),IF($E$2&lt;&gt;"Não se aplica",SUMIF(TE!$E$48:'TE'!$E$85,$I$2,TE!$AF$48:'TE'!$AF$85),IF($D$2&lt;&gt;"Não se aplica",SUMIF(TE!$D$48:'TE'!$D$85,$I$2,TE!$AF$48:'TE'!$AF$85),IF($C$2&lt;&gt;"Não se aplica",SUMIF(TE!$C$48:'TE'!$C$85,$I$2,TE!$AF$48:'TE'!$AF$85),IF($B$2&lt;&gt;"Não se aplica",SUMIF(TE!$B$48:'TE'!$B$85,$I$2,TE!$AF$48:'TE'!$AF$85),SUMIF(TE!$A$48:'TE'!$A$85,$I$2,TE!$AF$48:'TE'!$AF$85)))))))</f>
        <v>0</v>
      </c>
      <c r="K8" s="45">
        <f>IF($G$2&lt;&gt;"Não se aplica",SUMIF(TE!$G$48:'TE'!$G$85,$I$2,TE!$AG$48:'TE'!$AG$85),IF($F$2&lt;&gt;"Não se aplica",SUMIF(TE!$F$48:'TE'!$F$85,$I$2,TE!$AG$48:'TE'!$AG$85),IF($E$2&lt;&gt;"Não se aplica",SUMIF(TE!$E$48:'TE'!$E$85,$I$2,TE!$AG$48:'TE'!$AG$85),IF($D$2&lt;&gt;"Não se aplica",SUMIF(TE!$D$48:'TE'!$D$85,$I$2,TE!$AG$48:'TE'!$AG$85),IF($C$2&lt;&gt;"Não se aplica",SUMIF(TE!$C$48:'TE'!$C$85,$I$2,TE!$AG$48:'TE'!$AG$85),IF($B$2&lt;&gt;"Não se aplica",SUMIF(TE!$B$48:'TE'!$B$85,$I$2,TE!$AG$48:'TE'!$AG$85),SUMIF(TE!$A$48:'TE'!$A$85,$I$2,TE!$AG$48:'TE'!$AG$85)))))))</f>
        <v>0</v>
      </c>
      <c r="L8" s="45">
        <f>IF($G$2&lt;&gt;"Não se aplica",SUMIF(TE!$G$48:'TE'!$G$85,$I$2,TE!$AH$48:'TE'!$AH$85),IF($F$2&lt;&gt;"Não se aplica",SUMIF(TE!$F$48:'TE'!$F$85,$I$2,TE!$AH$48:'TE'!$AH$85),IF($E$2&lt;&gt;"Não se aplica",SUMIF(TE!$E$48:'TE'!$E$85,$I$2,TE!$AH$48:'TE'!$AH$85),IF($D$2&lt;&gt;"Não se aplica",SUMIF(TE!$D$48:'TE'!$D$85,$I$2,TE!$AH$48:'TE'!$AH$85),IF($C$2&lt;&gt;"Não se aplica",SUMIF(TE!$C$48:'TE'!$C$85,$I$2,TE!$AH$48:'TE'!$AH$85),IF($B$2&lt;&gt;"Não se aplica",SUMIF(TE!$B$48:'TE'!$B$85,$I$2,TE!$AH$48:'TE'!$AH$85),SUMIF(TE!$A$48:'TE'!$A$85,$I$2,TE!$AH$48:'TE'!$AH$85)))))))</f>
        <v>0</v>
      </c>
      <c r="M8" s="45">
        <f t="shared" si="0"/>
        <v>8820233.758715516</v>
      </c>
      <c r="AD8" s="14" t="s">
        <v>90</v>
      </c>
    </row>
    <row r="9" spans="1:33" x14ac:dyDescent="0.2">
      <c r="A9" s="14" t="s">
        <v>1007</v>
      </c>
      <c r="B9" s="45">
        <f>IF($G$2&lt;&gt;"Não se aplica",SUMIF(TE!$G$48:'TE'!$G$85,$I$2,TE!$L$48:'TE'!$L$85),IF($F$2&lt;&gt;"Não se aplica",SUMIF(TE!$F$48:'TE'!$F$85,$I$2,TE!$L$48:'TE'!$L$85),IF($E$2&lt;&gt;"Não se aplica",SUMIF(TE!$E$48:'TE'!$E$85,$I$2,TE!$L$48:'TE'!$L$85),IF($D$2&lt;&gt;"Não se aplica",SUMIF(TE!$D$48:'TE'!$D$85,$I$2,TE!$L$48:'TE'!$L$85),IF($C$2&lt;&gt;"Não se aplica",SUMIF(TE!$C$48:'TE'!$C$85,$I$2,TE!$L$48:'TE'!$L$85),IF($B$2&lt;&gt;"Não se aplica",SUMIF(TE!$B$48:'TE'!$B$85,$I$2,TE!$L$48:'TE'!$L$85),SUMIF(TE!$A$48:'TE'!$A$85,$I$2,TE!$L$48:'TE'!$L$85)))))))</f>
        <v>0</v>
      </c>
      <c r="C9" s="45">
        <f>IF($G$2&lt;&gt;"Não se aplica",SUMIF(TE!$G$48:'TE'!$G$85,$I$2,TE!$M$48:'TE'!$M$85),IF($F$2&lt;&gt;"Não se aplica",SUMIF(TE!$F$48:'TE'!$F$85,$I$2,TE!$M$48:'TE'!$M$85),IF($E$2&lt;&gt;"Não se aplica",SUMIF(TE!$E$48:'TE'!$E$85,$I$2,TE!$M$48:'TE'!$M$85),IF($D$2&lt;&gt;"Não se aplica",SUMIF(TE!$D$48:'TE'!$D$85,$I$2,TE!$M$48:'TE'!$M$85),IF($C$2&lt;&gt;"Não se aplica",SUMIF(TE!$C$48:'TE'!$C$85,$I$2,TE!$M$48:'TE'!$M$85),IF($B$2&lt;&gt;"Não se aplica",SUMIF(TE!$B$48:'TE'!$B$85,$I$2,TE!$M$48:'TE'!$M$85),SUMIF(TE!$A$48:'TE'!$A$85,$I$2,TE!$M$48:'TE'!$M$85)))))))</f>
        <v>1085639.9967596978</v>
      </c>
      <c r="D9" s="45">
        <f>IF($G$2&lt;&gt;"Não se aplica",SUMIF(TE!$G$48:'TE'!$G$85,$I$2,TE!$N$48:'TE'!$N$85),IF($F$2&lt;&gt;"Não se aplica",SUMIF(TE!$F$48:'TE'!$F$85,$I$2,TE!$N$48:'TE'!$N$85),IF($E$2&lt;&gt;"Não se aplica",SUMIF(TE!$E$48:'TE'!$E$85,$I$2,TE!$N$48:'TE'!$N$85),IF($D$2&lt;&gt;"Não se aplica",SUMIF(TE!$D$48:'TE'!$D$85,$I$2,TE!$N$48:'TE'!$N$85),IF($C$2&lt;&gt;"Não se aplica",SUMIF(TE!$C$48:'TE'!$C$85,$I$2,TE!$N$48:'TE'!$N$85),IF($B$2&lt;&gt;"Não se aplica",SUMIF(TE!$B$48:'TE'!$B$85,$I$2,TE!$N$48:'TE'!$N$85),SUMIF(TE!$A$48:'TE'!$A$85,$I$2,TE!$N$48:'TE'!$N$85)))))))</f>
        <v>0</v>
      </c>
      <c r="E9" s="45">
        <f>IF($G$2&lt;&gt;"Não se aplica",SUMIF(TE!$G$48:'TE'!$G$85,$I$2,TE!$O$48:'TE'!$O$85),IF($F$2&lt;&gt;"Não se aplica",SUMIF(TE!$F$48:'TE'!$F$85,$I$2,TE!$O$48:'TE'!$O$85),IF($E$2&lt;&gt;"Não se aplica",SUMIF(TE!$E$48:'TE'!$E$85,$I$2,TE!$O$48:'TE'!$O$85),IF($D$2&lt;&gt;"Não se aplica",SUMIF(TE!$D$48:'TE'!$D$85,$I$2,TE!$O$48:'TE'!$O$85),IF($C$2&lt;&gt;"Não se aplica",SUMIF(TE!$C$48:'TE'!$C$85,$I$2,TE!$O$48:'TE'!$O$85),IF($B$2&lt;&gt;"Não se aplica",SUMIF(TE!$B$48:'TE'!$B$85,$I$2,TE!$O$48:'TE'!$O$85),SUMIF(TE!$A$48:'TE'!$A$85,$I$2,TE!$O$48:'TE'!$O$85)))))))</f>
        <v>0</v>
      </c>
      <c r="F9" s="45">
        <f>IF($G$2&lt;&gt;"Não se aplica",SUMIF(TE!$G$48:'TE'!$G$85,$I$2,TE!$P$48:'TE'!$P$85),IF($F$2&lt;&gt;"Não se aplica",SUMIF(TE!$F$48:'TE'!$F$85,$I$2,TE!$P$48:'TE'!$P$85),IF($E$2&lt;&gt;"Não se aplica",SUMIF(TE!$E$48:'TE'!$E$85,$I$2,TE!$P$48:'TE'!$P$85),IF($D$2&lt;&gt;"Não se aplica",SUMIF(TE!$D$48:'TE'!$D$85,$I$2,TE!$P$48:'TE'!$P$85),IF($C$2&lt;&gt;"Não se aplica",SUMIF(TE!$C$48:'TE'!$C$85,$I$2,TE!$P$48:'TE'!$P$85),IF($B$2&lt;&gt;"Não se aplica",SUMIF(TE!$B$48:'TE'!$B$85,$I$2,TE!$P$48:'TE'!$P$85),SUMIF(TE!$A$48:'TE'!$A$85,$I$2,TE!$P$48:'TE'!$P$85)))))))</f>
        <v>-617091.55524332426</v>
      </c>
      <c r="G9" s="45">
        <f>IF($G$2&lt;&gt;"Não se aplica",SUMIF(TE!$G$48:'TE'!$G$85,$I$2,TE!$Q$48:'TE'!$Q$85),IF($F$2&lt;&gt;"Não se aplica",SUMIF(TE!$F$48:'TE'!$F$85,$I$2,TE!$Q$48:'TE'!$Q$85),IF($E$2&lt;&gt;"Não se aplica",SUMIF(TE!$E$48:'TE'!$E$85,$I$2,TE!$Q$48:'TE'!$Q$85),IF($D$2&lt;&gt;"Não se aplica",SUMIF(TE!$D$48:'TE'!$D$85,$I$2,TE!$Q$48:'TE'!$Q$85),IF($C$2&lt;&gt;"Não se aplica",SUMIF(TE!$C$48:'TE'!$C$85,$I$2,TE!$Q$48:'TE'!$Q$85),IF($B$2&lt;&gt;"Não se aplica",SUMIF(TE!$B$48:'TE'!$B$85,$I$2,TE!$Q$48:'TE'!$Q$85),SUMIF(TE!$A$48:'TE'!$A$85,$I$2,TE!$Q$48:'TE'!$Q$85)))))))</f>
        <v>7465427.4031554414</v>
      </c>
      <c r="H9" s="45">
        <f>IF($G$2&lt;&gt;"Não se aplica",SUMIF(TE!$G$48:'TE'!$G$85,$I$2,TE!$R$48:'TE'!$R$85),IF($F$2&lt;&gt;"Não se aplica",SUMIF(TE!$F$48:'TE'!$F$85,$I$2,TE!$R$48:'TE'!$R$85),IF($E$2&lt;&gt;"Não se aplica",SUMIF(TE!$E$48:'TE'!$E$85,$I$2,TE!$R$48:'TE'!$R$85),IF($D$2&lt;&gt;"Não se aplica",SUMIF(TE!$D$48:'TE'!$D$85,$I$2,TE!$R$48:'TE'!$R$85),IF($C$2&lt;&gt;"Não se aplica",SUMIF(TE!$C$48:'TE'!$C$85,$I$2,TE!$R$48:'TE'!$R$85),IF($B$2&lt;&gt;"Não se aplica",SUMIF(TE!$B$48:'TE'!$B$85,$I$2,TE!$R$48:'TE'!$R$85),SUMIF(TE!$A$48:'TE'!$A$85,$I$2,TE!$R$48:'TE'!$R$85)))))))</f>
        <v>0</v>
      </c>
      <c r="I9" s="45">
        <f>IF($G$2&lt;&gt;"Não se aplica",SUMIF(TE!$G$48:'TE'!$G$85,$I$2,TE!$S$48:'TE'!$S$85),IF($F$2&lt;&gt;"Não se aplica",SUMIF(TE!$F$48:'TE'!$F$85,$I$2,TE!$S$48:'TE'!$S$85),IF($E$2&lt;&gt;"Não se aplica",SUMIF(TE!$E$48:'TE'!$E$85,$I$2,TE!$S$48:'TE'!$S$85),IF($D$2&lt;&gt;"Não se aplica",SUMIF(TE!$D$48:'TE'!$D$85,$I$2,TE!$S$48:'TE'!$S$85),IF($C$2&lt;&gt;"Não se aplica",SUMIF(TE!$C$48:'TE'!$C$85,$I$2,TE!$S$48:'TE'!$S$85),IF($B$2&lt;&gt;"Não se aplica",SUMIF(TE!$B$48:'TE'!$B$85,$I$2,TE!$S$48:'TE'!$S$85),SUMIF(TE!$A$48:'TE'!$A$85,$I$2,TE!$S$48:'TE'!$S$85)))))))</f>
        <v>0</v>
      </c>
      <c r="J9" s="45">
        <f>IF($G$2&lt;&gt;"Não se aplica",SUMIF(TE!$G$48:'TE'!$G$85,$I$2,TE!$T$48:'TE'!$T$85),IF($F$2&lt;&gt;"Não se aplica",SUMIF(TE!$F$48:'TE'!$F$85,$I$2,TE!$T$48:'TE'!$T$85),IF($E$2&lt;&gt;"Não se aplica",SUMIF(TE!$E$48:'TE'!$E$85,$I$2,TE!$T$48:'TE'!$T$85),IF($D$2&lt;&gt;"Não se aplica",SUMIF(TE!$D$48:'TE'!$D$85,$I$2,TE!$T$48:'TE'!$T$85),IF($C$2&lt;&gt;"Não se aplica",SUMIF(TE!$C$48:'TE'!$C$85,$I$2,TE!$T$48:'TE'!$T$85),IF($B$2&lt;&gt;"Não se aplica",SUMIF(TE!$B$48:'TE'!$B$85,$I$2,TE!$T$48:'TE'!$T$85),SUMIF(TE!$A$48:'TE'!$A$85,$I$2,TE!$T$48:'TE'!$T$85)))))))</f>
        <v>0</v>
      </c>
      <c r="K9" s="45">
        <f>IF($G$2&lt;&gt;"Não se aplica",SUMIF(TE!$G$48:'TE'!$G$85,$I$2,TE!$U$48:'TE'!$U$85),IF($F$2&lt;&gt;"Não se aplica",SUMIF(TE!$F$48:'TE'!$F$85,$I$2,TE!$U$48:'TE'!$U$85),IF($E$2&lt;&gt;"Não se aplica",SUMIF(TE!$E$48:'TE'!$E$85,$I$2,TE!$U$48:'TE'!$U$85),IF($D$2&lt;&gt;"Não se aplica",SUMIF(TE!$D$48:'TE'!$D$85,$I$2,TE!$U$48:'TE'!$U$85),IF($C$2&lt;&gt;"Não se aplica",SUMIF(TE!$C$48:'TE'!$C$85,$I$2,TE!$U$48:'TE'!$U$85),IF($B$2&lt;&gt;"Não se aplica",SUMIF(TE!$B$48:'TE'!$B$85,$I$2,TE!$U$48:'TE'!$U$85),SUMIF(TE!$A$48:'TE'!$A$85,$I$2,TE!$U$48:'TE'!$U$85)))))))</f>
        <v>0</v>
      </c>
      <c r="L9" s="45">
        <f>IF($G$2&lt;&gt;"Não se aplica",SUMIF(TE!$G$48:'TE'!$G$85,$I$2,TE!$V$48:'TE'!$V$85),IF($F$2&lt;&gt;"Não se aplica",SUMIF(TE!$F$48:'TE'!$F$85,$I$2,TE!$V$48:'TE'!$V$85),IF($E$2&lt;&gt;"Não se aplica",SUMIF(TE!$E$48:'TE'!$E$85,$I$2,TE!$V$48:'TE'!$V$85),IF($D$2&lt;&gt;"Não se aplica",SUMIF(TE!$D$48:'TE'!$D$85,$I$2,TE!$V$48:'TE'!$V$85),IF($C$2&lt;&gt;"Não se aplica",SUMIF(TE!$C$48:'TE'!$C$85,$I$2,TE!$V$48:'TE'!$V$85),IF($B$2&lt;&gt;"Não se aplica",SUMIF(TE!$B$48:'TE'!$B$85,$I$2,TE!$V$48:'TE'!$V$85),SUMIF(TE!$A$48:'TE'!$A$85,$I$2,TE!$V$48:'TE'!$V$85)))))))</f>
        <v>261892.03942300155</v>
      </c>
      <c r="M9" s="45">
        <f t="shared" si="0"/>
        <v>8195867.8840948166</v>
      </c>
      <c r="AD9" s="14" t="s">
        <v>46</v>
      </c>
    </row>
    <row r="10" spans="1:33" x14ac:dyDescent="0.2">
      <c r="A10" s="14" t="s">
        <v>1004</v>
      </c>
      <c r="B10" s="45">
        <f>SUMIF(TE!$A$48:'TE'!$A$85,$A$2,TE!$X$48:'TE'!$X$85)</f>
        <v>0</v>
      </c>
      <c r="C10" s="45">
        <f>SUMIF(TE!$A$48:'TE'!$A$85,$A$2,TE!$Y$48:'TE'!$Y$85)</f>
        <v>118406.71193512667</v>
      </c>
      <c r="D10" s="45">
        <f>SUMIF(TE!$A$48:'TE'!$A$85,$A$2,TE!$Z$48:'TE'!$Z$85)</f>
        <v>0</v>
      </c>
      <c r="E10" s="45">
        <f>SUMIF(TE!$A$48:'TE'!$A$85,$A$2,TE!$AA$48:'TE'!$AA$85)</f>
        <v>0</v>
      </c>
      <c r="F10" s="45">
        <f>SUMIF(TE!$A$48:'TE'!$A$85,$A$2,TE!$AB$48:'TE'!$AB$85)</f>
        <v>0</v>
      </c>
      <c r="G10" s="45">
        <f>SUMIF(TE!$A$48:'TE'!$A$85,$A$2,TE!$AC$48:'TE'!$AC$85)</f>
        <v>8701827.0467803888</v>
      </c>
      <c r="H10" s="45">
        <f>SUMIF(TE!$A$48:'TE'!$A$85,$A$2,TE!$AD$48:'TE'!$AD$85)</f>
        <v>0</v>
      </c>
      <c r="I10" s="45">
        <f>SUMIF(TE!$A$48:'TE'!$A$85,$A$2,TE!$AE$48:'TE'!$AE$85)</f>
        <v>0</v>
      </c>
      <c r="J10" s="45">
        <f>SUMIF(TE!$A$48:'TE'!$A$85,$A$2,TE!$AF$48:'TE'!$AF$85)</f>
        <v>0</v>
      </c>
      <c r="K10" s="45">
        <f>SUMIF(TE!$A$48:'TE'!$A$85,$A$2,TE!$AG$48:'TE'!$AG$85)</f>
        <v>0</v>
      </c>
      <c r="L10" s="45">
        <f>SUMIF(TE!$A$48:'TE'!$A$85,$A$2,TE!$AH$48:'TE'!$AH$85)</f>
        <v>0</v>
      </c>
      <c r="M10" s="45">
        <f t="shared" si="0"/>
        <v>8820233.758715516</v>
      </c>
      <c r="AD10" s="14" t="s">
        <v>91</v>
      </c>
    </row>
    <row r="11" spans="1:33" x14ac:dyDescent="0.2">
      <c r="A11" s="14" t="s">
        <v>1005</v>
      </c>
      <c r="B11" s="45">
        <f>SUMIF(TE!$A$48:'TE'!$A$85,$A$2,TE!$L$48:'TE'!$L$85)</f>
        <v>0</v>
      </c>
      <c r="C11" s="45">
        <f>SUMIF(TE!$A$48:'TE'!$A$85,$A$2,TE!$M$48:'TE'!$M$85)</f>
        <v>1085639.9967596978</v>
      </c>
      <c r="D11" s="45">
        <f>SUMIF(TE!$A$48:'TE'!$A$85,$A$2,TE!$N$48:'TE'!$N$85)</f>
        <v>0</v>
      </c>
      <c r="E11" s="45">
        <f>SUMIF(TE!$A$48:'TE'!$A$85,$A$2,TE!$O$48:'TE'!$O$85)</f>
        <v>0</v>
      </c>
      <c r="F11" s="45">
        <f>SUMIF(TE!$A$48:'TE'!$A$85,$A$2,TE!$P$48:'TE'!$P$85)</f>
        <v>-617091.55524332426</v>
      </c>
      <c r="G11" s="45">
        <f>SUMIF(TE!$A$48:'TE'!$A$85,$A$2,TE!$Q$48:'TE'!$Q$85)</f>
        <v>7465427.4031554414</v>
      </c>
      <c r="H11" s="45">
        <f>SUMIF(TE!$A$48:'TE'!$A$85,$A$2,TE!$R$48:'TE'!$R$85)</f>
        <v>0</v>
      </c>
      <c r="I11" s="45">
        <f>SUMIF(TE!$A$48:'TE'!$A$85,$A$2,TE!$S$48:'TE'!$S$85)</f>
        <v>0</v>
      </c>
      <c r="J11" s="45">
        <f>SUMIF(TE!$A$48:'TE'!$A$85,$A$2,TE!$T$48:'TE'!$T$85)</f>
        <v>0</v>
      </c>
      <c r="K11" s="45">
        <f>SUMIF(TE!$A$48:'TE'!$A$85,$A$2,TE!$U$48:'TE'!$U$85)</f>
        <v>0</v>
      </c>
      <c r="L11" s="45">
        <f>SUMIF(TE!$A$48:'TE'!$A$85,$A$2,TE!$V$48:'TE'!$V$85)</f>
        <v>261892.03942300155</v>
      </c>
      <c r="M11" s="45">
        <f t="shared" si="0"/>
        <v>8195867.8840948166</v>
      </c>
    </row>
    <row r="13" spans="1:33" x14ac:dyDescent="0.2">
      <c r="A13" s="14" t="s">
        <v>1009</v>
      </c>
      <c r="B13" s="63">
        <f t="shared" ref="B13:M13" si="1">IF($M$6&lt;&gt;0,(B$7-B$6)/$M$6,0)</f>
        <v>0</v>
      </c>
      <c r="C13" s="63">
        <f t="shared" si="1"/>
        <v>0.11194344990655998</v>
      </c>
      <c r="D13" s="63">
        <f t="shared" si="1"/>
        <v>0</v>
      </c>
      <c r="E13" s="63">
        <f t="shared" si="1"/>
        <v>0</v>
      </c>
      <c r="F13" s="63">
        <f t="shared" si="1"/>
        <v>-7.126070088086997E-2</v>
      </c>
      <c r="G13" s="63">
        <f t="shared" si="1"/>
        <v>-0.12448048591049998</v>
      </c>
      <c r="H13" s="63">
        <f t="shared" si="1"/>
        <v>0</v>
      </c>
      <c r="I13" s="63">
        <f t="shared" si="1"/>
        <v>0</v>
      </c>
      <c r="J13" s="63">
        <f t="shared" si="1"/>
        <v>0</v>
      </c>
      <c r="K13" s="63">
        <f t="shared" si="1"/>
        <v>0</v>
      </c>
      <c r="L13" s="63">
        <f t="shared" si="1"/>
        <v>3.0242854769005387E-2</v>
      </c>
      <c r="M13" s="63">
        <f t="shared" si="1"/>
        <v>-5.3554882115804683E-2</v>
      </c>
    </row>
    <row r="14" spans="1:33" x14ac:dyDescent="0.2">
      <c r="A14" s="14" t="s">
        <v>1010</v>
      </c>
      <c r="B14" s="63">
        <f t="shared" ref="B14:M14" si="2">IF($M$10&lt;&gt;0,(B$9-B$8)/$M$10,0)</f>
        <v>0</v>
      </c>
      <c r="C14" s="63">
        <f t="shared" si="2"/>
        <v>0.10966073136880541</v>
      </c>
      <c r="D14" s="63">
        <f t="shared" si="2"/>
        <v>0</v>
      </c>
      <c r="E14" s="63">
        <f t="shared" si="2"/>
        <v>0</v>
      </c>
      <c r="F14" s="63">
        <f t="shared" si="2"/>
        <v>-6.9963174687242169E-2</v>
      </c>
      <c r="G14" s="63">
        <f t="shared" si="2"/>
        <v>-0.14017765032624299</v>
      </c>
      <c r="H14" s="63">
        <f t="shared" si="2"/>
        <v>0</v>
      </c>
      <c r="I14" s="63">
        <f t="shared" si="2"/>
        <v>0</v>
      </c>
      <c r="J14" s="63">
        <f t="shared" si="2"/>
        <v>0</v>
      </c>
      <c r="K14" s="63">
        <f t="shared" si="2"/>
        <v>0</v>
      </c>
      <c r="L14" s="63">
        <f t="shared" si="2"/>
        <v>2.9692188051616979E-2</v>
      </c>
      <c r="M14" s="63">
        <f t="shared" si="2"/>
        <v>-7.0787905593062792E-2</v>
      </c>
    </row>
    <row r="15" spans="1:33" x14ac:dyDescent="0.2">
      <c r="A15" s="14" t="s">
        <v>1011</v>
      </c>
      <c r="B15" s="63">
        <f t="shared" ref="B15:M15" si="3">IF($M$8&lt;&gt;0,(B$9-B$8)/$M$8,0)</f>
        <v>0</v>
      </c>
      <c r="C15" s="63">
        <f t="shared" si="3"/>
        <v>0.10966073136880541</v>
      </c>
      <c r="D15" s="63">
        <f t="shared" si="3"/>
        <v>0</v>
      </c>
      <c r="E15" s="63">
        <f t="shared" si="3"/>
        <v>0</v>
      </c>
      <c r="F15" s="63">
        <f t="shared" si="3"/>
        <v>-6.9963174687242169E-2</v>
      </c>
      <c r="G15" s="63">
        <f t="shared" si="3"/>
        <v>-0.14017765032624299</v>
      </c>
      <c r="H15" s="63">
        <f t="shared" si="3"/>
        <v>0</v>
      </c>
      <c r="I15" s="63">
        <f t="shared" si="3"/>
        <v>0</v>
      </c>
      <c r="J15" s="63">
        <f t="shared" si="3"/>
        <v>0</v>
      </c>
      <c r="K15" s="63">
        <f t="shared" si="3"/>
        <v>0</v>
      </c>
      <c r="L15" s="63">
        <f t="shared" si="3"/>
        <v>2.9692188051616979E-2</v>
      </c>
      <c r="M15" s="63">
        <f t="shared" si="3"/>
        <v>-7.0787905593062792E-2</v>
      </c>
    </row>
  </sheetData>
  <dataValidations count="4">
    <dataValidation type="list" allowBlank="1" showInputMessage="1" showErrorMessage="1" sqref="A2 G2" xr:uid="{D888D0A8-FD2D-4E63-98A6-355337D43415}">
      <formula1>AA1:AA5</formula1>
    </dataValidation>
    <dataValidation type="list" allowBlank="1" showInputMessage="1" showErrorMessage="1" sqref="B2 C2" xr:uid="{88DD727B-42A1-4F4A-855F-0730EA26DF42}">
      <formula1>AB1:AB4</formula1>
    </dataValidation>
    <dataValidation type="list" allowBlank="1" showInputMessage="1" showErrorMessage="1" sqref="D2" xr:uid="{26D12C8E-4640-4BA4-A8EB-CD4F8A75D188}">
      <formula1>AD1:AD10</formula1>
    </dataValidation>
    <dataValidation type="list" allowBlank="1" showInputMessage="1" showErrorMessage="1" sqref="E2 F2" xr:uid="{00B2F2E0-088A-47AE-AACA-C5BBB668D3B0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5D92-D42B-4BC4-A0BF-BCF5AF24D47C}">
  <dimension ref="B1:U14"/>
  <sheetViews>
    <sheetView showGridLines="0" topLeftCell="K1" workbookViewId="0">
      <selection activeCell="U1" sqref="U1"/>
    </sheetView>
  </sheetViews>
  <sheetFormatPr defaultRowHeight="15" x14ac:dyDescent="0.25"/>
  <sheetData>
    <row r="1" spans="2:21" x14ac:dyDescent="0.25">
      <c r="B1" s="57" t="s">
        <v>618</v>
      </c>
      <c r="C1" s="57" t="s">
        <v>619</v>
      </c>
      <c r="D1" s="57" t="s">
        <v>620</v>
      </c>
      <c r="E1" s="57" t="s">
        <v>2</v>
      </c>
      <c r="F1" s="57" t="s">
        <v>621</v>
      </c>
      <c r="G1" s="57" t="s">
        <v>530</v>
      </c>
      <c r="H1" s="57" t="s">
        <v>3</v>
      </c>
      <c r="I1" s="57" t="s">
        <v>622</v>
      </c>
      <c r="J1" s="57" t="s">
        <v>5</v>
      </c>
      <c r="K1" s="57" t="s">
        <v>1</v>
      </c>
      <c r="L1" s="57" t="s">
        <v>623</v>
      </c>
      <c r="M1" s="57" t="s">
        <v>624</v>
      </c>
      <c r="N1" s="57" t="s">
        <v>625</v>
      </c>
      <c r="O1" s="57" t="s">
        <v>626</v>
      </c>
      <c r="P1" s="57" t="s">
        <v>627</v>
      </c>
      <c r="Q1" s="57" t="s">
        <v>628</v>
      </c>
      <c r="R1" s="57" t="s">
        <v>629</v>
      </c>
      <c r="S1" s="57" t="s">
        <v>630</v>
      </c>
      <c r="T1" s="57" t="s">
        <v>631</v>
      </c>
      <c r="U1" s="57" t="s">
        <v>632</v>
      </c>
    </row>
    <row r="2" spans="2:21" x14ac:dyDescent="0.25">
      <c r="B2" s="56" t="s">
        <v>605</v>
      </c>
      <c r="C2" s="56">
        <v>5558</v>
      </c>
      <c r="D2" s="56">
        <v>2783</v>
      </c>
      <c r="E2" s="56" t="s">
        <v>23</v>
      </c>
      <c r="F2" s="56">
        <v>1</v>
      </c>
      <c r="G2" s="56" t="s">
        <v>606</v>
      </c>
      <c r="H2" s="56" t="s">
        <v>42</v>
      </c>
      <c r="I2" s="56" t="s">
        <v>25</v>
      </c>
      <c r="J2" s="56" t="s">
        <v>42</v>
      </c>
      <c r="K2" s="56" t="s">
        <v>41</v>
      </c>
      <c r="L2" s="56">
        <v>0.3</v>
      </c>
      <c r="M2" s="56">
        <v>0.24</v>
      </c>
      <c r="N2" s="56">
        <v>0.18</v>
      </c>
      <c r="O2" s="56">
        <v>0.12</v>
      </c>
      <c r="P2" s="56">
        <v>0.06</v>
      </c>
      <c r="Q2" s="56">
        <v>0</v>
      </c>
      <c r="R2" s="56"/>
      <c r="S2" s="56"/>
      <c r="T2" s="56"/>
      <c r="U2" s="56">
        <v>3</v>
      </c>
    </row>
    <row r="3" spans="2:21" x14ac:dyDescent="0.25">
      <c r="B3" s="56" t="s">
        <v>607</v>
      </c>
      <c r="C3" s="56">
        <v>7461</v>
      </c>
      <c r="D3" s="56">
        <v>2783</v>
      </c>
      <c r="E3" s="56" t="s">
        <v>36</v>
      </c>
      <c r="F3" s="56">
        <v>1</v>
      </c>
      <c r="G3" s="56" t="s">
        <v>606</v>
      </c>
      <c r="H3" s="56" t="s">
        <v>42</v>
      </c>
      <c r="I3" s="56" t="s">
        <v>25</v>
      </c>
      <c r="J3" s="56" t="s">
        <v>555</v>
      </c>
      <c r="K3" s="56" t="s">
        <v>35</v>
      </c>
      <c r="L3" s="56">
        <v>0.1</v>
      </c>
      <c r="M3" s="56">
        <v>0.08</v>
      </c>
      <c r="N3" s="56">
        <v>0.06</v>
      </c>
      <c r="O3" s="56">
        <v>0.04</v>
      </c>
      <c r="P3" s="56">
        <v>0.02</v>
      </c>
      <c r="Q3" s="56">
        <v>0</v>
      </c>
      <c r="R3" s="56"/>
      <c r="S3" s="56"/>
      <c r="T3" s="56"/>
      <c r="U3" s="56">
        <v>3</v>
      </c>
    </row>
    <row r="4" spans="2:21" x14ac:dyDescent="0.25">
      <c r="B4" s="56" t="s">
        <v>608</v>
      </c>
      <c r="C4" s="56">
        <v>7462</v>
      </c>
      <c r="D4" s="56">
        <v>2783</v>
      </c>
      <c r="E4" s="56" t="s">
        <v>39</v>
      </c>
      <c r="F4" s="56">
        <v>1</v>
      </c>
      <c r="G4" s="56" t="s">
        <v>606</v>
      </c>
      <c r="H4" s="56" t="s">
        <v>42</v>
      </c>
      <c r="I4" s="56" t="s">
        <v>25</v>
      </c>
      <c r="J4" s="56" t="s">
        <v>555</v>
      </c>
      <c r="K4" s="56" t="s">
        <v>35</v>
      </c>
      <c r="L4" s="56">
        <v>0.1</v>
      </c>
      <c r="M4" s="56">
        <v>0.08</v>
      </c>
      <c r="N4" s="56">
        <v>0.06</v>
      </c>
      <c r="O4" s="56">
        <v>0.04</v>
      </c>
      <c r="P4" s="56">
        <v>0.02</v>
      </c>
      <c r="Q4" s="56">
        <v>0</v>
      </c>
      <c r="R4" s="56"/>
      <c r="S4" s="56"/>
      <c r="T4" s="56"/>
      <c r="U4" s="56">
        <v>3</v>
      </c>
    </row>
    <row r="5" spans="2:21" x14ac:dyDescent="0.25">
      <c r="B5" s="56" t="s">
        <v>609</v>
      </c>
      <c r="C5" s="56">
        <v>7463</v>
      </c>
      <c r="D5" s="56">
        <v>2783</v>
      </c>
      <c r="E5" s="56" t="s">
        <v>36</v>
      </c>
      <c r="F5" s="56">
        <v>1</v>
      </c>
      <c r="G5" s="56" t="s">
        <v>606</v>
      </c>
      <c r="H5" s="56" t="s">
        <v>47</v>
      </c>
      <c r="I5" s="56" t="s">
        <v>48</v>
      </c>
      <c r="J5" s="56" t="s">
        <v>556</v>
      </c>
      <c r="K5" s="56" t="s">
        <v>35</v>
      </c>
      <c r="L5" s="56">
        <v>0.15</v>
      </c>
      <c r="M5" s="56">
        <v>0.12</v>
      </c>
      <c r="N5" s="56">
        <v>0.09</v>
      </c>
      <c r="O5" s="56">
        <v>0.06</v>
      </c>
      <c r="P5" s="56">
        <v>0.03</v>
      </c>
      <c r="Q5" s="56">
        <v>0</v>
      </c>
      <c r="R5" s="56"/>
      <c r="S5" s="56"/>
      <c r="T5" s="56"/>
      <c r="U5" s="56">
        <v>3</v>
      </c>
    </row>
    <row r="6" spans="2:21" x14ac:dyDescent="0.25">
      <c r="B6" s="56" t="s">
        <v>610</v>
      </c>
      <c r="C6" s="56">
        <v>7464</v>
      </c>
      <c r="D6" s="56">
        <v>2783</v>
      </c>
      <c r="E6" s="56" t="s">
        <v>39</v>
      </c>
      <c r="F6" s="56">
        <v>1</v>
      </c>
      <c r="G6" s="56" t="s">
        <v>606</v>
      </c>
      <c r="H6" s="56" t="s">
        <v>47</v>
      </c>
      <c r="I6" s="56" t="s">
        <v>48</v>
      </c>
      <c r="J6" s="56" t="s">
        <v>556</v>
      </c>
      <c r="K6" s="56" t="s">
        <v>35</v>
      </c>
      <c r="L6" s="56">
        <v>0.15</v>
      </c>
      <c r="M6" s="56">
        <v>0.12</v>
      </c>
      <c r="N6" s="56">
        <v>0.09</v>
      </c>
      <c r="O6" s="56">
        <v>0.06</v>
      </c>
      <c r="P6" s="56">
        <v>0.03</v>
      </c>
      <c r="Q6" s="56">
        <v>0</v>
      </c>
      <c r="R6" s="56"/>
      <c r="S6" s="56"/>
      <c r="T6" s="56"/>
      <c r="U6" s="56">
        <v>3</v>
      </c>
    </row>
    <row r="7" spans="2:21" x14ac:dyDescent="0.25">
      <c r="B7" s="56" t="s">
        <v>605</v>
      </c>
      <c r="C7" s="56">
        <v>7465</v>
      </c>
      <c r="D7" s="56">
        <v>2783</v>
      </c>
      <c r="E7" s="56" t="s">
        <v>23</v>
      </c>
      <c r="F7" s="56">
        <v>1</v>
      </c>
      <c r="G7" s="56" t="s">
        <v>606</v>
      </c>
      <c r="H7" s="56" t="s">
        <v>42</v>
      </c>
      <c r="I7" s="56" t="s">
        <v>25</v>
      </c>
      <c r="J7" s="56" t="s">
        <v>42</v>
      </c>
      <c r="K7" s="56" t="s">
        <v>41</v>
      </c>
      <c r="L7" s="56">
        <v>0.3</v>
      </c>
      <c r="M7" s="56">
        <v>0.24</v>
      </c>
      <c r="N7" s="56">
        <v>0.18</v>
      </c>
      <c r="O7" s="56">
        <v>0.12</v>
      </c>
      <c r="P7" s="56">
        <v>0.06</v>
      </c>
      <c r="Q7" s="56">
        <v>0</v>
      </c>
      <c r="R7" s="56"/>
      <c r="S7" s="56"/>
      <c r="T7" s="56"/>
      <c r="U7" s="56">
        <v>3</v>
      </c>
    </row>
    <row r="8" spans="2:21" x14ac:dyDescent="0.25">
      <c r="B8" s="56" t="s">
        <v>611</v>
      </c>
      <c r="C8" s="56">
        <v>7466</v>
      </c>
      <c r="D8" s="56">
        <v>2783</v>
      </c>
      <c r="E8" s="56" t="s">
        <v>86</v>
      </c>
      <c r="F8" s="56">
        <v>1</v>
      </c>
      <c r="G8" s="56" t="s">
        <v>606</v>
      </c>
      <c r="H8" s="56" t="s">
        <v>42</v>
      </c>
      <c r="I8" s="56" t="s">
        <v>25</v>
      </c>
      <c r="J8" s="56" t="s">
        <v>42</v>
      </c>
      <c r="K8" s="56" t="s">
        <v>41</v>
      </c>
      <c r="L8" s="56">
        <v>0.3</v>
      </c>
      <c r="M8" s="56">
        <v>0.24</v>
      </c>
      <c r="N8" s="56">
        <v>0.18</v>
      </c>
      <c r="O8" s="56">
        <v>0.12</v>
      </c>
      <c r="P8" s="56">
        <v>0.06</v>
      </c>
      <c r="Q8" s="56">
        <v>0</v>
      </c>
      <c r="R8" s="56"/>
      <c r="S8" s="56"/>
      <c r="T8" s="56"/>
      <c r="U8" s="56">
        <v>3</v>
      </c>
    </row>
    <row r="9" spans="2:21" x14ac:dyDescent="0.25">
      <c r="B9" s="56" t="s">
        <v>612</v>
      </c>
      <c r="C9" s="56">
        <v>7467</v>
      </c>
      <c r="D9" s="56">
        <v>2783</v>
      </c>
      <c r="E9" s="56" t="s">
        <v>23</v>
      </c>
      <c r="F9" s="56">
        <v>1</v>
      </c>
      <c r="G9" s="56" t="s">
        <v>606</v>
      </c>
      <c r="H9" s="56" t="s">
        <v>42</v>
      </c>
      <c r="I9" s="56" t="s">
        <v>89</v>
      </c>
      <c r="J9" s="56" t="s">
        <v>556</v>
      </c>
      <c r="K9" s="56" t="s">
        <v>41</v>
      </c>
      <c r="L9" s="56">
        <v>0.3</v>
      </c>
      <c r="M9" s="56">
        <v>0.24</v>
      </c>
      <c r="N9" s="56">
        <v>0.18</v>
      </c>
      <c r="O9" s="56">
        <v>0.12</v>
      </c>
      <c r="P9" s="56">
        <v>0.06</v>
      </c>
      <c r="Q9" s="56">
        <v>0</v>
      </c>
      <c r="R9" s="56"/>
      <c r="S9" s="56"/>
      <c r="T9" s="56"/>
      <c r="U9" s="56">
        <v>3</v>
      </c>
    </row>
    <row r="10" spans="2:21" x14ac:dyDescent="0.25">
      <c r="B10" s="56" t="s">
        <v>613</v>
      </c>
      <c r="C10" s="56">
        <v>7468</v>
      </c>
      <c r="D10" s="56">
        <v>2783</v>
      </c>
      <c r="E10" s="56" t="s">
        <v>557</v>
      </c>
      <c r="F10" s="56">
        <v>1</v>
      </c>
      <c r="G10" s="56" t="s">
        <v>606</v>
      </c>
      <c r="H10" s="56" t="s">
        <v>42</v>
      </c>
      <c r="I10" s="56" t="s">
        <v>89</v>
      </c>
      <c r="J10" s="56" t="s">
        <v>556</v>
      </c>
      <c r="K10" s="56" t="s">
        <v>41</v>
      </c>
      <c r="L10" s="56">
        <v>0.3</v>
      </c>
      <c r="M10" s="56">
        <v>0.24</v>
      </c>
      <c r="N10" s="56">
        <v>0.18</v>
      </c>
      <c r="O10" s="56">
        <v>0.12</v>
      </c>
      <c r="P10" s="56">
        <v>0.06</v>
      </c>
      <c r="Q10" s="56">
        <v>0</v>
      </c>
      <c r="R10" s="56"/>
      <c r="S10" s="56"/>
      <c r="T10" s="56"/>
      <c r="U10" s="56">
        <v>3</v>
      </c>
    </row>
    <row r="11" spans="2:21" x14ac:dyDescent="0.25">
      <c r="B11" s="56" t="s">
        <v>614</v>
      </c>
      <c r="C11" s="56">
        <v>7469</v>
      </c>
      <c r="D11" s="56">
        <v>2783</v>
      </c>
      <c r="E11" s="56" t="s">
        <v>23</v>
      </c>
      <c r="F11" s="56">
        <v>1</v>
      </c>
      <c r="G11" s="56" t="s">
        <v>606</v>
      </c>
      <c r="H11" s="56" t="s">
        <v>42</v>
      </c>
      <c r="I11" s="56" t="s">
        <v>90</v>
      </c>
      <c r="J11" s="56" t="s">
        <v>556</v>
      </c>
      <c r="K11" s="56" t="s">
        <v>41</v>
      </c>
      <c r="L11" s="56">
        <v>0.4</v>
      </c>
      <c r="M11" s="56">
        <v>0.32</v>
      </c>
      <c r="N11" s="56">
        <v>0.24</v>
      </c>
      <c r="O11" s="56">
        <v>0.16</v>
      </c>
      <c r="P11" s="56">
        <v>0.08</v>
      </c>
      <c r="Q11" s="56">
        <v>0</v>
      </c>
      <c r="R11" s="56"/>
      <c r="S11" s="56"/>
      <c r="T11" s="56"/>
      <c r="U11" s="56">
        <v>3</v>
      </c>
    </row>
    <row r="12" spans="2:21" x14ac:dyDescent="0.25">
      <c r="B12" s="56" t="s">
        <v>615</v>
      </c>
      <c r="C12" s="56">
        <v>7470</v>
      </c>
      <c r="D12" s="56">
        <v>2783</v>
      </c>
      <c r="E12" s="56" t="s">
        <v>557</v>
      </c>
      <c r="F12" s="56">
        <v>1</v>
      </c>
      <c r="G12" s="56" t="s">
        <v>606</v>
      </c>
      <c r="H12" s="56" t="s">
        <v>42</v>
      </c>
      <c r="I12" s="56" t="s">
        <v>90</v>
      </c>
      <c r="J12" s="56" t="s">
        <v>556</v>
      </c>
      <c r="K12" s="56" t="s">
        <v>41</v>
      </c>
      <c r="L12" s="56">
        <v>0.4</v>
      </c>
      <c r="M12" s="56">
        <v>0.32</v>
      </c>
      <c r="N12" s="56">
        <v>0.24</v>
      </c>
      <c r="O12" s="56">
        <v>0.16</v>
      </c>
      <c r="P12" s="56">
        <v>0.08</v>
      </c>
      <c r="Q12" s="56">
        <v>0</v>
      </c>
      <c r="R12" s="56"/>
      <c r="S12" s="56"/>
      <c r="T12" s="56"/>
      <c r="U12" s="56">
        <v>3</v>
      </c>
    </row>
    <row r="13" spans="2:21" x14ac:dyDescent="0.25">
      <c r="B13" s="56" t="s">
        <v>616</v>
      </c>
      <c r="C13" s="56">
        <v>7471</v>
      </c>
      <c r="D13" s="56">
        <v>2783</v>
      </c>
      <c r="E13" s="56" t="s">
        <v>23</v>
      </c>
      <c r="F13" s="56">
        <v>1</v>
      </c>
      <c r="G13" s="56" t="s">
        <v>606</v>
      </c>
      <c r="H13" s="56" t="s">
        <v>47</v>
      </c>
      <c r="I13" s="56" t="s">
        <v>48</v>
      </c>
      <c r="J13" s="56" t="s">
        <v>556</v>
      </c>
      <c r="K13" s="56" t="s">
        <v>33</v>
      </c>
      <c r="L13" s="56">
        <v>0.15</v>
      </c>
      <c r="M13" s="56">
        <v>0.12</v>
      </c>
      <c r="N13" s="56">
        <v>0.09</v>
      </c>
      <c r="O13" s="56">
        <v>0.06</v>
      </c>
      <c r="P13" s="56">
        <v>0.03</v>
      </c>
      <c r="Q13" s="56">
        <v>0</v>
      </c>
      <c r="R13" s="56"/>
      <c r="S13" s="56"/>
      <c r="T13" s="56"/>
      <c r="U13" s="56">
        <v>3</v>
      </c>
    </row>
    <row r="14" spans="2:21" x14ac:dyDescent="0.25">
      <c r="B14" s="56" t="s">
        <v>617</v>
      </c>
      <c r="C14" s="56">
        <v>7472</v>
      </c>
      <c r="D14" s="56">
        <v>2783</v>
      </c>
      <c r="E14" s="56" t="s">
        <v>86</v>
      </c>
      <c r="F14" s="56">
        <v>1</v>
      </c>
      <c r="G14" s="56" t="s">
        <v>606</v>
      </c>
      <c r="H14" s="56" t="s">
        <v>47</v>
      </c>
      <c r="I14" s="56" t="s">
        <v>48</v>
      </c>
      <c r="J14" s="56" t="s">
        <v>556</v>
      </c>
      <c r="K14" s="56" t="s">
        <v>33</v>
      </c>
      <c r="L14" s="56">
        <v>0.15</v>
      </c>
      <c r="M14" s="56">
        <v>0.12</v>
      </c>
      <c r="N14" s="56">
        <v>0.09</v>
      </c>
      <c r="O14" s="56">
        <v>0.06</v>
      </c>
      <c r="P14" s="56">
        <v>0.03</v>
      </c>
      <c r="Q14" s="56">
        <v>0</v>
      </c>
      <c r="R14" s="56"/>
      <c r="S14" s="56"/>
      <c r="T14" s="56"/>
      <c r="U14" s="56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E903-9A99-4745-A2C6-0AB8C033C011}">
  <dimension ref="A1:L18"/>
  <sheetViews>
    <sheetView showGridLines="0" workbookViewId="0">
      <selection activeCell="F8" sqref="F8"/>
    </sheetView>
  </sheetViews>
  <sheetFormatPr defaultRowHeight="11.25" x14ac:dyDescent="0.2"/>
  <cols>
    <col min="1" max="1" width="31.42578125" style="14" bestFit="1" customWidth="1"/>
    <col min="2" max="2" width="18.42578125" style="14" customWidth="1"/>
    <col min="3" max="12" width="11" style="14" customWidth="1"/>
    <col min="13" max="16384" width="9.140625" style="14"/>
  </cols>
  <sheetData>
    <row r="1" spans="1:12" ht="12" thickBot="1" x14ac:dyDescent="0.25">
      <c r="A1" s="80" t="s">
        <v>1026</v>
      </c>
      <c r="B1" s="80" t="s">
        <v>22</v>
      </c>
      <c r="C1" s="80" t="s">
        <v>1025</v>
      </c>
      <c r="D1" s="80" t="s">
        <v>1024</v>
      </c>
      <c r="E1" s="80" t="s">
        <v>33</v>
      </c>
      <c r="F1" s="80" t="s">
        <v>1023</v>
      </c>
      <c r="G1" s="80" t="s">
        <v>1022</v>
      </c>
      <c r="H1" s="80" t="s">
        <v>523</v>
      </c>
      <c r="I1" s="80" t="s">
        <v>35</v>
      </c>
      <c r="J1" s="80" t="s">
        <v>522</v>
      </c>
      <c r="K1" s="80" t="s">
        <v>521</v>
      </c>
      <c r="L1" s="80" t="s">
        <v>520</v>
      </c>
    </row>
    <row r="2" spans="1:12" x14ac:dyDescent="0.2">
      <c r="A2" s="76" t="s">
        <v>1021</v>
      </c>
      <c r="B2" s="82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1824.5304499261615</v>
      </c>
      <c r="C2" s="82">
        <f t="shared" si="0"/>
        <v>1715.5836676643835</v>
      </c>
      <c r="D2" s="82">
        <f t="shared" si="0"/>
        <v>1678.8305362989643</v>
      </c>
      <c r="E2" s="82">
        <f t="shared" si="0"/>
        <v>1824.5304499261615</v>
      </c>
      <c r="F2" s="82">
        <f t="shared" si="0"/>
        <v>1003.4917474593886</v>
      </c>
      <c r="G2" s="82">
        <f t="shared" si="0"/>
        <v>1094.7182699556968</v>
      </c>
      <c r="H2" s="82">
        <f t="shared" si="0"/>
        <v>0</v>
      </c>
      <c r="I2" s="82">
        <f t="shared" si="0"/>
        <v>2300.4724224393776</v>
      </c>
      <c r="J2" s="82">
        <f t="shared" si="0"/>
        <v>0</v>
      </c>
      <c r="K2" s="82">
        <f t="shared" si="0"/>
        <v>0</v>
      </c>
      <c r="L2" s="82">
        <f t="shared" si="0"/>
        <v>0</v>
      </c>
    </row>
    <row r="3" spans="1:12" ht="12" thickBot="1" x14ac:dyDescent="0.25">
      <c r="A3" s="74" t="s">
        <v>1020</v>
      </c>
      <c r="B3" s="81">
        <v>27.8</v>
      </c>
      <c r="C3" s="81">
        <v>26.14</v>
      </c>
      <c r="D3" s="81">
        <v>25.58</v>
      </c>
      <c r="E3" s="81">
        <v>27.8</v>
      </c>
      <c r="F3" s="81">
        <v>15.29</v>
      </c>
      <c r="G3" s="81">
        <v>16.68</v>
      </c>
      <c r="H3" s="81">
        <v>0</v>
      </c>
      <c r="I3" s="81">
        <f>'TUSD BE'!$AC$6</f>
        <v>35.051831196570532</v>
      </c>
      <c r="J3" s="81">
        <v>0</v>
      </c>
      <c r="K3" s="81">
        <v>0</v>
      </c>
      <c r="L3" s="81">
        <v>0</v>
      </c>
    </row>
    <row r="5" spans="1:12" ht="12" thickBot="1" x14ac:dyDescent="0.25">
      <c r="A5" s="80" t="s">
        <v>1019</v>
      </c>
      <c r="B5" s="80" t="s">
        <v>1018</v>
      </c>
    </row>
    <row r="6" spans="1:12" x14ac:dyDescent="0.2">
      <c r="A6" s="76" t="s">
        <v>1017</v>
      </c>
      <c r="B6" s="79">
        <v>8.1942000000000001E-2</v>
      </c>
    </row>
    <row r="7" spans="1:12" x14ac:dyDescent="0.2">
      <c r="A7" s="78" t="s">
        <v>1016</v>
      </c>
      <c r="B7" s="77">
        <v>0</v>
      </c>
    </row>
    <row r="8" spans="1:12" x14ac:dyDescent="0.2">
      <c r="A8" s="76" t="s">
        <v>1015</v>
      </c>
      <c r="B8" s="75">
        <v>24944453.093539529</v>
      </c>
    </row>
    <row r="9" spans="1:12" x14ac:dyDescent="0.2">
      <c r="A9" s="78" t="s">
        <v>1014</v>
      </c>
      <c r="B9" s="77">
        <v>0.04</v>
      </c>
    </row>
    <row r="10" spans="1:12" x14ac:dyDescent="0.2">
      <c r="A10" s="76" t="s">
        <v>1013</v>
      </c>
      <c r="B10" s="75">
        <v>11951506.14183875</v>
      </c>
    </row>
    <row r="11" spans="1:12" ht="12" thickBot="1" x14ac:dyDescent="0.25">
      <c r="A11" s="74" t="s">
        <v>1012</v>
      </c>
      <c r="B11" s="73">
        <f>(1+$B$6)^(1/IF($B$9&lt;&gt;0,$B$9,1))*$B$6/IF((1+$B$6)^(1/IF($B$9&lt;&gt;0,$B$9,1))-1&lt;&gt;0,(1+$B$6)^(1/IF($B$9&lt;&gt;0,$B$9,1))-1,1)</f>
        <v>9.5237635612765312E-2</v>
      </c>
    </row>
    <row r="18" spans="2:2" x14ac:dyDescent="0.2">
      <c r="B18" s="7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72E8-3684-4B26-AD97-2A43FF79763A}">
  <dimension ref="B1:AR50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14.42578125" bestFit="1" customWidth="1"/>
    <col min="30" max="30" width="12" bestFit="1" customWidth="1"/>
    <col min="31" max="31" width="17.7109375" bestFit="1" customWidth="1"/>
    <col min="32" max="32" width="12.5703125" bestFit="1" customWidth="1"/>
    <col min="33" max="33" width="10.7109375" bestFit="1" customWidth="1"/>
    <col min="34" max="34" width="16.5703125" bestFit="1" customWidth="1"/>
    <col min="35" max="35" width="14.5703125" bestFit="1" customWidth="1"/>
    <col min="36" max="36" width="9.85546875" bestFit="1" customWidth="1"/>
    <col min="37" max="37" width="12.5703125" bestFit="1" customWidth="1"/>
    <col min="38" max="38" width="12.28515625" bestFit="1" customWidth="1"/>
    <col min="39" max="39" width="14.140625" bestFit="1" customWidth="1"/>
    <col min="40" max="40" width="25.28515625" bestFit="1" customWidth="1"/>
    <col min="41" max="41" width="17.85546875" bestFit="1" customWidth="1"/>
    <col min="42" max="42" width="13.42578125" bestFit="1" customWidth="1"/>
    <col min="43" max="43" width="13.28515625" bestFit="1" customWidth="1"/>
    <col min="44" max="44" width="12.5703125" bestFit="1" customWidth="1"/>
  </cols>
  <sheetData>
    <row r="1" spans="2:44" ht="12" customHeight="1" x14ac:dyDescent="0.25">
      <c r="L1" s="128" t="s">
        <v>1064</v>
      </c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9"/>
      <c r="AH1" s="128" t="s">
        <v>1065</v>
      </c>
      <c r="AI1" s="128"/>
      <c r="AJ1" s="128"/>
      <c r="AK1" s="128"/>
      <c r="AL1" s="128"/>
      <c r="AM1" s="128"/>
      <c r="AN1" s="128"/>
      <c r="AO1" s="128"/>
      <c r="AP1" s="128"/>
      <c r="AQ1" s="128"/>
      <c r="AR1" s="128"/>
    </row>
    <row r="2" spans="2:44" ht="12" customHeight="1" x14ac:dyDescent="0.25">
      <c r="L2" s="130" t="s">
        <v>388</v>
      </c>
      <c r="M2" s="130"/>
      <c r="N2" s="130"/>
      <c r="O2" s="130"/>
      <c r="P2" s="130"/>
      <c r="Q2" s="130"/>
      <c r="R2" s="130"/>
      <c r="S2" s="131"/>
      <c r="T2" s="130" t="s">
        <v>397</v>
      </c>
      <c r="U2" s="130"/>
      <c r="V2" s="130"/>
      <c r="W2" s="130"/>
      <c r="X2" s="130"/>
      <c r="Y2" s="130"/>
      <c r="Z2" s="131"/>
      <c r="AA2" s="93" t="s">
        <v>405</v>
      </c>
      <c r="AB2" s="130" t="s">
        <v>25</v>
      </c>
      <c r="AC2" s="131"/>
      <c r="AD2" s="130" t="s">
        <v>1063</v>
      </c>
      <c r="AE2" s="130"/>
      <c r="AF2" s="130"/>
      <c r="AG2" s="131"/>
      <c r="AH2" s="130" t="s">
        <v>388</v>
      </c>
      <c r="AI2" s="130"/>
      <c r="AJ2" s="130"/>
      <c r="AK2" s="130"/>
      <c r="AL2" s="131"/>
      <c r="AM2" s="93" t="s">
        <v>419</v>
      </c>
      <c r="AN2" s="130" t="s">
        <v>397</v>
      </c>
      <c r="AO2" s="130"/>
      <c r="AP2" s="130"/>
      <c r="AQ2" s="131"/>
      <c r="AR2" s="92" t="s">
        <v>1063</v>
      </c>
    </row>
    <row r="3" spans="2:44" ht="12" customHeight="1" x14ac:dyDescent="0.25">
      <c r="B3" s="83" t="s">
        <v>63</v>
      </c>
      <c r="C3" s="84" t="s">
        <v>64</v>
      </c>
      <c r="D3" s="84" t="s">
        <v>65</v>
      </c>
      <c r="E3" s="84" t="s">
        <v>66</v>
      </c>
      <c r="F3" s="84" t="s">
        <v>67</v>
      </c>
      <c r="G3" s="84" t="s">
        <v>69</v>
      </c>
      <c r="H3" s="84" t="s">
        <v>70</v>
      </c>
      <c r="I3" s="84" t="s">
        <v>663</v>
      </c>
      <c r="J3" s="84" t="s">
        <v>1027</v>
      </c>
      <c r="K3" s="84" t="s">
        <v>1028</v>
      </c>
      <c r="L3" s="84" t="s">
        <v>1029</v>
      </c>
      <c r="M3" s="84" t="s">
        <v>1030</v>
      </c>
      <c r="N3" s="84" t="s">
        <v>1031</v>
      </c>
      <c r="O3" s="84" t="s">
        <v>1032</v>
      </c>
      <c r="P3" s="84" t="s">
        <v>1033</v>
      </c>
      <c r="Q3" s="84" t="s">
        <v>1034</v>
      </c>
      <c r="R3" s="84" t="s">
        <v>1035</v>
      </c>
      <c r="S3" s="84" t="s">
        <v>1036</v>
      </c>
      <c r="T3" s="84" t="s">
        <v>1037</v>
      </c>
      <c r="U3" s="84" t="s">
        <v>1038</v>
      </c>
      <c r="V3" s="84" t="s">
        <v>1039</v>
      </c>
      <c r="W3" s="84" t="s">
        <v>1040</v>
      </c>
      <c r="X3" s="84" t="s">
        <v>1041</v>
      </c>
      <c r="Y3" s="84" t="s">
        <v>1042</v>
      </c>
      <c r="Z3" s="84" t="s">
        <v>1043</v>
      </c>
      <c r="AA3" s="84" t="s">
        <v>1044</v>
      </c>
      <c r="AB3" s="84" t="s">
        <v>1045</v>
      </c>
      <c r="AC3" s="84" t="s">
        <v>1046</v>
      </c>
      <c r="AD3" s="84" t="s">
        <v>1047</v>
      </c>
      <c r="AE3" s="84" t="s">
        <v>1048</v>
      </c>
      <c r="AF3" s="84" t="s">
        <v>1049</v>
      </c>
      <c r="AG3" s="84" t="s">
        <v>1050</v>
      </c>
      <c r="AH3" s="84" t="s">
        <v>1051</v>
      </c>
      <c r="AI3" s="84" t="s">
        <v>1052</v>
      </c>
      <c r="AJ3" s="84" t="s">
        <v>1053</v>
      </c>
      <c r="AK3" s="84" t="s">
        <v>1054</v>
      </c>
      <c r="AL3" s="84" t="s">
        <v>1055</v>
      </c>
      <c r="AM3" s="84" t="s">
        <v>1056</v>
      </c>
      <c r="AN3" s="84" t="s">
        <v>1057</v>
      </c>
      <c r="AO3" s="84" t="s">
        <v>1058</v>
      </c>
      <c r="AP3" s="84" t="s">
        <v>1059</v>
      </c>
      <c r="AQ3" s="84" t="s">
        <v>1060</v>
      </c>
      <c r="AR3" s="85" t="s">
        <v>1061</v>
      </c>
    </row>
    <row r="4" spans="2:44" ht="12" customHeight="1" x14ac:dyDescent="0.25">
      <c r="B4" s="86" t="s">
        <v>35</v>
      </c>
      <c r="C4" s="87" t="s">
        <v>36</v>
      </c>
      <c r="D4" s="87" t="s">
        <v>25</v>
      </c>
      <c r="E4" s="87" t="s">
        <v>25</v>
      </c>
      <c r="F4" s="87" t="s">
        <v>81</v>
      </c>
      <c r="G4" s="87" t="s">
        <v>37</v>
      </c>
      <c r="H4" s="87" t="s">
        <v>73</v>
      </c>
      <c r="I4" s="87" t="s">
        <v>25</v>
      </c>
      <c r="J4" s="87">
        <v>6.99</v>
      </c>
      <c r="K4" s="87">
        <v>0</v>
      </c>
      <c r="L4" s="87">
        <v>0</v>
      </c>
      <c r="M4" s="87">
        <v>1.12454874130819</v>
      </c>
      <c r="N4" s="87">
        <v>0</v>
      </c>
      <c r="O4" s="87">
        <v>0</v>
      </c>
      <c r="P4" s="87">
        <v>0</v>
      </c>
      <c r="Q4" s="87">
        <v>0</v>
      </c>
      <c r="R4" s="87">
        <v>0</v>
      </c>
      <c r="S4" s="87">
        <v>0</v>
      </c>
      <c r="T4" s="87">
        <v>0</v>
      </c>
      <c r="U4" s="87">
        <v>0</v>
      </c>
      <c r="V4" s="87">
        <v>0</v>
      </c>
      <c r="W4" s="87">
        <v>0</v>
      </c>
      <c r="X4" s="87">
        <v>0</v>
      </c>
      <c r="Y4" s="87">
        <v>0</v>
      </c>
      <c r="Z4" s="87">
        <v>0</v>
      </c>
      <c r="AA4" s="87">
        <v>0</v>
      </c>
      <c r="AB4" s="87">
        <v>0</v>
      </c>
      <c r="AC4" s="87">
        <v>0</v>
      </c>
      <c r="AD4" s="87">
        <v>5.67107980225797</v>
      </c>
      <c r="AE4" s="87">
        <v>0.19894516079764901</v>
      </c>
      <c r="AF4" s="87">
        <v>0</v>
      </c>
      <c r="AG4" s="87">
        <v>0</v>
      </c>
      <c r="AH4" s="87">
        <v>0</v>
      </c>
      <c r="AI4" s="87">
        <v>0</v>
      </c>
      <c r="AJ4" s="87">
        <v>0</v>
      </c>
      <c r="AK4" s="87">
        <v>0</v>
      </c>
      <c r="AL4" s="87">
        <v>0</v>
      </c>
      <c r="AM4" s="87">
        <v>0</v>
      </c>
      <c r="AN4" s="87">
        <v>0</v>
      </c>
      <c r="AO4" s="87">
        <v>0</v>
      </c>
      <c r="AP4" s="87">
        <v>0</v>
      </c>
      <c r="AQ4" s="87">
        <v>0</v>
      </c>
      <c r="AR4" s="88">
        <v>0</v>
      </c>
    </row>
    <row r="5" spans="2:44" ht="12" customHeight="1" x14ac:dyDescent="0.25">
      <c r="B5" s="86" t="s">
        <v>35</v>
      </c>
      <c r="C5" s="87" t="s">
        <v>36</v>
      </c>
      <c r="D5" s="87" t="s">
        <v>25</v>
      </c>
      <c r="E5" s="87" t="s">
        <v>25</v>
      </c>
      <c r="F5" s="87" t="s">
        <v>81</v>
      </c>
      <c r="G5" s="87" t="s">
        <v>37</v>
      </c>
      <c r="H5" s="87" t="s">
        <v>78</v>
      </c>
      <c r="I5" s="87" t="s">
        <v>25</v>
      </c>
      <c r="J5" s="87">
        <v>90.96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  <c r="P5" s="87">
        <v>0</v>
      </c>
      <c r="Q5" s="87">
        <v>0</v>
      </c>
      <c r="R5" s="87">
        <v>0</v>
      </c>
      <c r="S5" s="87">
        <v>0</v>
      </c>
      <c r="T5" s="87">
        <v>0</v>
      </c>
      <c r="U5" s="87">
        <v>0</v>
      </c>
      <c r="V5" s="87">
        <v>0</v>
      </c>
      <c r="W5" s="87">
        <v>0</v>
      </c>
      <c r="X5" s="87">
        <v>43.5587895541615</v>
      </c>
      <c r="Y5" s="87">
        <v>0</v>
      </c>
      <c r="Z5" s="87">
        <v>0</v>
      </c>
      <c r="AA5" s="87">
        <v>47.398389707182297</v>
      </c>
      <c r="AB5" s="87">
        <v>0</v>
      </c>
      <c r="AC5" s="87">
        <v>0</v>
      </c>
      <c r="AD5" s="87">
        <v>0</v>
      </c>
      <c r="AE5" s="87">
        <v>0</v>
      </c>
      <c r="AF5" s="87">
        <v>0</v>
      </c>
      <c r="AG5" s="87">
        <v>0</v>
      </c>
      <c r="AH5" s="87">
        <v>0</v>
      </c>
      <c r="AI5" s="87">
        <v>0</v>
      </c>
      <c r="AJ5" s="87">
        <v>0</v>
      </c>
      <c r="AK5" s="87">
        <v>0</v>
      </c>
      <c r="AL5" s="87">
        <v>0</v>
      </c>
      <c r="AM5" s="87">
        <v>0</v>
      </c>
      <c r="AN5" s="87">
        <v>0</v>
      </c>
      <c r="AO5" s="87">
        <v>0</v>
      </c>
      <c r="AP5" s="87">
        <v>0</v>
      </c>
      <c r="AQ5" s="87">
        <v>0</v>
      </c>
      <c r="AR5" s="88">
        <v>0</v>
      </c>
    </row>
    <row r="6" spans="2:44" ht="12" customHeight="1" x14ac:dyDescent="0.25">
      <c r="B6" s="86" t="s">
        <v>35</v>
      </c>
      <c r="C6" s="87" t="s">
        <v>36</v>
      </c>
      <c r="D6" s="87" t="s">
        <v>25</v>
      </c>
      <c r="E6" s="87" t="s">
        <v>25</v>
      </c>
      <c r="F6" s="87" t="s">
        <v>81</v>
      </c>
      <c r="G6" s="87" t="s">
        <v>38</v>
      </c>
      <c r="H6" s="87" t="s">
        <v>73</v>
      </c>
      <c r="I6" s="87" t="s">
        <v>25</v>
      </c>
      <c r="J6" s="87">
        <v>6.99</v>
      </c>
      <c r="K6" s="87">
        <v>0</v>
      </c>
      <c r="L6" s="87">
        <v>0</v>
      </c>
      <c r="M6" s="87">
        <v>1.12454874130819</v>
      </c>
      <c r="N6" s="87">
        <v>0</v>
      </c>
      <c r="O6" s="87">
        <v>0</v>
      </c>
      <c r="P6" s="87">
        <v>0</v>
      </c>
      <c r="Q6" s="87">
        <v>0</v>
      </c>
      <c r="R6" s="87">
        <v>0</v>
      </c>
      <c r="S6" s="87">
        <v>0</v>
      </c>
      <c r="T6" s="87">
        <v>0</v>
      </c>
      <c r="U6" s="87">
        <v>0</v>
      </c>
      <c r="V6" s="87">
        <v>0</v>
      </c>
      <c r="W6" s="87">
        <v>0</v>
      </c>
      <c r="X6" s="87">
        <v>0</v>
      </c>
      <c r="Y6" s="87">
        <v>0</v>
      </c>
      <c r="Z6" s="87">
        <v>0</v>
      </c>
      <c r="AA6" s="87">
        <v>0</v>
      </c>
      <c r="AB6" s="87">
        <v>0</v>
      </c>
      <c r="AC6" s="87">
        <v>0</v>
      </c>
      <c r="AD6" s="87">
        <v>5.67107980225797</v>
      </c>
      <c r="AE6" s="87">
        <v>0.19894516079764901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87">
        <v>0</v>
      </c>
      <c r="AL6" s="87">
        <v>0</v>
      </c>
      <c r="AM6" s="87">
        <v>0</v>
      </c>
      <c r="AN6" s="87">
        <v>0</v>
      </c>
      <c r="AO6" s="87">
        <v>0</v>
      </c>
      <c r="AP6" s="87">
        <v>0</v>
      </c>
      <c r="AQ6" s="87">
        <v>0</v>
      </c>
      <c r="AR6" s="88">
        <v>0</v>
      </c>
    </row>
    <row r="7" spans="2:44" ht="12" customHeight="1" x14ac:dyDescent="0.25">
      <c r="B7" s="86" t="s">
        <v>35</v>
      </c>
      <c r="C7" s="87" t="s">
        <v>36</v>
      </c>
      <c r="D7" s="87" t="s">
        <v>25</v>
      </c>
      <c r="E7" s="87" t="s">
        <v>25</v>
      </c>
      <c r="F7" s="87" t="s">
        <v>81</v>
      </c>
      <c r="G7" s="87" t="s">
        <v>38</v>
      </c>
      <c r="H7" s="87" t="s">
        <v>78</v>
      </c>
      <c r="I7" s="87" t="s">
        <v>25</v>
      </c>
      <c r="J7" s="87">
        <v>44.26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  <c r="P7" s="87">
        <v>0</v>
      </c>
      <c r="Q7" s="87">
        <v>0</v>
      </c>
      <c r="R7" s="87">
        <v>0</v>
      </c>
      <c r="S7" s="87">
        <v>0</v>
      </c>
      <c r="T7" s="87">
        <v>0</v>
      </c>
      <c r="U7" s="87">
        <v>0</v>
      </c>
      <c r="V7" s="87">
        <v>0</v>
      </c>
      <c r="W7" s="87">
        <v>0</v>
      </c>
      <c r="X7" s="87">
        <v>23.000334583566499</v>
      </c>
      <c r="Y7" s="87">
        <v>0</v>
      </c>
      <c r="Z7" s="87">
        <v>0</v>
      </c>
      <c r="AA7" s="87">
        <v>21.254878962819301</v>
      </c>
      <c r="AB7" s="87">
        <v>0</v>
      </c>
      <c r="AC7" s="87">
        <v>0</v>
      </c>
      <c r="AD7" s="87">
        <v>0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0</v>
      </c>
      <c r="AN7" s="87">
        <v>0</v>
      </c>
      <c r="AO7" s="87">
        <v>0</v>
      </c>
      <c r="AP7" s="87">
        <v>0</v>
      </c>
      <c r="AQ7" s="87">
        <v>0</v>
      </c>
      <c r="AR7" s="88">
        <v>0</v>
      </c>
    </row>
    <row r="8" spans="2:44" ht="12" customHeight="1" x14ac:dyDescent="0.25">
      <c r="B8" s="86" t="s">
        <v>35</v>
      </c>
      <c r="C8" s="87" t="s">
        <v>36</v>
      </c>
      <c r="D8" s="87" t="s">
        <v>25</v>
      </c>
      <c r="E8" s="87" t="s">
        <v>25</v>
      </c>
      <c r="F8" s="87" t="s">
        <v>25</v>
      </c>
      <c r="G8" s="87" t="s">
        <v>37</v>
      </c>
      <c r="H8" s="87" t="s">
        <v>73</v>
      </c>
      <c r="I8" s="87" t="s">
        <v>25</v>
      </c>
      <c r="J8" s="87">
        <v>96.69</v>
      </c>
      <c r="K8" s="87">
        <v>196.57</v>
      </c>
      <c r="L8" s="87">
        <v>0</v>
      </c>
      <c r="M8" s="87">
        <v>1.12454874130819</v>
      </c>
      <c r="N8" s="87">
        <v>0</v>
      </c>
      <c r="O8" s="87">
        <v>0</v>
      </c>
      <c r="P8" s="87">
        <v>0</v>
      </c>
      <c r="Q8" s="87">
        <v>75.514349361992899</v>
      </c>
      <c r="R8" s="87">
        <v>14.184759520295801</v>
      </c>
      <c r="S8" s="87">
        <v>0</v>
      </c>
      <c r="T8" s="87">
        <v>0</v>
      </c>
      <c r="U8" s="87">
        <v>0</v>
      </c>
      <c r="V8" s="87">
        <v>0</v>
      </c>
      <c r="W8" s="87">
        <v>0</v>
      </c>
      <c r="X8" s="87">
        <v>0</v>
      </c>
      <c r="Y8" s="87">
        <v>0</v>
      </c>
      <c r="Z8" s="87">
        <v>0</v>
      </c>
      <c r="AA8" s="87">
        <v>0</v>
      </c>
      <c r="AB8" s="87">
        <v>0</v>
      </c>
      <c r="AC8" s="87">
        <v>0</v>
      </c>
      <c r="AD8" s="87">
        <v>5.67107980225797</v>
      </c>
      <c r="AE8" s="87">
        <v>0.19894516079764901</v>
      </c>
      <c r="AF8" s="87">
        <v>0</v>
      </c>
      <c r="AG8" s="87">
        <v>0</v>
      </c>
      <c r="AH8" s="87">
        <v>0</v>
      </c>
      <c r="AI8" s="87">
        <v>-14.8002535682764</v>
      </c>
      <c r="AJ8" s="87">
        <v>0</v>
      </c>
      <c r="AK8" s="87">
        <v>26.0378660174188</v>
      </c>
      <c r="AL8" s="87">
        <v>0</v>
      </c>
      <c r="AM8" s="87">
        <v>179.04996045310099</v>
      </c>
      <c r="AN8" s="87">
        <v>0</v>
      </c>
      <c r="AO8" s="87">
        <v>0</v>
      </c>
      <c r="AP8" s="87">
        <v>0</v>
      </c>
      <c r="AQ8" s="87">
        <v>0</v>
      </c>
      <c r="AR8" s="88">
        <v>6.2811888414922397</v>
      </c>
    </row>
    <row r="9" spans="2:44" ht="12" customHeight="1" x14ac:dyDescent="0.25">
      <c r="B9" s="86" t="s">
        <v>35</v>
      </c>
      <c r="C9" s="87" t="s">
        <v>36</v>
      </c>
      <c r="D9" s="87" t="s">
        <v>25</v>
      </c>
      <c r="E9" s="87" t="s">
        <v>25</v>
      </c>
      <c r="F9" s="87" t="s">
        <v>25</v>
      </c>
      <c r="G9" s="87" t="s">
        <v>37</v>
      </c>
      <c r="H9" s="87" t="s">
        <v>78</v>
      </c>
      <c r="I9" s="87" t="s">
        <v>25</v>
      </c>
      <c r="J9" s="87">
        <v>90.96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  <c r="P9" s="87">
        <v>0</v>
      </c>
      <c r="Q9" s="87">
        <v>0</v>
      </c>
      <c r="R9" s="87">
        <v>0</v>
      </c>
      <c r="S9" s="87">
        <v>0</v>
      </c>
      <c r="T9" s="87">
        <v>0</v>
      </c>
      <c r="U9" s="87">
        <v>0</v>
      </c>
      <c r="V9" s="87">
        <v>0</v>
      </c>
      <c r="W9" s="87">
        <v>0</v>
      </c>
      <c r="X9" s="87">
        <v>43.5587895541615</v>
      </c>
      <c r="Y9" s="87">
        <v>0</v>
      </c>
      <c r="Z9" s="87">
        <v>0</v>
      </c>
      <c r="AA9" s="87">
        <v>47.398389707182297</v>
      </c>
      <c r="AB9" s="87">
        <v>0</v>
      </c>
      <c r="AC9" s="87">
        <v>0</v>
      </c>
      <c r="AD9" s="87">
        <v>0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0</v>
      </c>
      <c r="AN9" s="87">
        <v>0</v>
      </c>
      <c r="AO9" s="87">
        <v>0</v>
      </c>
      <c r="AP9" s="87">
        <v>0</v>
      </c>
      <c r="AQ9" s="87">
        <v>0</v>
      </c>
      <c r="AR9" s="88">
        <v>0</v>
      </c>
    </row>
    <row r="10" spans="2:44" ht="12" customHeight="1" x14ac:dyDescent="0.25">
      <c r="B10" s="86" t="s">
        <v>35</v>
      </c>
      <c r="C10" s="87" t="s">
        <v>36</v>
      </c>
      <c r="D10" s="87" t="s">
        <v>25</v>
      </c>
      <c r="E10" s="87" t="s">
        <v>25</v>
      </c>
      <c r="F10" s="87" t="s">
        <v>25</v>
      </c>
      <c r="G10" s="87" t="s">
        <v>38</v>
      </c>
      <c r="H10" s="87" t="s">
        <v>73</v>
      </c>
      <c r="I10" s="87" t="s">
        <v>25</v>
      </c>
      <c r="J10" s="87">
        <v>96.69</v>
      </c>
      <c r="K10" s="87">
        <v>196.57</v>
      </c>
      <c r="L10" s="87">
        <v>0</v>
      </c>
      <c r="M10" s="87">
        <v>1.12454874130819</v>
      </c>
      <c r="N10" s="87">
        <v>0</v>
      </c>
      <c r="O10" s="87">
        <v>0</v>
      </c>
      <c r="P10" s="87">
        <v>0</v>
      </c>
      <c r="Q10" s="87">
        <v>75.514349361992899</v>
      </c>
      <c r="R10" s="87">
        <v>14.184759520295801</v>
      </c>
      <c r="S10" s="87">
        <v>0</v>
      </c>
      <c r="T10" s="87">
        <v>0</v>
      </c>
      <c r="U10" s="87">
        <v>0</v>
      </c>
      <c r="V10" s="87">
        <v>0</v>
      </c>
      <c r="W10" s="87">
        <v>0</v>
      </c>
      <c r="X10" s="87">
        <v>0</v>
      </c>
      <c r="Y10" s="87">
        <v>0</v>
      </c>
      <c r="Z10" s="87">
        <v>0</v>
      </c>
      <c r="AA10" s="87">
        <v>0</v>
      </c>
      <c r="AB10" s="87">
        <v>0</v>
      </c>
      <c r="AC10" s="87">
        <v>0</v>
      </c>
      <c r="AD10" s="87">
        <v>5.67107980225797</v>
      </c>
      <c r="AE10" s="87">
        <v>0.19894516079764901</v>
      </c>
      <c r="AF10" s="87">
        <v>0</v>
      </c>
      <c r="AG10" s="87">
        <v>0</v>
      </c>
      <c r="AH10" s="87">
        <v>0</v>
      </c>
      <c r="AI10" s="87">
        <v>-14.8002535682764</v>
      </c>
      <c r="AJ10" s="87">
        <v>0</v>
      </c>
      <c r="AK10" s="87">
        <v>26.0378660174188</v>
      </c>
      <c r="AL10" s="87">
        <v>0</v>
      </c>
      <c r="AM10" s="87">
        <v>179.04996045310099</v>
      </c>
      <c r="AN10" s="87">
        <v>0</v>
      </c>
      <c r="AO10" s="87">
        <v>0</v>
      </c>
      <c r="AP10" s="87">
        <v>0</v>
      </c>
      <c r="AQ10" s="87">
        <v>0</v>
      </c>
      <c r="AR10" s="88">
        <v>6.2811888414922397</v>
      </c>
    </row>
    <row r="11" spans="2:44" ht="12" customHeight="1" x14ac:dyDescent="0.25">
      <c r="B11" s="86" t="s">
        <v>35</v>
      </c>
      <c r="C11" s="87" t="s">
        <v>36</v>
      </c>
      <c r="D11" s="87" t="s">
        <v>25</v>
      </c>
      <c r="E11" s="87" t="s">
        <v>25</v>
      </c>
      <c r="F11" s="87" t="s">
        <v>25</v>
      </c>
      <c r="G11" s="87" t="s">
        <v>38</v>
      </c>
      <c r="H11" s="87" t="s">
        <v>78</v>
      </c>
      <c r="I11" s="87" t="s">
        <v>25</v>
      </c>
      <c r="J11" s="87">
        <v>44.26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  <c r="P11" s="87">
        <v>0</v>
      </c>
      <c r="Q11" s="87">
        <v>0</v>
      </c>
      <c r="R11" s="87">
        <v>0</v>
      </c>
      <c r="S11" s="87">
        <v>0</v>
      </c>
      <c r="T11" s="87">
        <v>0</v>
      </c>
      <c r="U11" s="87">
        <v>0</v>
      </c>
      <c r="V11" s="87">
        <v>0</v>
      </c>
      <c r="W11" s="87">
        <v>0</v>
      </c>
      <c r="X11" s="87">
        <v>23.000334583566499</v>
      </c>
      <c r="Y11" s="87">
        <v>0</v>
      </c>
      <c r="Z11" s="87">
        <v>0</v>
      </c>
      <c r="AA11" s="87">
        <v>21.254878962819301</v>
      </c>
      <c r="AB11" s="87">
        <v>0</v>
      </c>
      <c r="AC11" s="87">
        <v>0</v>
      </c>
      <c r="AD11" s="87">
        <v>0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0</v>
      </c>
      <c r="AN11" s="87">
        <v>0</v>
      </c>
      <c r="AO11" s="87">
        <v>0</v>
      </c>
      <c r="AP11" s="87">
        <v>0</v>
      </c>
      <c r="AQ11" s="87">
        <v>0</v>
      </c>
      <c r="AR11" s="88">
        <v>0</v>
      </c>
    </row>
    <row r="12" spans="2:44" ht="12" customHeight="1" x14ac:dyDescent="0.25">
      <c r="B12" s="86" t="s">
        <v>35</v>
      </c>
      <c r="C12" s="87" t="s">
        <v>23</v>
      </c>
      <c r="D12" s="87" t="s">
        <v>25</v>
      </c>
      <c r="E12" s="87" t="s">
        <v>25</v>
      </c>
      <c r="F12" s="87" t="s">
        <v>25</v>
      </c>
      <c r="G12" s="87" t="s">
        <v>25</v>
      </c>
      <c r="H12" s="87" t="s">
        <v>73</v>
      </c>
      <c r="I12" s="87" t="s">
        <v>25</v>
      </c>
      <c r="J12" s="87">
        <v>0</v>
      </c>
      <c r="K12" s="87">
        <v>196.57</v>
      </c>
      <c r="L12" s="87">
        <v>0</v>
      </c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  <c r="S12" s="87">
        <v>0</v>
      </c>
      <c r="T12" s="87">
        <v>0</v>
      </c>
      <c r="U12" s="87">
        <v>0</v>
      </c>
      <c r="V12" s="87">
        <v>0</v>
      </c>
      <c r="W12" s="87">
        <v>0</v>
      </c>
      <c r="X12" s="87">
        <v>0</v>
      </c>
      <c r="Y12" s="87">
        <v>0</v>
      </c>
      <c r="Z12" s="87">
        <v>0</v>
      </c>
      <c r="AA12" s="87">
        <v>0</v>
      </c>
      <c r="AB12" s="87">
        <v>0</v>
      </c>
      <c r="AC12" s="87">
        <v>0</v>
      </c>
      <c r="AD12" s="87">
        <v>0</v>
      </c>
      <c r="AE12" s="87">
        <v>0</v>
      </c>
      <c r="AF12" s="87">
        <v>0</v>
      </c>
      <c r="AG12" s="87">
        <v>0</v>
      </c>
      <c r="AH12" s="87">
        <v>0</v>
      </c>
      <c r="AI12" s="87">
        <v>-14.8002535682764</v>
      </c>
      <c r="AJ12" s="87">
        <v>0</v>
      </c>
      <c r="AK12" s="87">
        <v>26.0378660174188</v>
      </c>
      <c r="AL12" s="87">
        <v>0</v>
      </c>
      <c r="AM12" s="87">
        <v>179.04996045310099</v>
      </c>
      <c r="AN12" s="87">
        <v>0</v>
      </c>
      <c r="AO12" s="87">
        <v>0</v>
      </c>
      <c r="AP12" s="87">
        <v>0</v>
      </c>
      <c r="AQ12" s="87">
        <v>0</v>
      </c>
      <c r="AR12" s="88">
        <v>6.2811888414922397</v>
      </c>
    </row>
    <row r="13" spans="2:44" ht="12" customHeight="1" x14ac:dyDescent="0.25">
      <c r="B13" s="86" t="s">
        <v>35</v>
      </c>
      <c r="C13" s="87" t="s">
        <v>53</v>
      </c>
      <c r="D13" s="87" t="s">
        <v>25</v>
      </c>
      <c r="E13" s="87" t="s">
        <v>25</v>
      </c>
      <c r="F13" s="87" t="s">
        <v>25</v>
      </c>
      <c r="G13" s="87" t="s">
        <v>25</v>
      </c>
      <c r="H13" s="87" t="s">
        <v>78</v>
      </c>
      <c r="I13" s="87" t="s">
        <v>25</v>
      </c>
      <c r="J13" s="87">
        <v>12.09</v>
      </c>
      <c r="K13" s="87">
        <v>0</v>
      </c>
      <c r="L13" s="87">
        <v>0</v>
      </c>
      <c r="M13" s="87">
        <v>0.15700827404651799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87">
        <v>0</v>
      </c>
      <c r="T13" s="87">
        <v>0</v>
      </c>
      <c r="U13" s="87">
        <v>0</v>
      </c>
      <c r="V13" s="87">
        <v>0</v>
      </c>
      <c r="W13" s="87">
        <v>0</v>
      </c>
      <c r="X13" s="87">
        <v>0</v>
      </c>
      <c r="Y13" s="87">
        <v>0</v>
      </c>
      <c r="Z13" s="87">
        <v>0</v>
      </c>
      <c r="AA13" s="87">
        <v>11.934750301217299</v>
      </c>
      <c r="AB13" s="87">
        <v>0</v>
      </c>
      <c r="AC13" s="87">
        <v>0</v>
      </c>
      <c r="AD13" s="87">
        <v>0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0</v>
      </c>
      <c r="AN13" s="87">
        <v>0</v>
      </c>
      <c r="AO13" s="87">
        <v>0</v>
      </c>
      <c r="AP13" s="87">
        <v>0</v>
      </c>
      <c r="AQ13" s="87">
        <v>0</v>
      </c>
      <c r="AR13" s="88">
        <v>0</v>
      </c>
    </row>
    <row r="14" spans="2:44" ht="12" customHeight="1" x14ac:dyDescent="0.25">
      <c r="B14" s="86" t="s">
        <v>35</v>
      </c>
      <c r="C14" s="87" t="s">
        <v>39</v>
      </c>
      <c r="D14" s="87" t="s">
        <v>25</v>
      </c>
      <c r="E14" s="87" t="s">
        <v>25</v>
      </c>
      <c r="F14" s="87" t="s">
        <v>81</v>
      </c>
      <c r="G14" s="87" t="s">
        <v>37</v>
      </c>
      <c r="H14" s="87" t="s">
        <v>73</v>
      </c>
      <c r="I14" s="87" t="s">
        <v>25</v>
      </c>
      <c r="J14" s="87">
        <v>2194.52</v>
      </c>
      <c r="K14" s="87">
        <v>0</v>
      </c>
      <c r="L14" s="87">
        <v>0</v>
      </c>
      <c r="M14" s="87">
        <v>1.12454874130819</v>
      </c>
      <c r="N14" s="87">
        <v>0</v>
      </c>
      <c r="O14" s="87">
        <v>0</v>
      </c>
      <c r="P14" s="87">
        <v>0</v>
      </c>
      <c r="Q14" s="87">
        <v>0</v>
      </c>
      <c r="R14" s="87">
        <v>0</v>
      </c>
      <c r="S14" s="87">
        <v>0</v>
      </c>
      <c r="T14" s="87">
        <v>0</v>
      </c>
      <c r="U14" s="87">
        <v>0</v>
      </c>
      <c r="V14" s="87">
        <v>0</v>
      </c>
      <c r="W14" s="87">
        <v>0</v>
      </c>
      <c r="X14" s="87">
        <v>1047.5898467352099</v>
      </c>
      <c r="Y14" s="87">
        <v>0</v>
      </c>
      <c r="Z14" s="87">
        <v>0</v>
      </c>
      <c r="AA14" s="87">
        <v>1139.93240582521</v>
      </c>
      <c r="AB14" s="87">
        <v>0</v>
      </c>
      <c r="AC14" s="87">
        <v>0</v>
      </c>
      <c r="AD14" s="87">
        <v>5.67107980225797</v>
      </c>
      <c r="AE14" s="87">
        <v>0.19894516079764901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0</v>
      </c>
      <c r="AN14" s="87">
        <v>0</v>
      </c>
      <c r="AO14" s="87">
        <v>0</v>
      </c>
      <c r="AP14" s="87">
        <v>0</v>
      </c>
      <c r="AQ14" s="87">
        <v>0</v>
      </c>
      <c r="AR14" s="88">
        <v>0</v>
      </c>
    </row>
    <row r="15" spans="2:44" ht="12" customHeight="1" x14ac:dyDescent="0.25">
      <c r="B15" s="86" t="s">
        <v>35</v>
      </c>
      <c r="C15" s="87" t="s">
        <v>39</v>
      </c>
      <c r="D15" s="87" t="s">
        <v>25</v>
      </c>
      <c r="E15" s="87" t="s">
        <v>25</v>
      </c>
      <c r="F15" s="87" t="s">
        <v>81</v>
      </c>
      <c r="G15" s="87" t="s">
        <v>25</v>
      </c>
      <c r="H15" s="87" t="s">
        <v>78</v>
      </c>
      <c r="I15" s="87" t="s">
        <v>25</v>
      </c>
      <c r="J15" s="87">
        <v>44.26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  <c r="P15" s="87">
        <v>0</v>
      </c>
      <c r="Q15" s="87">
        <v>0</v>
      </c>
      <c r="R15" s="87">
        <v>0</v>
      </c>
      <c r="S15" s="87">
        <v>0</v>
      </c>
      <c r="T15" s="87">
        <v>0</v>
      </c>
      <c r="U15" s="87">
        <v>0</v>
      </c>
      <c r="V15" s="87">
        <v>0</v>
      </c>
      <c r="W15" s="87">
        <v>0</v>
      </c>
      <c r="X15" s="87">
        <v>23.000334583566499</v>
      </c>
      <c r="Y15" s="87">
        <v>0</v>
      </c>
      <c r="Z15" s="87">
        <v>0</v>
      </c>
      <c r="AA15" s="87">
        <v>21.254878962819301</v>
      </c>
      <c r="AB15" s="87">
        <v>0</v>
      </c>
      <c r="AC15" s="87">
        <v>0</v>
      </c>
      <c r="AD15" s="87">
        <v>0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0</v>
      </c>
      <c r="AN15" s="87">
        <v>0</v>
      </c>
      <c r="AO15" s="87">
        <v>0</v>
      </c>
      <c r="AP15" s="87">
        <v>0</v>
      </c>
      <c r="AQ15" s="87">
        <v>0</v>
      </c>
      <c r="AR15" s="88">
        <v>0</v>
      </c>
    </row>
    <row r="16" spans="2:44" ht="12" customHeight="1" x14ac:dyDescent="0.25">
      <c r="B16" s="86" t="s">
        <v>35</v>
      </c>
      <c r="C16" s="87" t="s">
        <v>39</v>
      </c>
      <c r="D16" s="87" t="s">
        <v>25</v>
      </c>
      <c r="E16" s="87" t="s">
        <v>25</v>
      </c>
      <c r="F16" s="87" t="s">
        <v>81</v>
      </c>
      <c r="G16" s="87" t="s">
        <v>38</v>
      </c>
      <c r="H16" s="87" t="s">
        <v>73</v>
      </c>
      <c r="I16" s="87" t="s">
        <v>25</v>
      </c>
      <c r="J16" s="87">
        <v>6.99</v>
      </c>
      <c r="K16" s="87">
        <v>0</v>
      </c>
      <c r="L16" s="87">
        <v>0</v>
      </c>
      <c r="M16" s="87">
        <v>1.12454874130819</v>
      </c>
      <c r="N16" s="87">
        <v>0</v>
      </c>
      <c r="O16" s="87">
        <v>0</v>
      </c>
      <c r="P16" s="87">
        <v>0</v>
      </c>
      <c r="Q16" s="87">
        <v>0</v>
      </c>
      <c r="R16" s="87">
        <v>0</v>
      </c>
      <c r="S16" s="87">
        <v>0</v>
      </c>
      <c r="T16" s="87">
        <v>0</v>
      </c>
      <c r="U16" s="87">
        <v>0</v>
      </c>
      <c r="V16" s="87">
        <v>0</v>
      </c>
      <c r="W16" s="87">
        <v>0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  <c r="AC16" s="87">
        <v>0</v>
      </c>
      <c r="AD16" s="87">
        <v>5.67107980225797</v>
      </c>
      <c r="AE16" s="87">
        <v>0.19894516079764901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0</v>
      </c>
      <c r="AN16" s="87">
        <v>0</v>
      </c>
      <c r="AO16" s="87">
        <v>0</v>
      </c>
      <c r="AP16" s="87">
        <v>0</v>
      </c>
      <c r="AQ16" s="87">
        <v>0</v>
      </c>
      <c r="AR16" s="88">
        <v>0</v>
      </c>
    </row>
    <row r="17" spans="2:44" ht="12" customHeight="1" x14ac:dyDescent="0.25">
      <c r="B17" s="86" t="s">
        <v>35</v>
      </c>
      <c r="C17" s="87" t="s">
        <v>39</v>
      </c>
      <c r="D17" s="87" t="s">
        <v>25</v>
      </c>
      <c r="E17" s="87" t="s">
        <v>25</v>
      </c>
      <c r="F17" s="87" t="s">
        <v>25</v>
      </c>
      <c r="G17" s="87" t="s">
        <v>37</v>
      </c>
      <c r="H17" s="87" t="s">
        <v>73</v>
      </c>
      <c r="I17" s="87" t="s">
        <v>25</v>
      </c>
      <c r="J17" s="87">
        <v>2284.2199999999998</v>
      </c>
      <c r="K17" s="87">
        <v>196.57</v>
      </c>
      <c r="L17" s="87">
        <v>0</v>
      </c>
      <c r="M17" s="87">
        <v>1.12454874130819</v>
      </c>
      <c r="N17" s="87">
        <v>0</v>
      </c>
      <c r="O17" s="87">
        <v>0</v>
      </c>
      <c r="P17" s="87">
        <v>0</v>
      </c>
      <c r="Q17" s="87">
        <v>75.514349361992899</v>
      </c>
      <c r="R17" s="87">
        <v>14.184759520295801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1047.5898467352099</v>
      </c>
      <c r="Y17" s="87">
        <v>0</v>
      </c>
      <c r="Z17" s="87">
        <v>0</v>
      </c>
      <c r="AA17" s="87">
        <v>1139.93240582521</v>
      </c>
      <c r="AB17" s="87">
        <v>0</v>
      </c>
      <c r="AC17" s="87">
        <v>0</v>
      </c>
      <c r="AD17" s="87">
        <v>5.67107980225797</v>
      </c>
      <c r="AE17" s="87">
        <v>0.19894516079764901</v>
      </c>
      <c r="AF17" s="87">
        <v>0</v>
      </c>
      <c r="AG17" s="87">
        <v>0</v>
      </c>
      <c r="AH17" s="87">
        <v>0</v>
      </c>
      <c r="AI17" s="87">
        <v>-14.8002535682764</v>
      </c>
      <c r="AJ17" s="87">
        <v>0</v>
      </c>
      <c r="AK17" s="87">
        <v>26.0378660174188</v>
      </c>
      <c r="AL17" s="87">
        <v>0</v>
      </c>
      <c r="AM17" s="87">
        <v>179.04996045310099</v>
      </c>
      <c r="AN17" s="87">
        <v>0</v>
      </c>
      <c r="AO17" s="87">
        <v>0</v>
      </c>
      <c r="AP17" s="87">
        <v>0</v>
      </c>
      <c r="AQ17" s="87">
        <v>0</v>
      </c>
      <c r="AR17" s="88">
        <v>6.2811888414922397</v>
      </c>
    </row>
    <row r="18" spans="2:44" ht="12" customHeight="1" x14ac:dyDescent="0.25">
      <c r="B18" s="86" t="s">
        <v>35</v>
      </c>
      <c r="C18" s="87" t="s">
        <v>39</v>
      </c>
      <c r="D18" s="87" t="s">
        <v>25</v>
      </c>
      <c r="E18" s="87" t="s">
        <v>25</v>
      </c>
      <c r="F18" s="87" t="s">
        <v>25</v>
      </c>
      <c r="G18" s="87" t="s">
        <v>25</v>
      </c>
      <c r="H18" s="87" t="s">
        <v>78</v>
      </c>
      <c r="I18" s="87" t="s">
        <v>25</v>
      </c>
      <c r="J18" s="87">
        <v>44.26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  <c r="R18" s="87">
        <v>0</v>
      </c>
      <c r="S18" s="87">
        <v>0</v>
      </c>
      <c r="T18" s="87">
        <v>0</v>
      </c>
      <c r="U18" s="87">
        <v>0</v>
      </c>
      <c r="V18" s="87">
        <v>0</v>
      </c>
      <c r="W18" s="87">
        <v>0</v>
      </c>
      <c r="X18" s="87">
        <v>23.000334583566499</v>
      </c>
      <c r="Y18" s="87">
        <v>0</v>
      </c>
      <c r="Z18" s="87">
        <v>0</v>
      </c>
      <c r="AA18" s="87">
        <v>21.254878962819301</v>
      </c>
      <c r="AB18" s="87">
        <v>0</v>
      </c>
      <c r="AC18" s="87">
        <v>0</v>
      </c>
      <c r="AD18" s="87">
        <v>0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0</v>
      </c>
      <c r="AN18" s="87">
        <v>0</v>
      </c>
      <c r="AO18" s="87">
        <v>0</v>
      </c>
      <c r="AP18" s="87">
        <v>0</v>
      </c>
      <c r="AQ18" s="87">
        <v>0</v>
      </c>
      <c r="AR18" s="88">
        <v>0</v>
      </c>
    </row>
    <row r="19" spans="2:44" ht="12" customHeight="1" x14ac:dyDescent="0.25">
      <c r="B19" s="86" t="s">
        <v>35</v>
      </c>
      <c r="C19" s="87" t="s">
        <v>39</v>
      </c>
      <c r="D19" s="87" t="s">
        <v>25</v>
      </c>
      <c r="E19" s="87" t="s">
        <v>25</v>
      </c>
      <c r="F19" s="87" t="s">
        <v>25</v>
      </c>
      <c r="G19" s="87" t="s">
        <v>38</v>
      </c>
      <c r="H19" s="87" t="s">
        <v>73</v>
      </c>
      <c r="I19" s="87" t="s">
        <v>25</v>
      </c>
      <c r="J19" s="87">
        <v>96.69</v>
      </c>
      <c r="K19" s="87">
        <v>196.57</v>
      </c>
      <c r="L19" s="87">
        <v>0</v>
      </c>
      <c r="M19" s="87">
        <v>1.12454874130819</v>
      </c>
      <c r="N19" s="87">
        <v>0</v>
      </c>
      <c r="O19" s="87">
        <v>0</v>
      </c>
      <c r="P19" s="87">
        <v>0</v>
      </c>
      <c r="Q19" s="87">
        <v>75.514349361992899</v>
      </c>
      <c r="R19" s="87">
        <v>14.184759520295801</v>
      </c>
      <c r="S19" s="87">
        <v>0</v>
      </c>
      <c r="T19" s="87">
        <v>0</v>
      </c>
      <c r="U19" s="87">
        <v>0</v>
      </c>
      <c r="V19" s="87">
        <v>0</v>
      </c>
      <c r="W19" s="87">
        <v>0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C19" s="87">
        <v>0</v>
      </c>
      <c r="AD19" s="87">
        <v>5.67107980225797</v>
      </c>
      <c r="AE19" s="87">
        <v>0.19894516079764901</v>
      </c>
      <c r="AF19" s="87">
        <v>0</v>
      </c>
      <c r="AG19" s="87">
        <v>0</v>
      </c>
      <c r="AH19" s="87">
        <v>0</v>
      </c>
      <c r="AI19" s="87">
        <v>-14.8002535682764</v>
      </c>
      <c r="AJ19" s="87">
        <v>0</v>
      </c>
      <c r="AK19" s="87">
        <v>26.0378660174188</v>
      </c>
      <c r="AL19" s="87">
        <v>0</v>
      </c>
      <c r="AM19" s="87">
        <v>179.04996045310099</v>
      </c>
      <c r="AN19" s="87">
        <v>0</v>
      </c>
      <c r="AO19" s="87">
        <v>0</v>
      </c>
      <c r="AP19" s="87">
        <v>0</v>
      </c>
      <c r="AQ19" s="87">
        <v>0</v>
      </c>
      <c r="AR19" s="88">
        <v>6.2811888414922397</v>
      </c>
    </row>
    <row r="20" spans="2:44" ht="12" customHeight="1" x14ac:dyDescent="0.25">
      <c r="B20" s="86" t="s">
        <v>82</v>
      </c>
      <c r="C20" s="87" t="s">
        <v>53</v>
      </c>
      <c r="D20" s="87" t="s">
        <v>25</v>
      </c>
      <c r="E20" s="87" t="s">
        <v>25</v>
      </c>
      <c r="F20" s="87" t="s">
        <v>83</v>
      </c>
      <c r="G20" s="87" t="s">
        <v>25</v>
      </c>
      <c r="H20" s="87" t="s">
        <v>78</v>
      </c>
      <c r="I20" s="87" t="s">
        <v>25</v>
      </c>
      <c r="J20" s="87">
        <v>10.81</v>
      </c>
      <c r="K20" s="87">
        <v>0</v>
      </c>
      <c r="L20" s="87">
        <v>0</v>
      </c>
      <c r="M20" s="87">
        <v>7.06932720045719E-2</v>
      </c>
      <c r="N20" s="87">
        <v>0</v>
      </c>
      <c r="O20" s="87">
        <v>0</v>
      </c>
      <c r="P20" s="87">
        <v>0</v>
      </c>
      <c r="Q20" s="87">
        <v>0</v>
      </c>
      <c r="R20" s="87">
        <v>0</v>
      </c>
      <c r="S20" s="87">
        <v>0</v>
      </c>
      <c r="T20" s="87">
        <v>0</v>
      </c>
      <c r="U20" s="87">
        <v>0</v>
      </c>
      <c r="V20" s="87">
        <v>0</v>
      </c>
      <c r="W20" s="87">
        <v>0</v>
      </c>
      <c r="X20" s="87">
        <v>0</v>
      </c>
      <c r="Y20" s="87">
        <v>0</v>
      </c>
      <c r="Z20" s="87">
        <v>0</v>
      </c>
      <c r="AA20" s="87">
        <v>10.743962885207999</v>
      </c>
      <c r="AB20" s="87">
        <v>0</v>
      </c>
      <c r="AC20" s="87">
        <v>0</v>
      </c>
      <c r="AD20" s="87">
        <v>0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0</v>
      </c>
      <c r="AN20" s="87">
        <v>0</v>
      </c>
      <c r="AO20" s="87">
        <v>0</v>
      </c>
      <c r="AP20" s="87">
        <v>0</v>
      </c>
      <c r="AQ20" s="87">
        <v>0</v>
      </c>
      <c r="AR20" s="88">
        <v>0</v>
      </c>
    </row>
    <row r="21" spans="2:44" ht="12" customHeight="1" x14ac:dyDescent="0.25">
      <c r="B21" s="86" t="s">
        <v>82</v>
      </c>
      <c r="C21" s="87" t="s">
        <v>53</v>
      </c>
      <c r="D21" s="87" t="s">
        <v>25</v>
      </c>
      <c r="E21" s="87" t="s">
        <v>25</v>
      </c>
      <c r="F21" s="87" t="s">
        <v>84</v>
      </c>
      <c r="G21" s="87" t="s">
        <v>25</v>
      </c>
      <c r="H21" s="87" t="s">
        <v>78</v>
      </c>
      <c r="I21" s="87" t="s">
        <v>25</v>
      </c>
      <c r="J21" s="87">
        <v>26.75</v>
      </c>
      <c r="K21" s="87">
        <v>0</v>
      </c>
      <c r="L21" s="87">
        <v>0</v>
      </c>
      <c r="M21" s="87">
        <v>7.06932720045719E-2</v>
      </c>
      <c r="N21" s="87">
        <v>0</v>
      </c>
      <c r="O21" s="87">
        <v>0</v>
      </c>
      <c r="P21" s="87">
        <v>0</v>
      </c>
      <c r="Q21" s="87">
        <v>0</v>
      </c>
      <c r="R21" s="87">
        <v>0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0</v>
      </c>
      <c r="AA21" s="87">
        <v>26.675381760874899</v>
      </c>
      <c r="AB21" s="87">
        <v>0</v>
      </c>
      <c r="AC21" s="87">
        <v>0</v>
      </c>
      <c r="AD21" s="87">
        <v>0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  <c r="AN21" s="87">
        <v>0</v>
      </c>
      <c r="AO21" s="87">
        <v>0</v>
      </c>
      <c r="AP21" s="87">
        <v>0</v>
      </c>
      <c r="AQ21" s="87">
        <v>0</v>
      </c>
      <c r="AR21" s="88">
        <v>0</v>
      </c>
    </row>
    <row r="22" spans="2:44" ht="12" customHeight="1" x14ac:dyDescent="0.25">
      <c r="B22" s="86" t="s">
        <v>22</v>
      </c>
      <c r="C22" s="87" t="s">
        <v>86</v>
      </c>
      <c r="D22" s="87" t="s">
        <v>24</v>
      </c>
      <c r="E22" s="87" t="s">
        <v>24</v>
      </c>
      <c r="F22" s="87" t="s">
        <v>25</v>
      </c>
      <c r="G22" s="87" t="s">
        <v>37</v>
      </c>
      <c r="H22" s="87" t="s">
        <v>73</v>
      </c>
      <c r="I22" s="87" t="s">
        <v>25</v>
      </c>
      <c r="J22" s="87">
        <v>1480.15</v>
      </c>
      <c r="K22" s="87">
        <v>196.57</v>
      </c>
      <c r="L22" s="87">
        <v>0</v>
      </c>
      <c r="M22" s="87">
        <v>2.2014344050507901</v>
      </c>
      <c r="N22" s="87">
        <v>0</v>
      </c>
      <c r="O22" s="87">
        <v>0</v>
      </c>
      <c r="P22" s="87">
        <v>0</v>
      </c>
      <c r="Q22" s="87">
        <v>89.898034954753498</v>
      </c>
      <c r="R22" s="87">
        <v>14.184759520295801</v>
      </c>
      <c r="S22" s="87">
        <v>0</v>
      </c>
      <c r="T22" s="87">
        <v>0</v>
      </c>
      <c r="U22" s="87">
        <v>0</v>
      </c>
      <c r="V22" s="87">
        <v>0</v>
      </c>
      <c r="W22" s="87">
        <v>0</v>
      </c>
      <c r="X22" s="87">
        <v>441.76113416153697</v>
      </c>
      <c r="Y22" s="87">
        <v>0</v>
      </c>
      <c r="Z22" s="87">
        <v>0</v>
      </c>
      <c r="AA22" s="87">
        <v>900.48306408153405</v>
      </c>
      <c r="AB22" s="87">
        <v>0</v>
      </c>
      <c r="AC22" s="87">
        <v>0</v>
      </c>
      <c r="AD22" s="87">
        <v>30.549641419252001</v>
      </c>
      <c r="AE22" s="87">
        <v>1.0717012520338201</v>
      </c>
      <c r="AF22" s="87">
        <v>0</v>
      </c>
      <c r="AG22" s="87">
        <v>0</v>
      </c>
      <c r="AH22" s="87">
        <v>0</v>
      </c>
      <c r="AI22" s="87">
        <v>-14.8002535682764</v>
      </c>
      <c r="AJ22" s="87">
        <v>0</v>
      </c>
      <c r="AK22" s="87">
        <v>26.0378660174188</v>
      </c>
      <c r="AL22" s="87">
        <v>0</v>
      </c>
      <c r="AM22" s="87">
        <v>179.04996045310099</v>
      </c>
      <c r="AN22" s="87">
        <v>0</v>
      </c>
      <c r="AO22" s="87">
        <v>0</v>
      </c>
      <c r="AP22" s="87">
        <v>0</v>
      </c>
      <c r="AQ22" s="87">
        <v>0</v>
      </c>
      <c r="AR22" s="88">
        <v>6.2811888414922397</v>
      </c>
    </row>
    <row r="23" spans="2:44" ht="12" customHeight="1" x14ac:dyDescent="0.25">
      <c r="B23" s="86" t="s">
        <v>22</v>
      </c>
      <c r="C23" s="87" t="s">
        <v>86</v>
      </c>
      <c r="D23" s="87" t="s">
        <v>24</v>
      </c>
      <c r="E23" s="87" t="s">
        <v>24</v>
      </c>
      <c r="F23" s="87" t="s">
        <v>25</v>
      </c>
      <c r="G23" s="87" t="s">
        <v>535</v>
      </c>
      <c r="H23" s="87" t="s">
        <v>73</v>
      </c>
      <c r="I23" s="87" t="s">
        <v>25</v>
      </c>
      <c r="J23" s="87">
        <v>943.25</v>
      </c>
      <c r="K23" s="87">
        <v>196.57</v>
      </c>
      <c r="L23" s="87">
        <v>0</v>
      </c>
      <c r="M23" s="87">
        <v>2.2014344050507901</v>
      </c>
      <c r="N23" s="87">
        <v>0</v>
      </c>
      <c r="O23" s="87">
        <v>0</v>
      </c>
      <c r="P23" s="87">
        <v>0</v>
      </c>
      <c r="Q23" s="87">
        <v>89.898034954753498</v>
      </c>
      <c r="R23" s="87">
        <v>14.184759520295801</v>
      </c>
      <c r="S23" s="87">
        <v>0</v>
      </c>
      <c r="T23" s="87">
        <v>0</v>
      </c>
      <c r="U23" s="87">
        <v>0</v>
      </c>
      <c r="V23" s="87">
        <v>0</v>
      </c>
      <c r="W23" s="87">
        <v>0</v>
      </c>
      <c r="X23" s="87">
        <v>265.056612071377</v>
      </c>
      <c r="Y23" s="87">
        <v>0</v>
      </c>
      <c r="Z23" s="87">
        <v>0</v>
      </c>
      <c r="AA23" s="87">
        <v>540.28986249915795</v>
      </c>
      <c r="AB23" s="87">
        <v>0</v>
      </c>
      <c r="AC23" s="87">
        <v>0</v>
      </c>
      <c r="AD23" s="87">
        <v>30.549641419252001</v>
      </c>
      <c r="AE23" s="87">
        <v>1.0717012520338201</v>
      </c>
      <c r="AF23" s="87">
        <v>0</v>
      </c>
      <c r="AG23" s="87">
        <v>0</v>
      </c>
      <c r="AH23" s="87">
        <v>0</v>
      </c>
      <c r="AI23" s="87">
        <v>-14.8002535682764</v>
      </c>
      <c r="AJ23" s="87">
        <v>0</v>
      </c>
      <c r="AK23" s="87">
        <v>26.0378660174188</v>
      </c>
      <c r="AL23" s="87">
        <v>0</v>
      </c>
      <c r="AM23" s="87">
        <v>179.04996045310099</v>
      </c>
      <c r="AN23" s="87">
        <v>0</v>
      </c>
      <c r="AO23" s="87">
        <v>0</v>
      </c>
      <c r="AP23" s="87">
        <v>0</v>
      </c>
      <c r="AQ23" s="87">
        <v>0</v>
      </c>
      <c r="AR23" s="88">
        <v>6.2811888414922397</v>
      </c>
    </row>
    <row r="24" spans="2:44" ht="12" customHeight="1" x14ac:dyDescent="0.25">
      <c r="B24" s="86" t="s">
        <v>22</v>
      </c>
      <c r="C24" s="87" t="s">
        <v>86</v>
      </c>
      <c r="D24" s="87" t="s">
        <v>24</v>
      </c>
      <c r="E24" s="87" t="s">
        <v>24</v>
      </c>
      <c r="F24" s="87" t="s">
        <v>25</v>
      </c>
      <c r="G24" s="87" t="s">
        <v>38</v>
      </c>
      <c r="H24" s="87" t="s">
        <v>73</v>
      </c>
      <c r="I24" s="87" t="s">
        <v>25</v>
      </c>
      <c r="J24" s="87">
        <v>406.35</v>
      </c>
      <c r="K24" s="87">
        <v>196.57</v>
      </c>
      <c r="L24" s="87">
        <v>0</v>
      </c>
      <c r="M24" s="87">
        <v>2.2014344050507901</v>
      </c>
      <c r="N24" s="87">
        <v>0</v>
      </c>
      <c r="O24" s="87">
        <v>0</v>
      </c>
      <c r="P24" s="87">
        <v>0</v>
      </c>
      <c r="Q24" s="87">
        <v>89.898034954753498</v>
      </c>
      <c r="R24" s="87">
        <v>14.184759520295801</v>
      </c>
      <c r="S24" s="87">
        <v>0</v>
      </c>
      <c r="T24" s="87">
        <v>0</v>
      </c>
      <c r="U24" s="87">
        <v>0</v>
      </c>
      <c r="V24" s="87">
        <v>0</v>
      </c>
      <c r="W24" s="87">
        <v>0</v>
      </c>
      <c r="X24" s="87">
        <v>88.352204023792297</v>
      </c>
      <c r="Y24" s="87">
        <v>0</v>
      </c>
      <c r="Z24" s="87">
        <v>0</v>
      </c>
      <c r="AA24" s="87">
        <v>180.096600791188</v>
      </c>
      <c r="AB24" s="87">
        <v>0</v>
      </c>
      <c r="AC24" s="87">
        <v>0</v>
      </c>
      <c r="AD24" s="87">
        <v>30.549641419252001</v>
      </c>
      <c r="AE24" s="87">
        <v>1.0717012520338201</v>
      </c>
      <c r="AF24" s="87">
        <v>0</v>
      </c>
      <c r="AG24" s="87">
        <v>0</v>
      </c>
      <c r="AH24" s="87">
        <v>0</v>
      </c>
      <c r="AI24" s="87">
        <v>-14.8002535682764</v>
      </c>
      <c r="AJ24" s="87">
        <v>0</v>
      </c>
      <c r="AK24" s="87">
        <v>26.0378660174188</v>
      </c>
      <c r="AL24" s="87">
        <v>0</v>
      </c>
      <c r="AM24" s="87">
        <v>179.04996045310099</v>
      </c>
      <c r="AN24" s="87">
        <v>0</v>
      </c>
      <c r="AO24" s="87">
        <v>0</v>
      </c>
      <c r="AP24" s="87">
        <v>0</v>
      </c>
      <c r="AQ24" s="87">
        <v>0</v>
      </c>
      <c r="AR24" s="88">
        <v>6.2811888414922397</v>
      </c>
    </row>
    <row r="25" spans="2:44" ht="12" customHeight="1" x14ac:dyDescent="0.25">
      <c r="B25" s="86" t="s">
        <v>22</v>
      </c>
      <c r="C25" s="87" t="s">
        <v>23</v>
      </c>
      <c r="D25" s="87" t="s">
        <v>24</v>
      </c>
      <c r="E25" s="87" t="s">
        <v>1062</v>
      </c>
      <c r="F25" s="87" t="s">
        <v>25</v>
      </c>
      <c r="G25" s="87" t="s">
        <v>25</v>
      </c>
      <c r="H25" s="87" t="s">
        <v>73</v>
      </c>
      <c r="I25" s="87" t="s">
        <v>25</v>
      </c>
      <c r="J25" s="87">
        <v>466.8</v>
      </c>
      <c r="K25" s="87">
        <v>196.57</v>
      </c>
      <c r="L25" s="87">
        <v>0</v>
      </c>
      <c r="M25" s="87">
        <v>2.2014344050507901</v>
      </c>
      <c r="N25" s="87">
        <v>0</v>
      </c>
      <c r="O25" s="87">
        <v>0</v>
      </c>
      <c r="P25" s="87">
        <v>0</v>
      </c>
      <c r="Q25" s="87">
        <v>0</v>
      </c>
      <c r="R25" s="87">
        <v>0</v>
      </c>
      <c r="S25" s="87">
        <v>0</v>
      </c>
      <c r="T25" s="87">
        <v>0</v>
      </c>
      <c r="U25" s="87">
        <v>0</v>
      </c>
      <c r="V25" s="87">
        <v>0</v>
      </c>
      <c r="W25" s="87">
        <v>0</v>
      </c>
      <c r="X25" s="87">
        <v>142.503610058975</v>
      </c>
      <c r="Y25" s="87">
        <v>0</v>
      </c>
      <c r="Z25" s="87">
        <v>0</v>
      </c>
      <c r="AA25" s="87">
        <v>290.478415526378</v>
      </c>
      <c r="AB25" s="87">
        <v>0</v>
      </c>
      <c r="AC25" s="87">
        <v>0</v>
      </c>
      <c r="AD25" s="87">
        <v>30.549641419252001</v>
      </c>
      <c r="AE25" s="87">
        <v>1.0717012520338201</v>
      </c>
      <c r="AF25" s="87">
        <v>0</v>
      </c>
      <c r="AG25" s="87">
        <v>0</v>
      </c>
      <c r="AH25" s="87">
        <v>0</v>
      </c>
      <c r="AI25" s="87">
        <v>-14.8002535682764</v>
      </c>
      <c r="AJ25" s="87">
        <v>0</v>
      </c>
      <c r="AK25" s="87">
        <v>26.0378660174188</v>
      </c>
      <c r="AL25" s="87">
        <v>0</v>
      </c>
      <c r="AM25" s="87">
        <v>179.04996045310099</v>
      </c>
      <c r="AN25" s="87">
        <v>0</v>
      </c>
      <c r="AO25" s="87">
        <v>0</v>
      </c>
      <c r="AP25" s="87">
        <v>0</v>
      </c>
      <c r="AQ25" s="87">
        <v>0</v>
      </c>
      <c r="AR25" s="88">
        <v>6.2811888414922397</v>
      </c>
    </row>
    <row r="26" spans="2:44" ht="12" customHeight="1" x14ac:dyDescent="0.25">
      <c r="B26" s="86" t="s">
        <v>22</v>
      </c>
      <c r="C26" s="87" t="s">
        <v>23</v>
      </c>
      <c r="D26" s="87" t="s">
        <v>24</v>
      </c>
      <c r="E26" s="87" t="s">
        <v>24</v>
      </c>
      <c r="F26" s="87" t="s">
        <v>25</v>
      </c>
      <c r="G26" s="87" t="s">
        <v>25</v>
      </c>
      <c r="H26" s="87" t="s">
        <v>73</v>
      </c>
      <c r="I26" s="87" t="s">
        <v>25</v>
      </c>
      <c r="J26" s="87">
        <v>570.89</v>
      </c>
      <c r="K26" s="87">
        <v>196.57</v>
      </c>
      <c r="L26" s="87">
        <v>0</v>
      </c>
      <c r="M26" s="87">
        <v>2.2014344050507901</v>
      </c>
      <c r="N26" s="87">
        <v>0</v>
      </c>
      <c r="O26" s="87">
        <v>0</v>
      </c>
      <c r="P26" s="87">
        <v>0</v>
      </c>
      <c r="Q26" s="87">
        <v>89.898034954753498</v>
      </c>
      <c r="R26" s="87">
        <v>14.184759520295801</v>
      </c>
      <c r="S26" s="87">
        <v>0</v>
      </c>
      <c r="T26" s="87">
        <v>0</v>
      </c>
      <c r="U26" s="87">
        <v>0</v>
      </c>
      <c r="V26" s="87">
        <v>0</v>
      </c>
      <c r="W26" s="87">
        <v>0</v>
      </c>
      <c r="X26" s="87">
        <v>142.503610058975</v>
      </c>
      <c r="Y26" s="87">
        <v>0</v>
      </c>
      <c r="Z26" s="87">
        <v>0</v>
      </c>
      <c r="AA26" s="87">
        <v>290.478415526378</v>
      </c>
      <c r="AB26" s="87">
        <v>0</v>
      </c>
      <c r="AC26" s="87">
        <v>0</v>
      </c>
      <c r="AD26" s="87">
        <v>30.549641419252001</v>
      </c>
      <c r="AE26" s="87">
        <v>1.0717012520338201</v>
      </c>
      <c r="AF26" s="87">
        <v>0</v>
      </c>
      <c r="AG26" s="87">
        <v>0</v>
      </c>
      <c r="AH26" s="87">
        <v>0</v>
      </c>
      <c r="AI26" s="87">
        <v>-14.8002535682764</v>
      </c>
      <c r="AJ26" s="87">
        <v>0</v>
      </c>
      <c r="AK26" s="87">
        <v>26.0378660174188</v>
      </c>
      <c r="AL26" s="87">
        <v>0</v>
      </c>
      <c r="AM26" s="87">
        <v>179.04996045310099</v>
      </c>
      <c r="AN26" s="87">
        <v>0</v>
      </c>
      <c r="AO26" s="87">
        <v>0</v>
      </c>
      <c r="AP26" s="87">
        <v>0</v>
      </c>
      <c r="AQ26" s="87">
        <v>0</v>
      </c>
      <c r="AR26" s="88">
        <v>6.2811888414922397</v>
      </c>
    </row>
    <row r="27" spans="2:44" ht="12" customHeight="1" x14ac:dyDescent="0.25">
      <c r="B27" s="86" t="s">
        <v>22</v>
      </c>
      <c r="C27" s="87" t="s">
        <v>88</v>
      </c>
      <c r="D27" s="87" t="s">
        <v>24</v>
      </c>
      <c r="E27" s="87" t="s">
        <v>1062</v>
      </c>
      <c r="F27" s="87" t="s">
        <v>25</v>
      </c>
      <c r="G27" s="87" t="s">
        <v>25</v>
      </c>
      <c r="H27" s="87" t="s">
        <v>73</v>
      </c>
      <c r="I27" s="87" t="s">
        <v>25</v>
      </c>
      <c r="J27" s="87">
        <v>466.8</v>
      </c>
      <c r="K27" s="87">
        <v>196.57</v>
      </c>
      <c r="L27" s="87">
        <v>0</v>
      </c>
      <c r="M27" s="87">
        <v>2.2014344050507901</v>
      </c>
      <c r="N27" s="87">
        <v>0</v>
      </c>
      <c r="O27" s="87">
        <v>0</v>
      </c>
      <c r="P27" s="87">
        <v>0</v>
      </c>
      <c r="Q27" s="87">
        <v>0</v>
      </c>
      <c r="R27" s="87">
        <v>0</v>
      </c>
      <c r="S27" s="87">
        <v>0</v>
      </c>
      <c r="T27" s="87">
        <v>0</v>
      </c>
      <c r="U27" s="87">
        <v>0</v>
      </c>
      <c r="V27" s="87">
        <v>0</v>
      </c>
      <c r="W27" s="87">
        <v>0</v>
      </c>
      <c r="X27" s="87">
        <v>142.503610058975</v>
      </c>
      <c r="Y27" s="87">
        <v>0</v>
      </c>
      <c r="Z27" s="87">
        <v>0</v>
      </c>
      <c r="AA27" s="87">
        <v>290.478415526378</v>
      </c>
      <c r="AB27" s="87">
        <v>0</v>
      </c>
      <c r="AC27" s="87">
        <v>0</v>
      </c>
      <c r="AD27" s="87">
        <v>30.549641419252001</v>
      </c>
      <c r="AE27" s="87">
        <v>1.0717012520338201</v>
      </c>
      <c r="AF27" s="87">
        <v>0</v>
      </c>
      <c r="AG27" s="87">
        <v>0</v>
      </c>
      <c r="AH27" s="87">
        <v>0</v>
      </c>
      <c r="AI27" s="87">
        <v>-14.8002535682764</v>
      </c>
      <c r="AJ27" s="87">
        <v>0</v>
      </c>
      <c r="AK27" s="87">
        <v>26.0378660174188</v>
      </c>
      <c r="AL27" s="87">
        <v>0</v>
      </c>
      <c r="AM27" s="87">
        <v>179.04996045310099</v>
      </c>
      <c r="AN27" s="87">
        <v>0</v>
      </c>
      <c r="AO27" s="87">
        <v>0</v>
      </c>
      <c r="AP27" s="87">
        <v>0</v>
      </c>
      <c r="AQ27" s="87">
        <v>0</v>
      </c>
      <c r="AR27" s="88">
        <v>6.2811888414922397</v>
      </c>
    </row>
    <row r="28" spans="2:44" ht="12" customHeight="1" x14ac:dyDescent="0.25">
      <c r="B28" s="86" t="s">
        <v>22</v>
      </c>
      <c r="C28" s="87" t="s">
        <v>88</v>
      </c>
      <c r="D28" s="87" t="s">
        <v>24</v>
      </c>
      <c r="E28" s="87" t="s">
        <v>24</v>
      </c>
      <c r="F28" s="87" t="s">
        <v>25</v>
      </c>
      <c r="G28" s="87" t="s">
        <v>25</v>
      </c>
      <c r="H28" s="87" t="s">
        <v>73</v>
      </c>
      <c r="I28" s="87" t="s">
        <v>25</v>
      </c>
      <c r="J28" s="87">
        <v>570.89</v>
      </c>
      <c r="K28" s="87">
        <v>196.57</v>
      </c>
      <c r="L28" s="87">
        <v>0</v>
      </c>
      <c r="M28" s="87">
        <v>2.2014344050507901</v>
      </c>
      <c r="N28" s="87">
        <v>0</v>
      </c>
      <c r="O28" s="87">
        <v>0</v>
      </c>
      <c r="P28" s="87">
        <v>0</v>
      </c>
      <c r="Q28" s="87">
        <v>89.898034954753498</v>
      </c>
      <c r="R28" s="87">
        <v>14.184759520295801</v>
      </c>
      <c r="S28" s="87">
        <v>0</v>
      </c>
      <c r="T28" s="87">
        <v>0</v>
      </c>
      <c r="U28" s="87">
        <v>0</v>
      </c>
      <c r="V28" s="87">
        <v>0</v>
      </c>
      <c r="W28" s="87">
        <v>0</v>
      </c>
      <c r="X28" s="87">
        <v>142.503610058975</v>
      </c>
      <c r="Y28" s="87">
        <v>0</v>
      </c>
      <c r="Z28" s="87">
        <v>0</v>
      </c>
      <c r="AA28" s="87">
        <v>290.478415526378</v>
      </c>
      <c r="AB28" s="87">
        <v>0</v>
      </c>
      <c r="AC28" s="87">
        <v>0</v>
      </c>
      <c r="AD28" s="87">
        <v>30.549641419252001</v>
      </c>
      <c r="AE28" s="87">
        <v>1.0717012520338201</v>
      </c>
      <c r="AF28" s="87">
        <v>0</v>
      </c>
      <c r="AG28" s="87">
        <v>0</v>
      </c>
      <c r="AH28" s="87">
        <v>0</v>
      </c>
      <c r="AI28" s="87">
        <v>-14.8002535682764</v>
      </c>
      <c r="AJ28" s="87">
        <v>0</v>
      </c>
      <c r="AK28" s="87">
        <v>26.0378660174188</v>
      </c>
      <c r="AL28" s="87">
        <v>0</v>
      </c>
      <c r="AM28" s="87">
        <v>179.04996045310099</v>
      </c>
      <c r="AN28" s="87">
        <v>0</v>
      </c>
      <c r="AO28" s="87">
        <v>0</v>
      </c>
      <c r="AP28" s="87">
        <v>0</v>
      </c>
      <c r="AQ28" s="87">
        <v>0</v>
      </c>
      <c r="AR28" s="88">
        <v>6.2811888414922397</v>
      </c>
    </row>
    <row r="29" spans="2:44" ht="12" customHeight="1" x14ac:dyDescent="0.25">
      <c r="B29" s="86" t="s">
        <v>41</v>
      </c>
      <c r="C29" s="87" t="s">
        <v>86</v>
      </c>
      <c r="D29" s="87" t="s">
        <v>42</v>
      </c>
      <c r="E29" s="87" t="s">
        <v>89</v>
      </c>
      <c r="F29" s="87" t="s">
        <v>25</v>
      </c>
      <c r="G29" s="87" t="s">
        <v>37</v>
      </c>
      <c r="H29" s="87" t="s">
        <v>73</v>
      </c>
      <c r="I29" s="87" t="s">
        <v>25</v>
      </c>
      <c r="J29" s="87">
        <v>1236.68</v>
      </c>
      <c r="K29" s="87">
        <v>184.77</v>
      </c>
      <c r="L29" s="87">
        <v>0</v>
      </c>
      <c r="M29" s="87">
        <v>2.06934834074774</v>
      </c>
      <c r="N29" s="87">
        <v>0</v>
      </c>
      <c r="O29" s="87">
        <v>0</v>
      </c>
      <c r="P29" s="87">
        <v>0</v>
      </c>
      <c r="Q29" s="87">
        <v>84.504152857468299</v>
      </c>
      <c r="R29" s="87">
        <v>13.333673949078101</v>
      </c>
      <c r="S29" s="87">
        <v>0</v>
      </c>
      <c r="T29" s="87">
        <v>0</v>
      </c>
      <c r="U29" s="87">
        <v>0</v>
      </c>
      <c r="V29" s="87">
        <v>0</v>
      </c>
      <c r="W29" s="87">
        <v>0</v>
      </c>
      <c r="X29" s="87">
        <v>364.35314443877201</v>
      </c>
      <c r="Y29" s="87">
        <v>0</v>
      </c>
      <c r="Z29" s="87">
        <v>0</v>
      </c>
      <c r="AA29" s="87">
        <v>742.69517438556295</v>
      </c>
      <c r="AB29" s="87">
        <v>0</v>
      </c>
      <c r="AC29" s="87">
        <v>0</v>
      </c>
      <c r="AD29" s="87">
        <v>28.716662934096799</v>
      </c>
      <c r="AE29" s="87">
        <v>1.00739917691179</v>
      </c>
      <c r="AF29" s="87">
        <v>0</v>
      </c>
      <c r="AG29" s="87">
        <v>0</v>
      </c>
      <c r="AH29" s="87">
        <v>0</v>
      </c>
      <c r="AI29" s="87">
        <v>-13.9122383541798</v>
      </c>
      <c r="AJ29" s="87">
        <v>0</v>
      </c>
      <c r="AK29" s="87">
        <v>24.475594056373701</v>
      </c>
      <c r="AL29" s="87">
        <v>0</v>
      </c>
      <c r="AM29" s="87">
        <v>168.30696282591501</v>
      </c>
      <c r="AN29" s="87">
        <v>0</v>
      </c>
      <c r="AO29" s="87">
        <v>0</v>
      </c>
      <c r="AP29" s="87">
        <v>0</v>
      </c>
      <c r="AQ29" s="87">
        <v>0</v>
      </c>
      <c r="AR29" s="88">
        <v>5.9043175110027004</v>
      </c>
    </row>
    <row r="30" spans="2:44" ht="12" customHeight="1" x14ac:dyDescent="0.25">
      <c r="B30" s="86" t="s">
        <v>41</v>
      </c>
      <c r="C30" s="87" t="s">
        <v>86</v>
      </c>
      <c r="D30" s="87" t="s">
        <v>42</v>
      </c>
      <c r="E30" s="87" t="s">
        <v>89</v>
      </c>
      <c r="F30" s="87" t="s">
        <v>25</v>
      </c>
      <c r="G30" s="87" t="s">
        <v>535</v>
      </c>
      <c r="H30" s="87" t="s">
        <v>73</v>
      </c>
      <c r="I30" s="87" t="s">
        <v>25</v>
      </c>
      <c r="J30" s="87">
        <v>683.16</v>
      </c>
      <c r="K30" s="87">
        <v>184.77</v>
      </c>
      <c r="L30" s="87">
        <v>0</v>
      </c>
      <c r="M30" s="87">
        <v>2.06934834074774</v>
      </c>
      <c r="N30" s="87">
        <v>0</v>
      </c>
      <c r="O30" s="87">
        <v>0</v>
      </c>
      <c r="P30" s="87">
        <v>0</v>
      </c>
      <c r="Q30" s="87">
        <v>84.504152857468299</v>
      </c>
      <c r="R30" s="87">
        <v>13.333673949078101</v>
      </c>
      <c r="S30" s="87">
        <v>0</v>
      </c>
      <c r="T30" s="87">
        <v>0</v>
      </c>
      <c r="U30" s="87">
        <v>0</v>
      </c>
      <c r="V30" s="87">
        <v>0</v>
      </c>
      <c r="W30" s="87">
        <v>0</v>
      </c>
      <c r="X30" s="87">
        <v>182.176572219386</v>
      </c>
      <c r="Y30" s="87">
        <v>0</v>
      </c>
      <c r="Z30" s="87">
        <v>0</v>
      </c>
      <c r="AA30" s="87">
        <v>371.34761545181101</v>
      </c>
      <c r="AB30" s="87">
        <v>0</v>
      </c>
      <c r="AC30" s="87">
        <v>0</v>
      </c>
      <c r="AD30" s="87">
        <v>28.716662934096799</v>
      </c>
      <c r="AE30" s="87">
        <v>1.00739917691179</v>
      </c>
      <c r="AF30" s="87">
        <v>0</v>
      </c>
      <c r="AG30" s="87">
        <v>0</v>
      </c>
      <c r="AH30" s="87">
        <v>0</v>
      </c>
      <c r="AI30" s="87">
        <v>-13.9122383541798</v>
      </c>
      <c r="AJ30" s="87">
        <v>0</v>
      </c>
      <c r="AK30" s="87">
        <v>24.475594056373701</v>
      </c>
      <c r="AL30" s="87">
        <v>0</v>
      </c>
      <c r="AM30" s="87">
        <v>168.30696282591501</v>
      </c>
      <c r="AN30" s="87">
        <v>0</v>
      </c>
      <c r="AO30" s="87">
        <v>0</v>
      </c>
      <c r="AP30" s="87">
        <v>0</v>
      </c>
      <c r="AQ30" s="87">
        <v>0</v>
      </c>
      <c r="AR30" s="88">
        <v>5.9043175110027004</v>
      </c>
    </row>
    <row r="31" spans="2:44" ht="12" customHeight="1" x14ac:dyDescent="0.25">
      <c r="B31" s="86" t="s">
        <v>41</v>
      </c>
      <c r="C31" s="87" t="s">
        <v>86</v>
      </c>
      <c r="D31" s="87" t="s">
        <v>42</v>
      </c>
      <c r="E31" s="87" t="s">
        <v>89</v>
      </c>
      <c r="F31" s="87" t="s">
        <v>25</v>
      </c>
      <c r="G31" s="87" t="s">
        <v>38</v>
      </c>
      <c r="H31" s="87" t="s">
        <v>73</v>
      </c>
      <c r="I31" s="87" t="s">
        <v>25</v>
      </c>
      <c r="J31" s="87">
        <v>406.39</v>
      </c>
      <c r="K31" s="87">
        <v>184.77</v>
      </c>
      <c r="L31" s="87">
        <v>0</v>
      </c>
      <c r="M31" s="87">
        <v>2.06934834074774</v>
      </c>
      <c r="N31" s="87">
        <v>0</v>
      </c>
      <c r="O31" s="87">
        <v>0</v>
      </c>
      <c r="P31" s="87">
        <v>0</v>
      </c>
      <c r="Q31" s="87">
        <v>84.504152857468299</v>
      </c>
      <c r="R31" s="87">
        <v>13.333673949078101</v>
      </c>
      <c r="S31" s="87">
        <v>0</v>
      </c>
      <c r="T31" s="87">
        <v>0</v>
      </c>
      <c r="U31" s="87">
        <v>0</v>
      </c>
      <c r="V31" s="87">
        <v>0</v>
      </c>
      <c r="W31" s="87">
        <v>0</v>
      </c>
      <c r="X31" s="87">
        <v>91.088286109693001</v>
      </c>
      <c r="Y31" s="87">
        <v>0</v>
      </c>
      <c r="Z31" s="87">
        <v>0</v>
      </c>
      <c r="AA31" s="87">
        <v>185.67380772590599</v>
      </c>
      <c r="AB31" s="87">
        <v>0</v>
      </c>
      <c r="AC31" s="87">
        <v>0</v>
      </c>
      <c r="AD31" s="87">
        <v>28.716662934096799</v>
      </c>
      <c r="AE31" s="87">
        <v>1.00739917691179</v>
      </c>
      <c r="AF31" s="87">
        <v>0</v>
      </c>
      <c r="AG31" s="87">
        <v>0</v>
      </c>
      <c r="AH31" s="87">
        <v>0</v>
      </c>
      <c r="AI31" s="87">
        <v>-13.9122383541798</v>
      </c>
      <c r="AJ31" s="87">
        <v>0</v>
      </c>
      <c r="AK31" s="87">
        <v>24.475594056373701</v>
      </c>
      <c r="AL31" s="87">
        <v>0</v>
      </c>
      <c r="AM31" s="87">
        <v>168.30696282591501</v>
      </c>
      <c r="AN31" s="87">
        <v>0</v>
      </c>
      <c r="AO31" s="87">
        <v>0</v>
      </c>
      <c r="AP31" s="87">
        <v>0</v>
      </c>
      <c r="AQ31" s="87">
        <v>0</v>
      </c>
      <c r="AR31" s="88">
        <v>5.9043175110027004</v>
      </c>
    </row>
    <row r="32" spans="2:44" ht="12" customHeight="1" x14ac:dyDescent="0.25">
      <c r="B32" s="86" t="s">
        <v>41</v>
      </c>
      <c r="C32" s="87" t="s">
        <v>86</v>
      </c>
      <c r="D32" s="87" t="s">
        <v>42</v>
      </c>
      <c r="E32" s="87" t="s">
        <v>25</v>
      </c>
      <c r="F32" s="87" t="s">
        <v>25</v>
      </c>
      <c r="G32" s="87" t="s">
        <v>37</v>
      </c>
      <c r="H32" s="87" t="s">
        <v>73</v>
      </c>
      <c r="I32" s="87" t="s">
        <v>25</v>
      </c>
      <c r="J32" s="87">
        <v>1236.68</v>
      </c>
      <c r="K32" s="87">
        <v>184.77</v>
      </c>
      <c r="L32" s="87">
        <v>0</v>
      </c>
      <c r="M32" s="87">
        <v>2.06934834074774</v>
      </c>
      <c r="N32" s="87">
        <v>0</v>
      </c>
      <c r="O32" s="87">
        <v>0</v>
      </c>
      <c r="P32" s="87">
        <v>0</v>
      </c>
      <c r="Q32" s="87">
        <v>84.504152857468299</v>
      </c>
      <c r="R32" s="87">
        <v>13.333673949078101</v>
      </c>
      <c r="S32" s="87">
        <v>0</v>
      </c>
      <c r="T32" s="87">
        <v>0</v>
      </c>
      <c r="U32" s="87">
        <v>0</v>
      </c>
      <c r="V32" s="87">
        <v>0</v>
      </c>
      <c r="W32" s="87">
        <v>0</v>
      </c>
      <c r="X32" s="87">
        <v>364.35314443877201</v>
      </c>
      <c r="Y32" s="87">
        <v>0</v>
      </c>
      <c r="Z32" s="87">
        <v>0</v>
      </c>
      <c r="AA32" s="87">
        <v>742.69517438556295</v>
      </c>
      <c r="AB32" s="87">
        <v>0</v>
      </c>
      <c r="AC32" s="87">
        <v>0</v>
      </c>
      <c r="AD32" s="87">
        <v>28.716662934096799</v>
      </c>
      <c r="AE32" s="87">
        <v>1.00739917691179</v>
      </c>
      <c r="AF32" s="87">
        <v>0</v>
      </c>
      <c r="AG32" s="87">
        <v>0</v>
      </c>
      <c r="AH32" s="87">
        <v>0</v>
      </c>
      <c r="AI32" s="87">
        <v>-13.9122383541798</v>
      </c>
      <c r="AJ32" s="87">
        <v>0</v>
      </c>
      <c r="AK32" s="87">
        <v>24.475594056373701</v>
      </c>
      <c r="AL32" s="87">
        <v>0</v>
      </c>
      <c r="AM32" s="87">
        <v>168.30696282591501</v>
      </c>
      <c r="AN32" s="87">
        <v>0</v>
      </c>
      <c r="AO32" s="87">
        <v>0</v>
      </c>
      <c r="AP32" s="87">
        <v>0</v>
      </c>
      <c r="AQ32" s="87">
        <v>0</v>
      </c>
      <c r="AR32" s="88">
        <v>5.9043175110027004</v>
      </c>
    </row>
    <row r="33" spans="2:44" ht="12" customHeight="1" x14ac:dyDescent="0.25">
      <c r="B33" s="86" t="s">
        <v>41</v>
      </c>
      <c r="C33" s="87" t="s">
        <v>86</v>
      </c>
      <c r="D33" s="87" t="s">
        <v>42</v>
      </c>
      <c r="E33" s="87" t="s">
        <v>25</v>
      </c>
      <c r="F33" s="87" t="s">
        <v>25</v>
      </c>
      <c r="G33" s="87" t="s">
        <v>535</v>
      </c>
      <c r="H33" s="87" t="s">
        <v>73</v>
      </c>
      <c r="I33" s="87" t="s">
        <v>25</v>
      </c>
      <c r="J33" s="87">
        <v>683.16</v>
      </c>
      <c r="K33" s="87">
        <v>184.77</v>
      </c>
      <c r="L33" s="87">
        <v>0</v>
      </c>
      <c r="M33" s="87">
        <v>2.06934834074774</v>
      </c>
      <c r="N33" s="87">
        <v>0</v>
      </c>
      <c r="O33" s="87">
        <v>0</v>
      </c>
      <c r="P33" s="87">
        <v>0</v>
      </c>
      <c r="Q33" s="87">
        <v>84.504152857468299</v>
      </c>
      <c r="R33" s="87">
        <v>13.333673949078101</v>
      </c>
      <c r="S33" s="87">
        <v>0</v>
      </c>
      <c r="T33" s="87">
        <v>0</v>
      </c>
      <c r="U33" s="87">
        <v>0</v>
      </c>
      <c r="V33" s="87">
        <v>0</v>
      </c>
      <c r="W33" s="87">
        <v>0</v>
      </c>
      <c r="X33" s="87">
        <v>182.176572219386</v>
      </c>
      <c r="Y33" s="87">
        <v>0</v>
      </c>
      <c r="Z33" s="87">
        <v>0</v>
      </c>
      <c r="AA33" s="87">
        <v>371.34761545181101</v>
      </c>
      <c r="AB33" s="87">
        <v>0</v>
      </c>
      <c r="AC33" s="87">
        <v>0</v>
      </c>
      <c r="AD33" s="87">
        <v>28.716662934096799</v>
      </c>
      <c r="AE33" s="87">
        <v>1.00739917691179</v>
      </c>
      <c r="AF33" s="87">
        <v>0</v>
      </c>
      <c r="AG33" s="87">
        <v>0</v>
      </c>
      <c r="AH33" s="87">
        <v>0</v>
      </c>
      <c r="AI33" s="87">
        <v>-13.9122383541798</v>
      </c>
      <c r="AJ33" s="87">
        <v>0</v>
      </c>
      <c r="AK33" s="87">
        <v>24.475594056373701</v>
      </c>
      <c r="AL33" s="87">
        <v>0</v>
      </c>
      <c r="AM33" s="87">
        <v>168.30696282591501</v>
      </c>
      <c r="AN33" s="87">
        <v>0</v>
      </c>
      <c r="AO33" s="87">
        <v>0</v>
      </c>
      <c r="AP33" s="87">
        <v>0</v>
      </c>
      <c r="AQ33" s="87">
        <v>0</v>
      </c>
      <c r="AR33" s="88">
        <v>5.9043175110027004</v>
      </c>
    </row>
    <row r="34" spans="2:44" ht="12" customHeight="1" x14ac:dyDescent="0.25">
      <c r="B34" s="86" t="s">
        <v>41</v>
      </c>
      <c r="C34" s="87" t="s">
        <v>86</v>
      </c>
      <c r="D34" s="87" t="s">
        <v>42</v>
      </c>
      <c r="E34" s="87" t="s">
        <v>25</v>
      </c>
      <c r="F34" s="87" t="s">
        <v>25</v>
      </c>
      <c r="G34" s="87" t="s">
        <v>38</v>
      </c>
      <c r="H34" s="87" t="s">
        <v>73</v>
      </c>
      <c r="I34" s="87" t="s">
        <v>25</v>
      </c>
      <c r="J34" s="87">
        <v>406.39</v>
      </c>
      <c r="K34" s="87">
        <v>184.77</v>
      </c>
      <c r="L34" s="87">
        <v>0</v>
      </c>
      <c r="M34" s="87">
        <v>2.06934834074774</v>
      </c>
      <c r="N34" s="87">
        <v>0</v>
      </c>
      <c r="O34" s="87">
        <v>0</v>
      </c>
      <c r="P34" s="87">
        <v>0</v>
      </c>
      <c r="Q34" s="87">
        <v>84.504152857468299</v>
      </c>
      <c r="R34" s="87">
        <v>13.333673949078101</v>
      </c>
      <c r="S34" s="87">
        <v>0</v>
      </c>
      <c r="T34" s="87">
        <v>0</v>
      </c>
      <c r="U34" s="87">
        <v>0</v>
      </c>
      <c r="V34" s="87">
        <v>0</v>
      </c>
      <c r="W34" s="87">
        <v>0</v>
      </c>
      <c r="X34" s="87">
        <v>91.088286109693001</v>
      </c>
      <c r="Y34" s="87">
        <v>0</v>
      </c>
      <c r="Z34" s="87">
        <v>0</v>
      </c>
      <c r="AA34" s="87">
        <v>185.67380772590599</v>
      </c>
      <c r="AB34" s="87">
        <v>0</v>
      </c>
      <c r="AC34" s="87">
        <v>0</v>
      </c>
      <c r="AD34" s="87">
        <v>28.716662934096799</v>
      </c>
      <c r="AE34" s="87">
        <v>1.00739917691179</v>
      </c>
      <c r="AF34" s="87">
        <v>0</v>
      </c>
      <c r="AG34" s="87">
        <v>0</v>
      </c>
      <c r="AH34" s="87">
        <v>0</v>
      </c>
      <c r="AI34" s="87">
        <v>-13.9122383541798</v>
      </c>
      <c r="AJ34" s="87">
        <v>0</v>
      </c>
      <c r="AK34" s="87">
        <v>24.475594056373701</v>
      </c>
      <c r="AL34" s="87">
        <v>0</v>
      </c>
      <c r="AM34" s="87">
        <v>168.30696282591501</v>
      </c>
      <c r="AN34" s="87">
        <v>0</v>
      </c>
      <c r="AO34" s="87">
        <v>0</v>
      </c>
      <c r="AP34" s="87">
        <v>0</v>
      </c>
      <c r="AQ34" s="87">
        <v>0</v>
      </c>
      <c r="AR34" s="88">
        <v>5.9043175110027004</v>
      </c>
    </row>
    <row r="35" spans="2:44" ht="12" customHeight="1" x14ac:dyDescent="0.25">
      <c r="B35" s="86" t="s">
        <v>41</v>
      </c>
      <c r="C35" s="87" t="s">
        <v>86</v>
      </c>
      <c r="D35" s="87" t="s">
        <v>42</v>
      </c>
      <c r="E35" s="87" t="s">
        <v>90</v>
      </c>
      <c r="F35" s="87" t="s">
        <v>25</v>
      </c>
      <c r="G35" s="87" t="s">
        <v>37</v>
      </c>
      <c r="H35" s="87" t="s">
        <v>73</v>
      </c>
      <c r="I35" s="87" t="s">
        <v>25</v>
      </c>
      <c r="J35" s="87">
        <v>1210.3699999999999</v>
      </c>
      <c r="K35" s="87">
        <v>180.84</v>
      </c>
      <c r="L35" s="87">
        <v>0</v>
      </c>
      <c r="M35" s="87">
        <v>2.0253196526467301</v>
      </c>
      <c r="N35" s="87">
        <v>0</v>
      </c>
      <c r="O35" s="87">
        <v>0</v>
      </c>
      <c r="P35" s="87">
        <v>0</v>
      </c>
      <c r="Q35" s="87">
        <v>82.706192158373199</v>
      </c>
      <c r="R35" s="87">
        <v>13.0499787586722</v>
      </c>
      <c r="S35" s="87">
        <v>0</v>
      </c>
      <c r="T35" s="87">
        <v>0</v>
      </c>
      <c r="U35" s="87">
        <v>0</v>
      </c>
      <c r="V35" s="87">
        <v>0</v>
      </c>
      <c r="W35" s="87">
        <v>0</v>
      </c>
      <c r="X35" s="87">
        <v>356.60094987624501</v>
      </c>
      <c r="Y35" s="87">
        <v>0</v>
      </c>
      <c r="Z35" s="87">
        <v>0</v>
      </c>
      <c r="AA35" s="87">
        <v>726.89314939863596</v>
      </c>
      <c r="AB35" s="87">
        <v>0</v>
      </c>
      <c r="AC35" s="87">
        <v>0</v>
      </c>
      <c r="AD35" s="87">
        <v>28.105670105711798</v>
      </c>
      <c r="AE35" s="87">
        <v>0.985965151871117</v>
      </c>
      <c r="AF35" s="87">
        <v>0</v>
      </c>
      <c r="AG35" s="87">
        <v>0</v>
      </c>
      <c r="AH35" s="87">
        <v>0</v>
      </c>
      <c r="AI35" s="87">
        <v>-13.616233282814299</v>
      </c>
      <c r="AJ35" s="87">
        <v>0</v>
      </c>
      <c r="AK35" s="87">
        <v>23.9548367360253</v>
      </c>
      <c r="AL35" s="87">
        <v>0</v>
      </c>
      <c r="AM35" s="87">
        <v>164.72596361685299</v>
      </c>
      <c r="AN35" s="87">
        <v>0</v>
      </c>
      <c r="AO35" s="87">
        <v>0</v>
      </c>
      <c r="AP35" s="87">
        <v>0</v>
      </c>
      <c r="AQ35" s="87">
        <v>0</v>
      </c>
      <c r="AR35" s="88">
        <v>5.7786937341728599</v>
      </c>
    </row>
    <row r="36" spans="2:44" ht="12" customHeight="1" x14ac:dyDescent="0.25">
      <c r="B36" s="86" t="s">
        <v>41</v>
      </c>
      <c r="C36" s="87" t="s">
        <v>86</v>
      </c>
      <c r="D36" s="87" t="s">
        <v>42</v>
      </c>
      <c r="E36" s="87" t="s">
        <v>90</v>
      </c>
      <c r="F36" s="87" t="s">
        <v>25</v>
      </c>
      <c r="G36" s="87" t="s">
        <v>535</v>
      </c>
      <c r="H36" s="87" t="s">
        <v>73</v>
      </c>
      <c r="I36" s="87" t="s">
        <v>25</v>
      </c>
      <c r="J36" s="87">
        <v>668.62</v>
      </c>
      <c r="K36" s="87">
        <v>180.84</v>
      </c>
      <c r="L36" s="87">
        <v>0</v>
      </c>
      <c r="M36" s="87">
        <v>2.0253196526467301</v>
      </c>
      <c r="N36" s="87">
        <v>0</v>
      </c>
      <c r="O36" s="87">
        <v>0</v>
      </c>
      <c r="P36" s="87">
        <v>0</v>
      </c>
      <c r="Q36" s="87">
        <v>82.706192158373199</v>
      </c>
      <c r="R36" s="87">
        <v>13.0499787586722</v>
      </c>
      <c r="S36" s="87">
        <v>0</v>
      </c>
      <c r="T36" s="87">
        <v>0</v>
      </c>
      <c r="U36" s="87">
        <v>0</v>
      </c>
      <c r="V36" s="87">
        <v>0</v>
      </c>
      <c r="W36" s="87">
        <v>0</v>
      </c>
      <c r="X36" s="87">
        <v>178.30047493812299</v>
      </c>
      <c r="Y36" s="87">
        <v>0</v>
      </c>
      <c r="Z36" s="87">
        <v>0</v>
      </c>
      <c r="AA36" s="87">
        <v>363.44660235709199</v>
      </c>
      <c r="AB36" s="87">
        <v>0</v>
      </c>
      <c r="AC36" s="87">
        <v>0</v>
      </c>
      <c r="AD36" s="87">
        <v>28.105670105711798</v>
      </c>
      <c r="AE36" s="87">
        <v>0.985965151871117</v>
      </c>
      <c r="AF36" s="87">
        <v>0</v>
      </c>
      <c r="AG36" s="87">
        <v>0</v>
      </c>
      <c r="AH36" s="87">
        <v>0</v>
      </c>
      <c r="AI36" s="87">
        <v>-13.616233282814299</v>
      </c>
      <c r="AJ36" s="87">
        <v>0</v>
      </c>
      <c r="AK36" s="87">
        <v>23.9548367360253</v>
      </c>
      <c r="AL36" s="87">
        <v>0</v>
      </c>
      <c r="AM36" s="87">
        <v>164.72596361685299</v>
      </c>
      <c r="AN36" s="87">
        <v>0</v>
      </c>
      <c r="AO36" s="87">
        <v>0</v>
      </c>
      <c r="AP36" s="87">
        <v>0</v>
      </c>
      <c r="AQ36" s="87">
        <v>0</v>
      </c>
      <c r="AR36" s="88">
        <v>5.7786937341728599</v>
      </c>
    </row>
    <row r="37" spans="2:44" ht="12" customHeight="1" x14ac:dyDescent="0.25">
      <c r="B37" s="86" t="s">
        <v>41</v>
      </c>
      <c r="C37" s="87" t="s">
        <v>86</v>
      </c>
      <c r="D37" s="87" t="s">
        <v>42</v>
      </c>
      <c r="E37" s="87" t="s">
        <v>90</v>
      </c>
      <c r="F37" s="87" t="s">
        <v>25</v>
      </c>
      <c r="G37" s="87" t="s">
        <v>38</v>
      </c>
      <c r="H37" s="87" t="s">
        <v>73</v>
      </c>
      <c r="I37" s="87" t="s">
        <v>25</v>
      </c>
      <c r="J37" s="87">
        <v>397.75</v>
      </c>
      <c r="K37" s="87">
        <v>180.84</v>
      </c>
      <c r="L37" s="87">
        <v>0</v>
      </c>
      <c r="M37" s="87">
        <v>2.0253196526467301</v>
      </c>
      <c r="N37" s="87">
        <v>0</v>
      </c>
      <c r="O37" s="87">
        <v>0</v>
      </c>
      <c r="P37" s="87">
        <v>0</v>
      </c>
      <c r="Q37" s="87">
        <v>82.706192158373199</v>
      </c>
      <c r="R37" s="87">
        <v>13.0499787586722</v>
      </c>
      <c r="S37" s="87">
        <v>0</v>
      </c>
      <c r="T37" s="87">
        <v>0</v>
      </c>
      <c r="U37" s="87">
        <v>0</v>
      </c>
      <c r="V37" s="87">
        <v>0</v>
      </c>
      <c r="W37" s="87">
        <v>0</v>
      </c>
      <c r="X37" s="87">
        <v>89.150237469061295</v>
      </c>
      <c r="Y37" s="87">
        <v>0</v>
      </c>
      <c r="Z37" s="87">
        <v>0</v>
      </c>
      <c r="AA37" s="87">
        <v>181.723301178546</v>
      </c>
      <c r="AB37" s="87">
        <v>0</v>
      </c>
      <c r="AC37" s="87">
        <v>0</v>
      </c>
      <c r="AD37" s="87">
        <v>28.105670105711798</v>
      </c>
      <c r="AE37" s="87">
        <v>0.985965151871117</v>
      </c>
      <c r="AF37" s="87">
        <v>0</v>
      </c>
      <c r="AG37" s="87">
        <v>0</v>
      </c>
      <c r="AH37" s="87">
        <v>0</v>
      </c>
      <c r="AI37" s="87">
        <v>-13.616233282814299</v>
      </c>
      <c r="AJ37" s="87">
        <v>0</v>
      </c>
      <c r="AK37" s="87">
        <v>23.9548367360253</v>
      </c>
      <c r="AL37" s="87">
        <v>0</v>
      </c>
      <c r="AM37" s="87">
        <v>164.72596361685299</v>
      </c>
      <c r="AN37" s="87">
        <v>0</v>
      </c>
      <c r="AO37" s="87">
        <v>0</v>
      </c>
      <c r="AP37" s="87">
        <v>0</v>
      </c>
      <c r="AQ37" s="87">
        <v>0</v>
      </c>
      <c r="AR37" s="88">
        <v>5.7786937341728599</v>
      </c>
    </row>
    <row r="38" spans="2:44" ht="12" customHeight="1" x14ac:dyDescent="0.25">
      <c r="B38" s="86" t="s">
        <v>41</v>
      </c>
      <c r="C38" s="87" t="s">
        <v>23</v>
      </c>
      <c r="D38" s="87" t="s">
        <v>42</v>
      </c>
      <c r="E38" s="87" t="s">
        <v>89</v>
      </c>
      <c r="F38" s="87" t="s">
        <v>25</v>
      </c>
      <c r="G38" s="87" t="s">
        <v>25</v>
      </c>
      <c r="H38" s="87" t="s">
        <v>73</v>
      </c>
      <c r="I38" s="87" t="s">
        <v>25</v>
      </c>
      <c r="J38" s="87">
        <v>536.63</v>
      </c>
      <c r="K38" s="87">
        <v>184.77</v>
      </c>
      <c r="L38" s="87">
        <v>0</v>
      </c>
      <c r="M38" s="87">
        <v>2.06934834074774</v>
      </c>
      <c r="N38" s="87">
        <v>0</v>
      </c>
      <c r="O38" s="87">
        <v>0</v>
      </c>
      <c r="P38" s="87">
        <v>0</v>
      </c>
      <c r="Q38" s="87">
        <v>84.504152857468299</v>
      </c>
      <c r="R38" s="87">
        <v>13.333673949078101</v>
      </c>
      <c r="S38" s="87">
        <v>0</v>
      </c>
      <c r="T38" s="87">
        <v>0</v>
      </c>
      <c r="U38" s="87">
        <v>0</v>
      </c>
      <c r="V38" s="87">
        <v>0</v>
      </c>
      <c r="W38" s="87">
        <v>0</v>
      </c>
      <c r="X38" s="87">
        <v>133.95339345543701</v>
      </c>
      <c r="Y38" s="87">
        <v>0</v>
      </c>
      <c r="Z38" s="87">
        <v>0</v>
      </c>
      <c r="AA38" s="87">
        <v>273.04971059479499</v>
      </c>
      <c r="AB38" s="87">
        <v>0</v>
      </c>
      <c r="AC38" s="87">
        <v>0</v>
      </c>
      <c r="AD38" s="87">
        <v>28.716662934096799</v>
      </c>
      <c r="AE38" s="87">
        <v>1.00739917691179</v>
      </c>
      <c r="AF38" s="87">
        <v>0</v>
      </c>
      <c r="AG38" s="87">
        <v>0</v>
      </c>
      <c r="AH38" s="87">
        <v>0</v>
      </c>
      <c r="AI38" s="87">
        <v>-13.9122383541798</v>
      </c>
      <c r="AJ38" s="87">
        <v>0</v>
      </c>
      <c r="AK38" s="87">
        <v>24.475594056373701</v>
      </c>
      <c r="AL38" s="87">
        <v>0</v>
      </c>
      <c r="AM38" s="87">
        <v>168.30696282591501</v>
      </c>
      <c r="AN38" s="87">
        <v>0</v>
      </c>
      <c r="AO38" s="87">
        <v>0</v>
      </c>
      <c r="AP38" s="87">
        <v>0</v>
      </c>
      <c r="AQ38" s="87">
        <v>0</v>
      </c>
      <c r="AR38" s="88">
        <v>5.9043175110027004</v>
      </c>
    </row>
    <row r="39" spans="2:44" ht="12" customHeight="1" x14ac:dyDescent="0.25">
      <c r="B39" s="86" t="s">
        <v>41</v>
      </c>
      <c r="C39" s="87" t="s">
        <v>23</v>
      </c>
      <c r="D39" s="87" t="s">
        <v>42</v>
      </c>
      <c r="E39" s="87" t="s">
        <v>25</v>
      </c>
      <c r="F39" s="87" t="s">
        <v>25</v>
      </c>
      <c r="G39" s="87" t="s">
        <v>25</v>
      </c>
      <c r="H39" s="87" t="s">
        <v>73</v>
      </c>
      <c r="I39" s="87" t="s">
        <v>25</v>
      </c>
      <c r="J39" s="87">
        <v>536.63</v>
      </c>
      <c r="K39" s="87">
        <v>184.77</v>
      </c>
      <c r="L39" s="87">
        <v>0</v>
      </c>
      <c r="M39" s="87">
        <v>2.06934834074774</v>
      </c>
      <c r="N39" s="87">
        <v>0</v>
      </c>
      <c r="O39" s="87">
        <v>0</v>
      </c>
      <c r="P39" s="87">
        <v>0</v>
      </c>
      <c r="Q39" s="87">
        <v>84.504152857468299</v>
      </c>
      <c r="R39" s="87">
        <v>13.333673949078101</v>
      </c>
      <c r="S39" s="87">
        <v>0</v>
      </c>
      <c r="T39" s="87">
        <v>0</v>
      </c>
      <c r="U39" s="87">
        <v>0</v>
      </c>
      <c r="V39" s="87">
        <v>0</v>
      </c>
      <c r="W39" s="87">
        <v>0</v>
      </c>
      <c r="X39" s="87">
        <v>133.95339345543701</v>
      </c>
      <c r="Y39" s="87">
        <v>0</v>
      </c>
      <c r="Z39" s="87">
        <v>0</v>
      </c>
      <c r="AA39" s="87">
        <v>273.04971059479499</v>
      </c>
      <c r="AB39" s="87">
        <v>0</v>
      </c>
      <c r="AC39" s="87">
        <v>0</v>
      </c>
      <c r="AD39" s="87">
        <v>28.716662934096799</v>
      </c>
      <c r="AE39" s="87">
        <v>1.00739917691179</v>
      </c>
      <c r="AF39" s="87">
        <v>0</v>
      </c>
      <c r="AG39" s="87">
        <v>0</v>
      </c>
      <c r="AH39" s="87">
        <v>0</v>
      </c>
      <c r="AI39" s="87">
        <v>-13.9122383541798</v>
      </c>
      <c r="AJ39" s="87">
        <v>0</v>
      </c>
      <c r="AK39" s="87">
        <v>24.475594056373701</v>
      </c>
      <c r="AL39" s="87">
        <v>0</v>
      </c>
      <c r="AM39" s="87">
        <v>168.30696282591501</v>
      </c>
      <c r="AN39" s="87">
        <v>0</v>
      </c>
      <c r="AO39" s="87">
        <v>0</v>
      </c>
      <c r="AP39" s="87">
        <v>0</v>
      </c>
      <c r="AQ39" s="87">
        <v>0</v>
      </c>
      <c r="AR39" s="88">
        <v>5.9043175110027004</v>
      </c>
    </row>
    <row r="40" spans="2:44" ht="12" customHeight="1" x14ac:dyDescent="0.25">
      <c r="B40" s="86" t="s">
        <v>41</v>
      </c>
      <c r="C40" s="87" t="s">
        <v>23</v>
      </c>
      <c r="D40" s="87" t="s">
        <v>42</v>
      </c>
      <c r="E40" s="87" t="s">
        <v>90</v>
      </c>
      <c r="F40" s="87" t="s">
        <v>25</v>
      </c>
      <c r="G40" s="87" t="s">
        <v>25</v>
      </c>
      <c r="H40" s="87" t="s">
        <v>73</v>
      </c>
      <c r="I40" s="87" t="s">
        <v>25</v>
      </c>
      <c r="J40" s="87">
        <v>525.22</v>
      </c>
      <c r="K40" s="87">
        <v>180.84</v>
      </c>
      <c r="L40" s="87">
        <v>0</v>
      </c>
      <c r="M40" s="87">
        <v>2.0253196526467301</v>
      </c>
      <c r="N40" s="87">
        <v>0</v>
      </c>
      <c r="O40" s="87">
        <v>0</v>
      </c>
      <c r="P40" s="87">
        <v>0</v>
      </c>
      <c r="Q40" s="87">
        <v>82.706192158373199</v>
      </c>
      <c r="R40" s="87">
        <v>13.0499787586722</v>
      </c>
      <c r="S40" s="87">
        <v>0</v>
      </c>
      <c r="T40" s="87">
        <v>0</v>
      </c>
      <c r="U40" s="87">
        <v>0</v>
      </c>
      <c r="V40" s="87">
        <v>0</v>
      </c>
      <c r="W40" s="87">
        <v>0</v>
      </c>
      <c r="X40" s="87">
        <v>131.103321254257</v>
      </c>
      <c r="Y40" s="87">
        <v>0</v>
      </c>
      <c r="Z40" s="87">
        <v>0</v>
      </c>
      <c r="AA40" s="87">
        <v>267.24014228426802</v>
      </c>
      <c r="AB40" s="87">
        <v>0</v>
      </c>
      <c r="AC40" s="87">
        <v>0</v>
      </c>
      <c r="AD40" s="87">
        <v>28.105670105711798</v>
      </c>
      <c r="AE40" s="87">
        <v>0.985965151871117</v>
      </c>
      <c r="AF40" s="87">
        <v>0</v>
      </c>
      <c r="AG40" s="87">
        <v>0</v>
      </c>
      <c r="AH40" s="87">
        <v>0</v>
      </c>
      <c r="AI40" s="87">
        <v>-13.616233282814299</v>
      </c>
      <c r="AJ40" s="87">
        <v>0</v>
      </c>
      <c r="AK40" s="87">
        <v>23.9548367360253</v>
      </c>
      <c r="AL40" s="87">
        <v>0</v>
      </c>
      <c r="AM40" s="87">
        <v>164.72596361685299</v>
      </c>
      <c r="AN40" s="87">
        <v>0</v>
      </c>
      <c r="AO40" s="87">
        <v>0</v>
      </c>
      <c r="AP40" s="87">
        <v>0</v>
      </c>
      <c r="AQ40" s="87">
        <v>0</v>
      </c>
      <c r="AR40" s="88">
        <v>5.7786937341728599</v>
      </c>
    </row>
    <row r="41" spans="2:44" ht="12" customHeight="1" x14ac:dyDescent="0.25">
      <c r="B41" s="86" t="s">
        <v>41</v>
      </c>
      <c r="C41" s="87" t="s">
        <v>88</v>
      </c>
      <c r="D41" s="87" t="s">
        <v>42</v>
      </c>
      <c r="E41" s="87" t="s">
        <v>89</v>
      </c>
      <c r="F41" s="87" t="s">
        <v>25</v>
      </c>
      <c r="G41" s="87" t="s">
        <v>25</v>
      </c>
      <c r="H41" s="87" t="s">
        <v>73</v>
      </c>
      <c r="I41" s="87" t="s">
        <v>25</v>
      </c>
      <c r="J41" s="87">
        <v>536.63</v>
      </c>
      <c r="K41" s="87">
        <v>184.77</v>
      </c>
      <c r="L41" s="87">
        <v>0</v>
      </c>
      <c r="M41" s="87">
        <v>2.06934834074774</v>
      </c>
      <c r="N41" s="87">
        <v>0</v>
      </c>
      <c r="O41" s="87">
        <v>0</v>
      </c>
      <c r="P41" s="87">
        <v>0</v>
      </c>
      <c r="Q41" s="87">
        <v>84.504152857468299</v>
      </c>
      <c r="R41" s="87">
        <v>13.333673949078101</v>
      </c>
      <c r="S41" s="87">
        <v>0</v>
      </c>
      <c r="T41" s="87">
        <v>0</v>
      </c>
      <c r="U41" s="87">
        <v>0</v>
      </c>
      <c r="V41" s="87">
        <v>0</v>
      </c>
      <c r="W41" s="87">
        <v>0</v>
      </c>
      <c r="X41" s="87">
        <v>133.95339345543701</v>
      </c>
      <c r="Y41" s="87">
        <v>0</v>
      </c>
      <c r="Z41" s="87">
        <v>0</v>
      </c>
      <c r="AA41" s="87">
        <v>273.04971059479499</v>
      </c>
      <c r="AB41" s="87">
        <v>0</v>
      </c>
      <c r="AC41" s="87">
        <v>0</v>
      </c>
      <c r="AD41" s="87">
        <v>28.716662934096799</v>
      </c>
      <c r="AE41" s="87">
        <v>1.00739917691179</v>
      </c>
      <c r="AF41" s="87">
        <v>0</v>
      </c>
      <c r="AG41" s="87">
        <v>0</v>
      </c>
      <c r="AH41" s="87">
        <v>0</v>
      </c>
      <c r="AI41" s="87">
        <v>-13.9122383541798</v>
      </c>
      <c r="AJ41" s="87">
        <v>0</v>
      </c>
      <c r="AK41" s="87">
        <v>24.475594056373701</v>
      </c>
      <c r="AL41" s="87">
        <v>0</v>
      </c>
      <c r="AM41" s="87">
        <v>168.30696282591501</v>
      </c>
      <c r="AN41" s="87">
        <v>0</v>
      </c>
      <c r="AO41" s="87">
        <v>0</v>
      </c>
      <c r="AP41" s="87">
        <v>0</v>
      </c>
      <c r="AQ41" s="87">
        <v>0</v>
      </c>
      <c r="AR41" s="88">
        <v>5.9043175110027004</v>
      </c>
    </row>
    <row r="42" spans="2:44" ht="12" customHeight="1" x14ac:dyDescent="0.25">
      <c r="B42" s="86" t="s">
        <v>41</v>
      </c>
      <c r="C42" s="87" t="s">
        <v>88</v>
      </c>
      <c r="D42" s="87" t="s">
        <v>42</v>
      </c>
      <c r="E42" s="87" t="s">
        <v>25</v>
      </c>
      <c r="F42" s="87" t="s">
        <v>25</v>
      </c>
      <c r="G42" s="87" t="s">
        <v>25</v>
      </c>
      <c r="H42" s="87" t="s">
        <v>73</v>
      </c>
      <c r="I42" s="87" t="s">
        <v>25</v>
      </c>
      <c r="J42" s="87">
        <v>536.63</v>
      </c>
      <c r="K42" s="87">
        <v>184.77</v>
      </c>
      <c r="L42" s="87">
        <v>0</v>
      </c>
      <c r="M42" s="87">
        <v>2.06934834074774</v>
      </c>
      <c r="N42" s="87">
        <v>0</v>
      </c>
      <c r="O42" s="87">
        <v>0</v>
      </c>
      <c r="P42" s="87">
        <v>0</v>
      </c>
      <c r="Q42" s="87">
        <v>84.504152857468299</v>
      </c>
      <c r="R42" s="87">
        <v>13.333673949078101</v>
      </c>
      <c r="S42" s="87">
        <v>0</v>
      </c>
      <c r="T42" s="87">
        <v>0</v>
      </c>
      <c r="U42" s="87">
        <v>0</v>
      </c>
      <c r="V42" s="87">
        <v>0</v>
      </c>
      <c r="W42" s="87">
        <v>0</v>
      </c>
      <c r="X42" s="87">
        <v>133.95339345543701</v>
      </c>
      <c r="Y42" s="87">
        <v>0</v>
      </c>
      <c r="Z42" s="87">
        <v>0</v>
      </c>
      <c r="AA42" s="87">
        <v>273.04971059479499</v>
      </c>
      <c r="AB42" s="87">
        <v>0</v>
      </c>
      <c r="AC42" s="87">
        <v>0</v>
      </c>
      <c r="AD42" s="87">
        <v>28.716662934096799</v>
      </c>
      <c r="AE42" s="87">
        <v>1.00739917691179</v>
      </c>
      <c r="AF42" s="87">
        <v>0</v>
      </c>
      <c r="AG42" s="87">
        <v>0</v>
      </c>
      <c r="AH42" s="87">
        <v>0</v>
      </c>
      <c r="AI42" s="87">
        <v>-13.9122383541798</v>
      </c>
      <c r="AJ42" s="87">
        <v>0</v>
      </c>
      <c r="AK42" s="87">
        <v>24.475594056373701</v>
      </c>
      <c r="AL42" s="87">
        <v>0</v>
      </c>
      <c r="AM42" s="87">
        <v>168.30696282591501</v>
      </c>
      <c r="AN42" s="87">
        <v>0</v>
      </c>
      <c r="AO42" s="87">
        <v>0</v>
      </c>
      <c r="AP42" s="87">
        <v>0</v>
      </c>
      <c r="AQ42" s="87">
        <v>0</v>
      </c>
      <c r="AR42" s="88">
        <v>5.9043175110027004</v>
      </c>
    </row>
    <row r="43" spans="2:44" ht="12" customHeight="1" x14ac:dyDescent="0.25">
      <c r="B43" s="86" t="s">
        <v>41</v>
      </c>
      <c r="C43" s="87" t="s">
        <v>88</v>
      </c>
      <c r="D43" s="87" t="s">
        <v>42</v>
      </c>
      <c r="E43" s="87" t="s">
        <v>90</v>
      </c>
      <c r="F43" s="87" t="s">
        <v>25</v>
      </c>
      <c r="G43" s="87" t="s">
        <v>25</v>
      </c>
      <c r="H43" s="87" t="s">
        <v>73</v>
      </c>
      <c r="I43" s="87" t="s">
        <v>25</v>
      </c>
      <c r="J43" s="87">
        <v>525.22</v>
      </c>
      <c r="K43" s="87">
        <v>180.84</v>
      </c>
      <c r="L43" s="87">
        <v>0</v>
      </c>
      <c r="M43" s="87">
        <v>2.0253196526467301</v>
      </c>
      <c r="N43" s="87">
        <v>0</v>
      </c>
      <c r="O43" s="87">
        <v>0</v>
      </c>
      <c r="P43" s="87">
        <v>0</v>
      </c>
      <c r="Q43" s="87">
        <v>82.706192158373199</v>
      </c>
      <c r="R43" s="87">
        <v>13.0499787586722</v>
      </c>
      <c r="S43" s="87">
        <v>0</v>
      </c>
      <c r="T43" s="87">
        <v>0</v>
      </c>
      <c r="U43" s="87">
        <v>0</v>
      </c>
      <c r="V43" s="87">
        <v>0</v>
      </c>
      <c r="W43" s="87">
        <v>0</v>
      </c>
      <c r="X43" s="87">
        <v>131.103321254257</v>
      </c>
      <c r="Y43" s="87">
        <v>0</v>
      </c>
      <c r="Z43" s="87">
        <v>0</v>
      </c>
      <c r="AA43" s="87">
        <v>267.24014228426802</v>
      </c>
      <c r="AB43" s="87">
        <v>0</v>
      </c>
      <c r="AC43" s="87">
        <v>0</v>
      </c>
      <c r="AD43" s="87">
        <v>28.105670105711798</v>
      </c>
      <c r="AE43" s="87">
        <v>0.985965151871117</v>
      </c>
      <c r="AF43" s="87">
        <v>0</v>
      </c>
      <c r="AG43" s="87">
        <v>0</v>
      </c>
      <c r="AH43" s="87">
        <v>0</v>
      </c>
      <c r="AI43" s="87">
        <v>-13.616233282814299</v>
      </c>
      <c r="AJ43" s="87">
        <v>0</v>
      </c>
      <c r="AK43" s="87">
        <v>23.9548367360253</v>
      </c>
      <c r="AL43" s="87">
        <v>0</v>
      </c>
      <c r="AM43" s="87">
        <v>164.72596361685299</v>
      </c>
      <c r="AN43" s="87">
        <v>0</v>
      </c>
      <c r="AO43" s="87">
        <v>0</v>
      </c>
      <c r="AP43" s="87">
        <v>0</v>
      </c>
      <c r="AQ43" s="87">
        <v>0</v>
      </c>
      <c r="AR43" s="88">
        <v>5.7786937341728599</v>
      </c>
    </row>
    <row r="44" spans="2:44" ht="12" customHeight="1" x14ac:dyDescent="0.25">
      <c r="B44" s="86" t="s">
        <v>33</v>
      </c>
      <c r="C44" s="87" t="s">
        <v>86</v>
      </c>
      <c r="D44" s="87" t="s">
        <v>25</v>
      </c>
      <c r="E44" s="87" t="s">
        <v>25</v>
      </c>
      <c r="F44" s="87" t="s">
        <v>25</v>
      </c>
      <c r="G44" s="87" t="s">
        <v>37</v>
      </c>
      <c r="H44" s="87" t="s">
        <v>73</v>
      </c>
      <c r="I44" s="87" t="s">
        <v>25</v>
      </c>
      <c r="J44" s="87">
        <v>1545.1</v>
      </c>
      <c r="K44" s="87">
        <v>196.57</v>
      </c>
      <c r="L44" s="87">
        <v>0</v>
      </c>
      <c r="M44" s="87">
        <v>2.2014344050507901</v>
      </c>
      <c r="N44" s="87">
        <v>0</v>
      </c>
      <c r="O44" s="87">
        <v>0</v>
      </c>
      <c r="P44" s="87">
        <v>0</v>
      </c>
      <c r="Q44" s="87">
        <v>89.898034954753498</v>
      </c>
      <c r="R44" s="87">
        <v>14.184759520295801</v>
      </c>
      <c r="S44" s="87">
        <v>0</v>
      </c>
      <c r="T44" s="87">
        <v>0</v>
      </c>
      <c r="U44" s="87">
        <v>0</v>
      </c>
      <c r="V44" s="87">
        <v>0</v>
      </c>
      <c r="W44" s="87">
        <v>0</v>
      </c>
      <c r="X44" s="87">
        <v>463.13670418102703</v>
      </c>
      <c r="Y44" s="87">
        <v>0</v>
      </c>
      <c r="Z44" s="87">
        <v>0</v>
      </c>
      <c r="AA44" s="87">
        <v>944.05482039793105</v>
      </c>
      <c r="AB44" s="87">
        <v>0</v>
      </c>
      <c r="AC44" s="87">
        <v>0</v>
      </c>
      <c r="AD44" s="87">
        <v>30.549641419252001</v>
      </c>
      <c r="AE44" s="87">
        <v>1.0717012520338201</v>
      </c>
      <c r="AF44" s="87">
        <v>0</v>
      </c>
      <c r="AG44" s="87">
        <v>0</v>
      </c>
      <c r="AH44" s="87">
        <v>0</v>
      </c>
      <c r="AI44" s="87">
        <v>-14.8002535682764</v>
      </c>
      <c r="AJ44" s="87">
        <v>0</v>
      </c>
      <c r="AK44" s="87">
        <v>26.0378660174188</v>
      </c>
      <c r="AL44" s="87">
        <v>0</v>
      </c>
      <c r="AM44" s="87">
        <v>179.04996045310099</v>
      </c>
      <c r="AN44" s="87">
        <v>0</v>
      </c>
      <c r="AO44" s="87">
        <v>0</v>
      </c>
      <c r="AP44" s="87">
        <v>0</v>
      </c>
      <c r="AQ44" s="87">
        <v>0</v>
      </c>
      <c r="AR44" s="88">
        <v>6.2811888414922397</v>
      </c>
    </row>
    <row r="45" spans="2:44" ht="12" customHeight="1" x14ac:dyDescent="0.25">
      <c r="B45" s="86" t="s">
        <v>33</v>
      </c>
      <c r="C45" s="87" t="s">
        <v>86</v>
      </c>
      <c r="D45" s="87" t="s">
        <v>25</v>
      </c>
      <c r="E45" s="87" t="s">
        <v>25</v>
      </c>
      <c r="F45" s="87" t="s">
        <v>25</v>
      </c>
      <c r="G45" s="87" t="s">
        <v>535</v>
      </c>
      <c r="H45" s="87" t="s">
        <v>73</v>
      </c>
      <c r="I45" s="87" t="s">
        <v>25</v>
      </c>
      <c r="J45" s="87">
        <v>982.22</v>
      </c>
      <c r="K45" s="87">
        <v>196.57</v>
      </c>
      <c r="L45" s="87">
        <v>0</v>
      </c>
      <c r="M45" s="87">
        <v>2.2014344050507901</v>
      </c>
      <c r="N45" s="87">
        <v>0</v>
      </c>
      <c r="O45" s="87">
        <v>0</v>
      </c>
      <c r="P45" s="87">
        <v>0</v>
      </c>
      <c r="Q45" s="87">
        <v>89.898034954753498</v>
      </c>
      <c r="R45" s="87">
        <v>14.184759520295801</v>
      </c>
      <c r="S45" s="87">
        <v>0</v>
      </c>
      <c r="T45" s="87">
        <v>0</v>
      </c>
      <c r="U45" s="87">
        <v>0</v>
      </c>
      <c r="V45" s="87">
        <v>0</v>
      </c>
      <c r="W45" s="87">
        <v>0</v>
      </c>
      <c r="X45" s="87">
        <v>277.88195408307098</v>
      </c>
      <c r="Y45" s="87">
        <v>0</v>
      </c>
      <c r="Z45" s="87">
        <v>0</v>
      </c>
      <c r="AA45" s="87">
        <v>566.43289223875797</v>
      </c>
      <c r="AB45" s="87">
        <v>0</v>
      </c>
      <c r="AC45" s="87">
        <v>0</v>
      </c>
      <c r="AD45" s="87">
        <v>30.549641419252001</v>
      </c>
      <c r="AE45" s="87">
        <v>1.0717012520338201</v>
      </c>
      <c r="AF45" s="87">
        <v>0</v>
      </c>
      <c r="AG45" s="87">
        <v>0</v>
      </c>
      <c r="AH45" s="87">
        <v>0</v>
      </c>
      <c r="AI45" s="87">
        <v>-14.8002535682764</v>
      </c>
      <c r="AJ45" s="87">
        <v>0</v>
      </c>
      <c r="AK45" s="87">
        <v>26.0378660174188</v>
      </c>
      <c r="AL45" s="87">
        <v>0</v>
      </c>
      <c r="AM45" s="87">
        <v>179.04996045310099</v>
      </c>
      <c r="AN45" s="87">
        <v>0</v>
      </c>
      <c r="AO45" s="87">
        <v>0</v>
      </c>
      <c r="AP45" s="87">
        <v>0</v>
      </c>
      <c r="AQ45" s="87">
        <v>0</v>
      </c>
      <c r="AR45" s="88">
        <v>6.2811888414922397</v>
      </c>
    </row>
    <row r="46" spans="2:44" ht="12" customHeight="1" x14ac:dyDescent="0.25">
      <c r="B46" s="86" t="s">
        <v>33</v>
      </c>
      <c r="C46" s="87" t="s">
        <v>86</v>
      </c>
      <c r="D46" s="87" t="s">
        <v>25</v>
      </c>
      <c r="E46" s="87" t="s">
        <v>25</v>
      </c>
      <c r="F46" s="87" t="s">
        <v>25</v>
      </c>
      <c r="G46" s="87" t="s">
        <v>38</v>
      </c>
      <c r="H46" s="87" t="s">
        <v>73</v>
      </c>
      <c r="I46" s="87" t="s">
        <v>25</v>
      </c>
      <c r="J46" s="87">
        <v>419.34</v>
      </c>
      <c r="K46" s="87">
        <v>196.57</v>
      </c>
      <c r="L46" s="87">
        <v>0</v>
      </c>
      <c r="M46" s="87">
        <v>2.2014344050507901</v>
      </c>
      <c r="N46" s="87">
        <v>0</v>
      </c>
      <c r="O46" s="87">
        <v>0</v>
      </c>
      <c r="P46" s="87">
        <v>0</v>
      </c>
      <c r="Q46" s="87">
        <v>89.898034954753498</v>
      </c>
      <c r="R46" s="87">
        <v>14.184759520295801</v>
      </c>
      <c r="S46" s="87">
        <v>0</v>
      </c>
      <c r="T46" s="87">
        <v>0</v>
      </c>
      <c r="U46" s="87">
        <v>0</v>
      </c>
      <c r="V46" s="87">
        <v>0</v>
      </c>
      <c r="W46" s="87">
        <v>0</v>
      </c>
      <c r="X46" s="87">
        <v>92.627318027690393</v>
      </c>
      <c r="Y46" s="87">
        <v>0</v>
      </c>
      <c r="Z46" s="87">
        <v>0</v>
      </c>
      <c r="AA46" s="87">
        <v>188.810964079586</v>
      </c>
      <c r="AB46" s="87">
        <v>0</v>
      </c>
      <c r="AC46" s="87">
        <v>0</v>
      </c>
      <c r="AD46" s="87">
        <v>30.549641419252001</v>
      </c>
      <c r="AE46" s="87">
        <v>1.0717012520338201</v>
      </c>
      <c r="AF46" s="87">
        <v>0</v>
      </c>
      <c r="AG46" s="87">
        <v>0</v>
      </c>
      <c r="AH46" s="87">
        <v>0</v>
      </c>
      <c r="AI46" s="87">
        <v>-14.8002535682764</v>
      </c>
      <c r="AJ46" s="87">
        <v>0</v>
      </c>
      <c r="AK46" s="87">
        <v>26.0378660174188</v>
      </c>
      <c r="AL46" s="87">
        <v>0</v>
      </c>
      <c r="AM46" s="87">
        <v>179.04996045310099</v>
      </c>
      <c r="AN46" s="87">
        <v>0</v>
      </c>
      <c r="AO46" s="87">
        <v>0</v>
      </c>
      <c r="AP46" s="87">
        <v>0</v>
      </c>
      <c r="AQ46" s="87">
        <v>0</v>
      </c>
      <c r="AR46" s="88">
        <v>6.2811888414922397</v>
      </c>
    </row>
    <row r="47" spans="2:44" ht="12" customHeight="1" x14ac:dyDescent="0.25">
      <c r="B47" s="86" t="s">
        <v>33</v>
      </c>
      <c r="C47" s="87" t="s">
        <v>23</v>
      </c>
      <c r="D47" s="87" t="s">
        <v>25</v>
      </c>
      <c r="E47" s="87" t="s">
        <v>25</v>
      </c>
      <c r="F47" s="87" t="s">
        <v>25</v>
      </c>
      <c r="G47" s="87" t="s">
        <v>25</v>
      </c>
      <c r="H47" s="87" t="s">
        <v>73</v>
      </c>
      <c r="I47" s="87" t="s">
        <v>25</v>
      </c>
      <c r="J47" s="87">
        <v>570.89</v>
      </c>
      <c r="K47" s="87">
        <v>196.57</v>
      </c>
      <c r="L47" s="87">
        <v>0</v>
      </c>
      <c r="M47" s="87">
        <v>2.2014344050507901</v>
      </c>
      <c r="N47" s="87">
        <v>0</v>
      </c>
      <c r="O47" s="87">
        <v>0</v>
      </c>
      <c r="P47" s="87">
        <v>0</v>
      </c>
      <c r="Q47" s="87">
        <v>89.898034954753498</v>
      </c>
      <c r="R47" s="87">
        <v>14.184759520295801</v>
      </c>
      <c r="S47" s="87">
        <v>0</v>
      </c>
      <c r="T47" s="87">
        <v>0</v>
      </c>
      <c r="U47" s="87">
        <v>0</v>
      </c>
      <c r="V47" s="87">
        <v>0</v>
      </c>
      <c r="W47" s="87">
        <v>0</v>
      </c>
      <c r="X47" s="87">
        <v>142.503610058975</v>
      </c>
      <c r="Y47" s="87">
        <v>0</v>
      </c>
      <c r="Z47" s="87">
        <v>0</v>
      </c>
      <c r="AA47" s="87">
        <v>290.478415526378</v>
      </c>
      <c r="AB47" s="87">
        <v>0</v>
      </c>
      <c r="AC47" s="87">
        <v>0</v>
      </c>
      <c r="AD47" s="87">
        <v>30.549641419252001</v>
      </c>
      <c r="AE47" s="87">
        <v>1.0717012520338201</v>
      </c>
      <c r="AF47" s="87">
        <v>0</v>
      </c>
      <c r="AG47" s="87">
        <v>0</v>
      </c>
      <c r="AH47" s="87">
        <v>0</v>
      </c>
      <c r="AI47" s="87">
        <v>-14.8002535682764</v>
      </c>
      <c r="AJ47" s="87">
        <v>0</v>
      </c>
      <c r="AK47" s="87">
        <v>26.0378660174188</v>
      </c>
      <c r="AL47" s="87">
        <v>0</v>
      </c>
      <c r="AM47" s="87">
        <v>179.04996045310099</v>
      </c>
      <c r="AN47" s="87">
        <v>0</v>
      </c>
      <c r="AO47" s="87">
        <v>0</v>
      </c>
      <c r="AP47" s="87">
        <v>0</v>
      </c>
      <c r="AQ47" s="87">
        <v>0</v>
      </c>
      <c r="AR47" s="88">
        <v>6.2811888414922397</v>
      </c>
    </row>
    <row r="48" spans="2:44" ht="12" customHeight="1" x14ac:dyDescent="0.25">
      <c r="B48" s="86" t="s">
        <v>33</v>
      </c>
      <c r="C48" s="87" t="s">
        <v>88</v>
      </c>
      <c r="D48" s="87" t="s">
        <v>25</v>
      </c>
      <c r="E48" s="87" t="s">
        <v>25</v>
      </c>
      <c r="F48" s="87" t="s">
        <v>25</v>
      </c>
      <c r="G48" s="87" t="s">
        <v>25</v>
      </c>
      <c r="H48" s="87" t="s">
        <v>73</v>
      </c>
      <c r="I48" s="87" t="s">
        <v>25</v>
      </c>
      <c r="J48" s="87">
        <v>570.89</v>
      </c>
      <c r="K48" s="87">
        <v>196.57</v>
      </c>
      <c r="L48" s="87">
        <v>0</v>
      </c>
      <c r="M48" s="87">
        <v>2.2014344050507901</v>
      </c>
      <c r="N48" s="87">
        <v>0</v>
      </c>
      <c r="O48" s="87">
        <v>0</v>
      </c>
      <c r="P48" s="87">
        <v>0</v>
      </c>
      <c r="Q48" s="87">
        <v>89.898034954753498</v>
      </c>
      <c r="R48" s="87">
        <v>14.184759520295801</v>
      </c>
      <c r="S48" s="87">
        <v>0</v>
      </c>
      <c r="T48" s="87">
        <v>0</v>
      </c>
      <c r="U48" s="87">
        <v>0</v>
      </c>
      <c r="V48" s="87">
        <v>0</v>
      </c>
      <c r="W48" s="87">
        <v>0</v>
      </c>
      <c r="X48" s="87">
        <v>142.503610058975</v>
      </c>
      <c r="Y48" s="87">
        <v>0</v>
      </c>
      <c r="Z48" s="87">
        <v>0</v>
      </c>
      <c r="AA48" s="87">
        <v>290.478415526378</v>
      </c>
      <c r="AB48" s="87">
        <v>0</v>
      </c>
      <c r="AC48" s="87">
        <v>0</v>
      </c>
      <c r="AD48" s="87">
        <v>30.549641419252001</v>
      </c>
      <c r="AE48" s="87">
        <v>1.0717012520338201</v>
      </c>
      <c r="AF48" s="87">
        <v>0</v>
      </c>
      <c r="AG48" s="87">
        <v>0</v>
      </c>
      <c r="AH48" s="87">
        <v>0</v>
      </c>
      <c r="AI48" s="87">
        <v>-14.8002535682764</v>
      </c>
      <c r="AJ48" s="87">
        <v>0</v>
      </c>
      <c r="AK48" s="87">
        <v>26.0378660174188</v>
      </c>
      <c r="AL48" s="87">
        <v>0</v>
      </c>
      <c r="AM48" s="87">
        <v>179.04996045310099</v>
      </c>
      <c r="AN48" s="87">
        <v>0</v>
      </c>
      <c r="AO48" s="87">
        <v>0</v>
      </c>
      <c r="AP48" s="87">
        <v>0</v>
      </c>
      <c r="AQ48" s="87">
        <v>0</v>
      </c>
      <c r="AR48" s="88">
        <v>6.2811888414922397</v>
      </c>
    </row>
    <row r="49" spans="2:44" ht="12" customHeight="1" x14ac:dyDescent="0.25">
      <c r="B49" s="86" t="s">
        <v>44</v>
      </c>
      <c r="C49" s="87" t="s">
        <v>23</v>
      </c>
      <c r="D49" s="87" t="s">
        <v>45</v>
      </c>
      <c r="E49" s="87" t="s">
        <v>46</v>
      </c>
      <c r="F49" s="87" t="s">
        <v>25</v>
      </c>
      <c r="G49" s="87" t="s">
        <v>25</v>
      </c>
      <c r="H49" s="87" t="s">
        <v>73</v>
      </c>
      <c r="I49" s="87" t="s">
        <v>25</v>
      </c>
      <c r="J49" s="87">
        <v>313.99</v>
      </c>
      <c r="K49" s="87">
        <v>108.11</v>
      </c>
      <c r="L49" s="87">
        <v>0</v>
      </c>
      <c r="M49" s="87">
        <v>1.21078892277793</v>
      </c>
      <c r="N49" s="87">
        <v>0</v>
      </c>
      <c r="O49" s="87">
        <v>0</v>
      </c>
      <c r="P49" s="87">
        <v>0</v>
      </c>
      <c r="Q49" s="87">
        <v>49.443919225114399</v>
      </c>
      <c r="R49" s="87">
        <v>7.8016177361627097</v>
      </c>
      <c r="S49" s="87">
        <v>0</v>
      </c>
      <c r="T49" s="87">
        <v>0</v>
      </c>
      <c r="U49" s="87">
        <v>0</v>
      </c>
      <c r="V49" s="87">
        <v>0</v>
      </c>
      <c r="W49" s="87">
        <v>0</v>
      </c>
      <c r="X49" s="87">
        <v>78.376985532436507</v>
      </c>
      <c r="Y49" s="87">
        <v>0</v>
      </c>
      <c r="Z49" s="87">
        <v>0</v>
      </c>
      <c r="AA49" s="87">
        <v>159.76312853950799</v>
      </c>
      <c r="AB49" s="87">
        <v>0</v>
      </c>
      <c r="AC49" s="87">
        <v>0</v>
      </c>
      <c r="AD49" s="87">
        <v>16.802302780588601</v>
      </c>
      <c r="AE49" s="87">
        <v>0.58943568861860296</v>
      </c>
      <c r="AF49" s="87">
        <v>0</v>
      </c>
      <c r="AG49" s="87">
        <v>0</v>
      </c>
      <c r="AH49" s="87">
        <v>0</v>
      </c>
      <c r="AI49" s="87">
        <v>-8.1401394625520105</v>
      </c>
      <c r="AJ49" s="87">
        <v>0</v>
      </c>
      <c r="AK49" s="87">
        <v>14.320826309580401</v>
      </c>
      <c r="AL49" s="87">
        <v>0</v>
      </c>
      <c r="AM49" s="87">
        <v>98.477478249205404</v>
      </c>
      <c r="AN49" s="87">
        <v>0</v>
      </c>
      <c r="AO49" s="87">
        <v>0</v>
      </c>
      <c r="AP49" s="87">
        <v>0</v>
      </c>
      <c r="AQ49" s="87">
        <v>0</v>
      </c>
      <c r="AR49" s="88">
        <v>3.4546538628207299</v>
      </c>
    </row>
    <row r="50" spans="2:44" ht="12" customHeight="1" x14ac:dyDescent="0.25">
      <c r="B50" s="89" t="s">
        <v>44</v>
      </c>
      <c r="C50" s="90" t="s">
        <v>23</v>
      </c>
      <c r="D50" s="90" t="s">
        <v>45</v>
      </c>
      <c r="E50" s="90" t="s">
        <v>91</v>
      </c>
      <c r="F50" s="90" t="s">
        <v>25</v>
      </c>
      <c r="G50" s="90" t="s">
        <v>25</v>
      </c>
      <c r="H50" s="90" t="s">
        <v>73</v>
      </c>
      <c r="I50" s="90" t="s">
        <v>25</v>
      </c>
      <c r="J50" s="90">
        <v>342.53</v>
      </c>
      <c r="K50" s="90">
        <v>117.94</v>
      </c>
      <c r="L50" s="90">
        <v>0</v>
      </c>
      <c r="M50" s="90">
        <v>1.3208606430304699</v>
      </c>
      <c r="N50" s="90">
        <v>0</v>
      </c>
      <c r="O50" s="90">
        <v>0</v>
      </c>
      <c r="P50" s="90">
        <v>0</v>
      </c>
      <c r="Q50" s="90">
        <v>53.938820972852099</v>
      </c>
      <c r="R50" s="90">
        <v>8.5108557121775004</v>
      </c>
      <c r="S50" s="90">
        <v>0</v>
      </c>
      <c r="T50" s="90">
        <v>0</v>
      </c>
      <c r="U50" s="90">
        <v>0</v>
      </c>
      <c r="V50" s="90">
        <v>0</v>
      </c>
      <c r="W50" s="90">
        <v>0</v>
      </c>
      <c r="X50" s="90">
        <v>85.502166035385301</v>
      </c>
      <c r="Y50" s="90">
        <v>0</v>
      </c>
      <c r="Z50" s="90">
        <v>0</v>
      </c>
      <c r="AA50" s="90">
        <v>174.28704931582701</v>
      </c>
      <c r="AB50" s="90">
        <v>0</v>
      </c>
      <c r="AC50" s="90">
        <v>0</v>
      </c>
      <c r="AD50" s="90">
        <v>18.329784851551199</v>
      </c>
      <c r="AE50" s="90">
        <v>0.64302075122029401</v>
      </c>
      <c r="AF50" s="90">
        <v>0</v>
      </c>
      <c r="AG50" s="90">
        <v>0</v>
      </c>
      <c r="AH50" s="90">
        <v>0</v>
      </c>
      <c r="AI50" s="90">
        <v>-8.8801521409658299</v>
      </c>
      <c r="AJ50" s="90">
        <v>0</v>
      </c>
      <c r="AK50" s="90">
        <v>15.6227196104513</v>
      </c>
      <c r="AL50" s="90">
        <v>0</v>
      </c>
      <c r="AM50" s="90">
        <v>107.42997627186</v>
      </c>
      <c r="AN50" s="90">
        <v>0</v>
      </c>
      <c r="AO50" s="90">
        <v>0</v>
      </c>
      <c r="AP50" s="90">
        <v>0</v>
      </c>
      <c r="AQ50" s="90">
        <v>0</v>
      </c>
      <c r="AR50" s="91">
        <v>3.7687133048953401</v>
      </c>
    </row>
  </sheetData>
  <mergeCells count="8">
    <mergeCell ref="L1:AG1"/>
    <mergeCell ref="AH1:AR1"/>
    <mergeCell ref="L2:S2"/>
    <mergeCell ref="T2:Z2"/>
    <mergeCell ref="AB2:AC2"/>
    <mergeCell ref="AD2:AG2"/>
    <mergeCell ref="AH2:AL2"/>
    <mergeCell ref="AN2:AQ2"/>
  </mergeCells>
  <phoneticPr fontId="1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C598-BB90-4C27-90D5-AD3D6D3A1135}">
  <dimension ref="B1:AR50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14.42578125" bestFit="1" customWidth="1"/>
    <col min="30" max="30" width="12" bestFit="1" customWidth="1"/>
    <col min="31" max="31" width="17.7109375" bestFit="1" customWidth="1"/>
    <col min="32" max="32" width="12.5703125" bestFit="1" customWidth="1"/>
    <col min="33" max="33" width="10.7109375" bestFit="1" customWidth="1"/>
    <col min="34" max="34" width="16.5703125" bestFit="1" customWidth="1"/>
    <col min="35" max="35" width="14.5703125" bestFit="1" customWidth="1"/>
    <col min="36" max="36" width="9.85546875" bestFit="1" customWidth="1"/>
    <col min="37" max="37" width="12.5703125" bestFit="1" customWidth="1"/>
    <col min="38" max="38" width="12.28515625" bestFit="1" customWidth="1"/>
    <col min="39" max="39" width="14.140625" bestFit="1" customWidth="1"/>
    <col min="40" max="40" width="25.28515625" bestFit="1" customWidth="1"/>
    <col min="41" max="41" width="17.85546875" bestFit="1" customWidth="1"/>
    <col min="42" max="42" width="13.42578125" bestFit="1" customWidth="1"/>
    <col min="43" max="43" width="13.28515625" bestFit="1" customWidth="1"/>
    <col min="44" max="44" width="12.5703125" bestFit="1" customWidth="1"/>
  </cols>
  <sheetData>
    <row r="1" spans="2:44" ht="12" customHeight="1" x14ac:dyDescent="0.25">
      <c r="L1" s="128" t="s">
        <v>1064</v>
      </c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9"/>
      <c r="AH1" s="128" t="s">
        <v>1065</v>
      </c>
      <c r="AI1" s="128"/>
      <c r="AJ1" s="128"/>
      <c r="AK1" s="128"/>
      <c r="AL1" s="128"/>
      <c r="AM1" s="128"/>
      <c r="AN1" s="128"/>
      <c r="AO1" s="128"/>
      <c r="AP1" s="128"/>
      <c r="AQ1" s="128"/>
      <c r="AR1" s="128"/>
    </row>
    <row r="2" spans="2:44" ht="12" customHeight="1" x14ac:dyDescent="0.25">
      <c r="L2" s="130" t="s">
        <v>388</v>
      </c>
      <c r="M2" s="130"/>
      <c r="N2" s="130"/>
      <c r="O2" s="130"/>
      <c r="P2" s="130"/>
      <c r="Q2" s="130"/>
      <c r="R2" s="130"/>
      <c r="S2" s="131"/>
      <c r="T2" s="130" t="s">
        <v>397</v>
      </c>
      <c r="U2" s="130"/>
      <c r="V2" s="130"/>
      <c r="W2" s="130"/>
      <c r="X2" s="130"/>
      <c r="Y2" s="130"/>
      <c r="Z2" s="131"/>
      <c r="AA2" s="93" t="s">
        <v>405</v>
      </c>
      <c r="AB2" s="130" t="s">
        <v>25</v>
      </c>
      <c r="AC2" s="131"/>
      <c r="AD2" s="130" t="s">
        <v>1063</v>
      </c>
      <c r="AE2" s="130"/>
      <c r="AF2" s="130"/>
      <c r="AG2" s="131"/>
      <c r="AH2" s="130" t="s">
        <v>388</v>
      </c>
      <c r="AI2" s="130"/>
      <c r="AJ2" s="130"/>
      <c r="AK2" s="130"/>
      <c r="AL2" s="131"/>
      <c r="AM2" s="93" t="s">
        <v>419</v>
      </c>
      <c r="AN2" s="130" t="s">
        <v>397</v>
      </c>
      <c r="AO2" s="130"/>
      <c r="AP2" s="130"/>
      <c r="AQ2" s="131"/>
      <c r="AR2" s="92" t="s">
        <v>1063</v>
      </c>
    </row>
    <row r="3" spans="2:44" ht="12" customHeight="1" x14ac:dyDescent="0.25">
      <c r="B3" s="83" t="s">
        <v>63</v>
      </c>
      <c r="C3" s="84" t="s">
        <v>64</v>
      </c>
      <c r="D3" s="84" t="s">
        <v>65</v>
      </c>
      <c r="E3" s="84" t="s">
        <v>66</v>
      </c>
      <c r="F3" s="84" t="s">
        <v>67</v>
      </c>
      <c r="G3" s="84" t="s">
        <v>69</v>
      </c>
      <c r="H3" s="84" t="s">
        <v>70</v>
      </c>
      <c r="I3" s="84" t="s">
        <v>663</v>
      </c>
      <c r="J3" s="84" t="s">
        <v>1027</v>
      </c>
      <c r="K3" s="84" t="s">
        <v>1028</v>
      </c>
      <c r="L3" s="84" t="s">
        <v>1029</v>
      </c>
      <c r="M3" s="84" t="s">
        <v>1030</v>
      </c>
      <c r="N3" s="84" t="s">
        <v>1031</v>
      </c>
      <c r="O3" s="84" t="s">
        <v>1032</v>
      </c>
      <c r="P3" s="84" t="s">
        <v>1033</v>
      </c>
      <c r="Q3" s="84" t="s">
        <v>1034</v>
      </c>
      <c r="R3" s="84" t="s">
        <v>1035</v>
      </c>
      <c r="S3" s="84" t="s">
        <v>1036</v>
      </c>
      <c r="T3" s="84" t="s">
        <v>1037</v>
      </c>
      <c r="U3" s="84" t="s">
        <v>1038</v>
      </c>
      <c r="V3" s="84" t="s">
        <v>1039</v>
      </c>
      <c r="W3" s="84" t="s">
        <v>1040</v>
      </c>
      <c r="X3" s="84" t="s">
        <v>1041</v>
      </c>
      <c r="Y3" s="84" t="s">
        <v>1042</v>
      </c>
      <c r="Z3" s="84" t="s">
        <v>1043</v>
      </c>
      <c r="AA3" s="84" t="s">
        <v>1044</v>
      </c>
      <c r="AB3" s="84" t="s">
        <v>1045</v>
      </c>
      <c r="AC3" s="84" t="s">
        <v>1046</v>
      </c>
      <c r="AD3" s="84" t="s">
        <v>1047</v>
      </c>
      <c r="AE3" s="84" t="s">
        <v>1048</v>
      </c>
      <c r="AF3" s="84" t="s">
        <v>1049</v>
      </c>
      <c r="AG3" s="84" t="s">
        <v>1050</v>
      </c>
      <c r="AH3" s="84" t="s">
        <v>1051</v>
      </c>
      <c r="AI3" s="84" t="s">
        <v>1052</v>
      </c>
      <c r="AJ3" s="84" t="s">
        <v>1053</v>
      </c>
      <c r="AK3" s="84" t="s">
        <v>1054</v>
      </c>
      <c r="AL3" s="84" t="s">
        <v>1055</v>
      </c>
      <c r="AM3" s="84" t="s">
        <v>1056</v>
      </c>
      <c r="AN3" s="84" t="s">
        <v>1057</v>
      </c>
      <c r="AO3" s="84" t="s">
        <v>1058</v>
      </c>
      <c r="AP3" s="84" t="s">
        <v>1059</v>
      </c>
      <c r="AQ3" s="84" t="s">
        <v>1060</v>
      </c>
      <c r="AR3" s="85" t="s">
        <v>1061</v>
      </c>
    </row>
    <row r="4" spans="2:44" ht="12" customHeight="1" x14ac:dyDescent="0.25">
      <c r="B4" s="86" t="s">
        <v>35</v>
      </c>
      <c r="C4" s="87" t="s">
        <v>36</v>
      </c>
      <c r="D4" s="87" t="s">
        <v>25</v>
      </c>
      <c r="E4" s="87" t="s">
        <v>25</v>
      </c>
      <c r="F4" s="87" t="s">
        <v>81</v>
      </c>
      <c r="G4" s="87" t="s">
        <v>37</v>
      </c>
      <c r="H4" s="87" t="s">
        <v>73</v>
      </c>
      <c r="I4" s="87" t="s">
        <v>25</v>
      </c>
      <c r="J4" s="87">
        <v>6.54</v>
      </c>
      <c r="K4" s="87">
        <v>0</v>
      </c>
      <c r="L4" s="87">
        <v>0</v>
      </c>
      <c r="M4" s="87">
        <v>1.1144075392341699</v>
      </c>
      <c r="N4" s="87">
        <v>0</v>
      </c>
      <c r="O4" s="87">
        <v>0</v>
      </c>
      <c r="P4" s="87">
        <v>0</v>
      </c>
      <c r="Q4" s="87">
        <v>0</v>
      </c>
      <c r="R4" s="87">
        <v>0</v>
      </c>
      <c r="S4" s="87">
        <v>0</v>
      </c>
      <c r="T4" s="87">
        <v>0</v>
      </c>
      <c r="U4" s="87">
        <v>0</v>
      </c>
      <c r="V4" s="87">
        <v>0</v>
      </c>
      <c r="W4" s="87">
        <v>0</v>
      </c>
      <c r="X4" s="87">
        <v>0</v>
      </c>
      <c r="Y4" s="87">
        <v>0</v>
      </c>
      <c r="Z4" s="87">
        <v>0</v>
      </c>
      <c r="AA4" s="87">
        <v>0</v>
      </c>
      <c r="AB4" s="87">
        <v>0</v>
      </c>
      <c r="AC4" s="87">
        <v>0</v>
      </c>
      <c r="AD4" s="87">
        <v>5.2458555112183296</v>
      </c>
      <c r="AE4" s="87">
        <v>0.18402801663715501</v>
      </c>
      <c r="AF4" s="87">
        <v>0</v>
      </c>
      <c r="AG4" s="87">
        <v>0</v>
      </c>
      <c r="AH4" s="87">
        <v>0</v>
      </c>
      <c r="AI4" s="87">
        <v>0</v>
      </c>
      <c r="AJ4" s="87">
        <v>0</v>
      </c>
      <c r="AK4" s="87">
        <v>0</v>
      </c>
      <c r="AL4" s="87">
        <v>0</v>
      </c>
      <c r="AM4" s="87">
        <v>0</v>
      </c>
      <c r="AN4" s="87">
        <v>0</v>
      </c>
      <c r="AO4" s="87">
        <v>0</v>
      </c>
      <c r="AP4" s="87">
        <v>0</v>
      </c>
      <c r="AQ4" s="87">
        <v>0</v>
      </c>
      <c r="AR4" s="88">
        <v>0</v>
      </c>
    </row>
    <row r="5" spans="2:44" ht="12" customHeight="1" x14ac:dyDescent="0.25">
      <c r="B5" s="86" t="s">
        <v>35</v>
      </c>
      <c r="C5" s="87" t="s">
        <v>36</v>
      </c>
      <c r="D5" s="87" t="s">
        <v>25</v>
      </c>
      <c r="E5" s="87" t="s">
        <v>25</v>
      </c>
      <c r="F5" s="87" t="s">
        <v>81</v>
      </c>
      <c r="G5" s="87" t="s">
        <v>37</v>
      </c>
      <c r="H5" s="87" t="s">
        <v>78</v>
      </c>
      <c r="I5" s="87" t="s">
        <v>25</v>
      </c>
      <c r="J5" s="87">
        <v>120.37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  <c r="P5" s="87">
        <v>0</v>
      </c>
      <c r="Q5" s="87">
        <v>0</v>
      </c>
      <c r="R5" s="87">
        <v>0</v>
      </c>
      <c r="S5" s="87">
        <v>0</v>
      </c>
      <c r="T5" s="87">
        <v>0</v>
      </c>
      <c r="U5" s="87">
        <v>0</v>
      </c>
      <c r="V5" s="87">
        <v>0</v>
      </c>
      <c r="W5" s="87">
        <v>0</v>
      </c>
      <c r="X5" s="87">
        <v>42.209259097464198</v>
      </c>
      <c r="Y5" s="87">
        <v>0</v>
      </c>
      <c r="Z5" s="87">
        <v>0</v>
      </c>
      <c r="AA5" s="87">
        <v>78.165599433037102</v>
      </c>
      <c r="AB5" s="87">
        <v>0</v>
      </c>
      <c r="AC5" s="87">
        <v>0</v>
      </c>
      <c r="AD5" s="87">
        <v>0</v>
      </c>
      <c r="AE5" s="87">
        <v>0</v>
      </c>
      <c r="AF5" s="87">
        <v>0</v>
      </c>
      <c r="AG5" s="87">
        <v>0</v>
      </c>
      <c r="AH5" s="87">
        <v>0</v>
      </c>
      <c r="AI5" s="87">
        <v>0</v>
      </c>
      <c r="AJ5" s="87">
        <v>0</v>
      </c>
      <c r="AK5" s="87">
        <v>0</v>
      </c>
      <c r="AL5" s="87">
        <v>0</v>
      </c>
      <c r="AM5" s="87">
        <v>0</v>
      </c>
      <c r="AN5" s="87">
        <v>0</v>
      </c>
      <c r="AO5" s="87">
        <v>0</v>
      </c>
      <c r="AP5" s="87">
        <v>0</v>
      </c>
      <c r="AQ5" s="87">
        <v>0</v>
      </c>
      <c r="AR5" s="88">
        <v>0</v>
      </c>
    </row>
    <row r="6" spans="2:44" ht="12" customHeight="1" x14ac:dyDescent="0.25">
      <c r="B6" s="86" t="s">
        <v>35</v>
      </c>
      <c r="C6" s="87" t="s">
        <v>36</v>
      </c>
      <c r="D6" s="87" t="s">
        <v>25</v>
      </c>
      <c r="E6" s="87" t="s">
        <v>25</v>
      </c>
      <c r="F6" s="87" t="s">
        <v>81</v>
      </c>
      <c r="G6" s="87" t="s">
        <v>38</v>
      </c>
      <c r="H6" s="87" t="s">
        <v>73</v>
      </c>
      <c r="I6" s="87" t="s">
        <v>25</v>
      </c>
      <c r="J6" s="87">
        <v>6.54</v>
      </c>
      <c r="K6" s="87">
        <v>0</v>
      </c>
      <c r="L6" s="87">
        <v>0</v>
      </c>
      <c r="M6" s="87">
        <v>1.1144075392341699</v>
      </c>
      <c r="N6" s="87">
        <v>0</v>
      </c>
      <c r="O6" s="87">
        <v>0</v>
      </c>
      <c r="P6" s="87">
        <v>0</v>
      </c>
      <c r="Q6" s="87">
        <v>0</v>
      </c>
      <c r="R6" s="87">
        <v>0</v>
      </c>
      <c r="S6" s="87">
        <v>0</v>
      </c>
      <c r="T6" s="87">
        <v>0</v>
      </c>
      <c r="U6" s="87">
        <v>0</v>
      </c>
      <c r="V6" s="87">
        <v>0</v>
      </c>
      <c r="W6" s="87">
        <v>0</v>
      </c>
      <c r="X6" s="87">
        <v>0</v>
      </c>
      <c r="Y6" s="87">
        <v>0</v>
      </c>
      <c r="Z6" s="87">
        <v>0</v>
      </c>
      <c r="AA6" s="87">
        <v>0</v>
      </c>
      <c r="AB6" s="87">
        <v>0</v>
      </c>
      <c r="AC6" s="87">
        <v>0</v>
      </c>
      <c r="AD6" s="87">
        <v>5.2458555112183296</v>
      </c>
      <c r="AE6" s="87">
        <v>0.18402801663715501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87">
        <v>0</v>
      </c>
      <c r="AL6" s="87">
        <v>0</v>
      </c>
      <c r="AM6" s="87">
        <v>0</v>
      </c>
      <c r="AN6" s="87">
        <v>0</v>
      </c>
      <c r="AO6" s="87">
        <v>0</v>
      </c>
      <c r="AP6" s="87">
        <v>0</v>
      </c>
      <c r="AQ6" s="87">
        <v>0</v>
      </c>
      <c r="AR6" s="88">
        <v>0</v>
      </c>
    </row>
    <row r="7" spans="2:44" ht="12" customHeight="1" x14ac:dyDescent="0.25">
      <c r="B7" s="86" t="s">
        <v>35</v>
      </c>
      <c r="C7" s="87" t="s">
        <v>36</v>
      </c>
      <c r="D7" s="87" t="s">
        <v>25</v>
      </c>
      <c r="E7" s="87" t="s">
        <v>25</v>
      </c>
      <c r="F7" s="87" t="s">
        <v>81</v>
      </c>
      <c r="G7" s="87" t="s">
        <v>38</v>
      </c>
      <c r="H7" s="87" t="s">
        <v>78</v>
      </c>
      <c r="I7" s="87" t="s">
        <v>25</v>
      </c>
      <c r="J7" s="87">
        <v>57.34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  <c r="P7" s="87">
        <v>0</v>
      </c>
      <c r="Q7" s="87">
        <v>0</v>
      </c>
      <c r="R7" s="87">
        <v>0</v>
      </c>
      <c r="S7" s="87">
        <v>0</v>
      </c>
      <c r="T7" s="87">
        <v>0</v>
      </c>
      <c r="U7" s="87">
        <v>0</v>
      </c>
      <c r="V7" s="87">
        <v>0</v>
      </c>
      <c r="W7" s="87">
        <v>0</v>
      </c>
      <c r="X7" s="87">
        <v>22.287742421285301</v>
      </c>
      <c r="Y7" s="87">
        <v>0</v>
      </c>
      <c r="Z7" s="87">
        <v>0</v>
      </c>
      <c r="AA7" s="87">
        <v>35.051831196570497</v>
      </c>
      <c r="AB7" s="87">
        <v>0</v>
      </c>
      <c r="AC7" s="87">
        <v>0</v>
      </c>
      <c r="AD7" s="87">
        <v>0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0</v>
      </c>
      <c r="AN7" s="87">
        <v>0</v>
      </c>
      <c r="AO7" s="87">
        <v>0</v>
      </c>
      <c r="AP7" s="87">
        <v>0</v>
      </c>
      <c r="AQ7" s="87">
        <v>0</v>
      </c>
      <c r="AR7" s="88">
        <v>0</v>
      </c>
    </row>
    <row r="8" spans="2:44" ht="12" customHeight="1" x14ac:dyDescent="0.25">
      <c r="B8" s="86" t="s">
        <v>35</v>
      </c>
      <c r="C8" s="87" t="s">
        <v>36</v>
      </c>
      <c r="D8" s="87" t="s">
        <v>25</v>
      </c>
      <c r="E8" s="87" t="s">
        <v>25</v>
      </c>
      <c r="F8" s="87" t="s">
        <v>25</v>
      </c>
      <c r="G8" s="87" t="s">
        <v>37</v>
      </c>
      <c r="H8" s="87" t="s">
        <v>73</v>
      </c>
      <c r="I8" s="87" t="s">
        <v>25</v>
      </c>
      <c r="J8" s="87">
        <v>96.28</v>
      </c>
      <c r="K8" s="87">
        <v>181.23</v>
      </c>
      <c r="L8" s="87">
        <v>0</v>
      </c>
      <c r="M8" s="87">
        <v>1.1144075392341699</v>
      </c>
      <c r="N8" s="87">
        <v>0</v>
      </c>
      <c r="O8" s="87">
        <v>0</v>
      </c>
      <c r="P8" s="87">
        <v>0</v>
      </c>
      <c r="Q8" s="87">
        <v>75.529229327372306</v>
      </c>
      <c r="R8" s="87">
        <v>14.2105668429519</v>
      </c>
      <c r="S8" s="87">
        <v>0</v>
      </c>
      <c r="T8" s="87">
        <v>0</v>
      </c>
      <c r="U8" s="87">
        <v>0</v>
      </c>
      <c r="V8" s="87">
        <v>0</v>
      </c>
      <c r="W8" s="87">
        <v>0</v>
      </c>
      <c r="X8" s="87">
        <v>0</v>
      </c>
      <c r="Y8" s="87">
        <v>0</v>
      </c>
      <c r="Z8" s="87">
        <v>0</v>
      </c>
      <c r="AA8" s="87">
        <v>0</v>
      </c>
      <c r="AB8" s="87">
        <v>0</v>
      </c>
      <c r="AC8" s="87">
        <v>0</v>
      </c>
      <c r="AD8" s="87">
        <v>5.2458555112183296</v>
      </c>
      <c r="AE8" s="87">
        <v>0.18402801663715501</v>
      </c>
      <c r="AF8" s="87">
        <v>0</v>
      </c>
      <c r="AG8" s="87">
        <v>0</v>
      </c>
      <c r="AH8" s="87">
        <v>0</v>
      </c>
      <c r="AI8" s="87">
        <v>-14.8002535682764</v>
      </c>
      <c r="AJ8" s="87">
        <v>0</v>
      </c>
      <c r="AK8" s="87">
        <v>24.598065212554399</v>
      </c>
      <c r="AL8" s="87">
        <v>0</v>
      </c>
      <c r="AM8" s="87">
        <v>165.62458201564101</v>
      </c>
      <c r="AN8" s="87">
        <v>0</v>
      </c>
      <c r="AO8" s="87">
        <v>0</v>
      </c>
      <c r="AP8" s="87">
        <v>0</v>
      </c>
      <c r="AQ8" s="87">
        <v>0</v>
      </c>
      <c r="AR8" s="88">
        <v>5.81021785093305</v>
      </c>
    </row>
    <row r="9" spans="2:44" ht="12" customHeight="1" x14ac:dyDescent="0.25">
      <c r="B9" s="86" t="s">
        <v>35</v>
      </c>
      <c r="C9" s="87" t="s">
        <v>36</v>
      </c>
      <c r="D9" s="87" t="s">
        <v>25</v>
      </c>
      <c r="E9" s="87" t="s">
        <v>25</v>
      </c>
      <c r="F9" s="87" t="s">
        <v>25</v>
      </c>
      <c r="G9" s="87" t="s">
        <v>37</v>
      </c>
      <c r="H9" s="87" t="s">
        <v>78</v>
      </c>
      <c r="I9" s="87" t="s">
        <v>25</v>
      </c>
      <c r="J9" s="87">
        <v>120.37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  <c r="P9" s="87">
        <v>0</v>
      </c>
      <c r="Q9" s="87">
        <v>0</v>
      </c>
      <c r="R9" s="87">
        <v>0</v>
      </c>
      <c r="S9" s="87">
        <v>0</v>
      </c>
      <c r="T9" s="87">
        <v>0</v>
      </c>
      <c r="U9" s="87">
        <v>0</v>
      </c>
      <c r="V9" s="87">
        <v>0</v>
      </c>
      <c r="W9" s="87">
        <v>0</v>
      </c>
      <c r="X9" s="87">
        <v>42.209259097464198</v>
      </c>
      <c r="Y9" s="87">
        <v>0</v>
      </c>
      <c r="Z9" s="87">
        <v>0</v>
      </c>
      <c r="AA9" s="87">
        <v>78.165599433037102</v>
      </c>
      <c r="AB9" s="87">
        <v>0</v>
      </c>
      <c r="AC9" s="87">
        <v>0</v>
      </c>
      <c r="AD9" s="87">
        <v>0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0</v>
      </c>
      <c r="AN9" s="87">
        <v>0</v>
      </c>
      <c r="AO9" s="87">
        <v>0</v>
      </c>
      <c r="AP9" s="87">
        <v>0</v>
      </c>
      <c r="AQ9" s="87">
        <v>0</v>
      </c>
      <c r="AR9" s="88">
        <v>0</v>
      </c>
    </row>
    <row r="10" spans="2:44" ht="12" customHeight="1" x14ac:dyDescent="0.25">
      <c r="B10" s="86" t="s">
        <v>35</v>
      </c>
      <c r="C10" s="87" t="s">
        <v>36</v>
      </c>
      <c r="D10" s="87" t="s">
        <v>25</v>
      </c>
      <c r="E10" s="87" t="s">
        <v>25</v>
      </c>
      <c r="F10" s="87" t="s">
        <v>25</v>
      </c>
      <c r="G10" s="87" t="s">
        <v>38</v>
      </c>
      <c r="H10" s="87" t="s">
        <v>73</v>
      </c>
      <c r="I10" s="87" t="s">
        <v>25</v>
      </c>
      <c r="J10" s="87">
        <v>96.28</v>
      </c>
      <c r="K10" s="87">
        <v>181.23</v>
      </c>
      <c r="L10" s="87">
        <v>0</v>
      </c>
      <c r="M10" s="87">
        <v>1.1144075392341699</v>
      </c>
      <c r="N10" s="87">
        <v>0</v>
      </c>
      <c r="O10" s="87">
        <v>0</v>
      </c>
      <c r="P10" s="87">
        <v>0</v>
      </c>
      <c r="Q10" s="87">
        <v>75.529229327372306</v>
      </c>
      <c r="R10" s="87">
        <v>14.2105668429519</v>
      </c>
      <c r="S10" s="87">
        <v>0</v>
      </c>
      <c r="T10" s="87">
        <v>0</v>
      </c>
      <c r="U10" s="87">
        <v>0</v>
      </c>
      <c r="V10" s="87">
        <v>0</v>
      </c>
      <c r="W10" s="87">
        <v>0</v>
      </c>
      <c r="X10" s="87">
        <v>0</v>
      </c>
      <c r="Y10" s="87">
        <v>0</v>
      </c>
      <c r="Z10" s="87">
        <v>0</v>
      </c>
      <c r="AA10" s="87">
        <v>0</v>
      </c>
      <c r="AB10" s="87">
        <v>0</v>
      </c>
      <c r="AC10" s="87">
        <v>0</v>
      </c>
      <c r="AD10" s="87">
        <v>5.2458555112183296</v>
      </c>
      <c r="AE10" s="87">
        <v>0.18402801663715501</v>
      </c>
      <c r="AF10" s="87">
        <v>0</v>
      </c>
      <c r="AG10" s="87">
        <v>0</v>
      </c>
      <c r="AH10" s="87">
        <v>0</v>
      </c>
      <c r="AI10" s="87">
        <v>-14.8002535682764</v>
      </c>
      <c r="AJ10" s="87">
        <v>0</v>
      </c>
      <c r="AK10" s="87">
        <v>24.598065212554399</v>
      </c>
      <c r="AL10" s="87">
        <v>0</v>
      </c>
      <c r="AM10" s="87">
        <v>165.62458201564101</v>
      </c>
      <c r="AN10" s="87">
        <v>0</v>
      </c>
      <c r="AO10" s="87">
        <v>0</v>
      </c>
      <c r="AP10" s="87">
        <v>0</v>
      </c>
      <c r="AQ10" s="87">
        <v>0</v>
      </c>
      <c r="AR10" s="88">
        <v>5.81021785093305</v>
      </c>
    </row>
    <row r="11" spans="2:44" ht="12" customHeight="1" x14ac:dyDescent="0.25">
      <c r="B11" s="86" t="s">
        <v>35</v>
      </c>
      <c r="C11" s="87" t="s">
        <v>36</v>
      </c>
      <c r="D11" s="87" t="s">
        <v>25</v>
      </c>
      <c r="E11" s="87" t="s">
        <v>25</v>
      </c>
      <c r="F11" s="87" t="s">
        <v>25</v>
      </c>
      <c r="G11" s="87" t="s">
        <v>38</v>
      </c>
      <c r="H11" s="87" t="s">
        <v>78</v>
      </c>
      <c r="I11" s="87" t="s">
        <v>25</v>
      </c>
      <c r="J11" s="87">
        <v>57.34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  <c r="P11" s="87">
        <v>0</v>
      </c>
      <c r="Q11" s="87">
        <v>0</v>
      </c>
      <c r="R11" s="87">
        <v>0</v>
      </c>
      <c r="S11" s="87">
        <v>0</v>
      </c>
      <c r="T11" s="87">
        <v>0</v>
      </c>
      <c r="U11" s="87">
        <v>0</v>
      </c>
      <c r="V11" s="87">
        <v>0</v>
      </c>
      <c r="W11" s="87">
        <v>0</v>
      </c>
      <c r="X11" s="87">
        <v>22.287742421285301</v>
      </c>
      <c r="Y11" s="87">
        <v>0</v>
      </c>
      <c r="Z11" s="87">
        <v>0</v>
      </c>
      <c r="AA11" s="87">
        <v>35.051831196570497</v>
      </c>
      <c r="AB11" s="87">
        <v>0</v>
      </c>
      <c r="AC11" s="87">
        <v>0</v>
      </c>
      <c r="AD11" s="87">
        <v>0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0</v>
      </c>
      <c r="AN11" s="87">
        <v>0</v>
      </c>
      <c r="AO11" s="87">
        <v>0</v>
      </c>
      <c r="AP11" s="87">
        <v>0</v>
      </c>
      <c r="AQ11" s="87">
        <v>0</v>
      </c>
      <c r="AR11" s="88">
        <v>0</v>
      </c>
    </row>
    <row r="12" spans="2:44" ht="12" customHeight="1" x14ac:dyDescent="0.25">
      <c r="B12" s="86" t="s">
        <v>35</v>
      </c>
      <c r="C12" s="87" t="s">
        <v>23</v>
      </c>
      <c r="D12" s="87" t="s">
        <v>25</v>
      </c>
      <c r="E12" s="87" t="s">
        <v>25</v>
      </c>
      <c r="F12" s="87" t="s">
        <v>25</v>
      </c>
      <c r="G12" s="87" t="s">
        <v>25</v>
      </c>
      <c r="H12" s="87" t="s">
        <v>73</v>
      </c>
      <c r="I12" s="87" t="s">
        <v>25</v>
      </c>
      <c r="J12" s="87">
        <v>0</v>
      </c>
      <c r="K12" s="87">
        <v>181.23</v>
      </c>
      <c r="L12" s="87">
        <v>0</v>
      </c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  <c r="S12" s="87">
        <v>0</v>
      </c>
      <c r="T12" s="87">
        <v>0</v>
      </c>
      <c r="U12" s="87">
        <v>0</v>
      </c>
      <c r="V12" s="87">
        <v>0</v>
      </c>
      <c r="W12" s="87">
        <v>0</v>
      </c>
      <c r="X12" s="87">
        <v>0</v>
      </c>
      <c r="Y12" s="87">
        <v>0</v>
      </c>
      <c r="Z12" s="87">
        <v>0</v>
      </c>
      <c r="AA12" s="87">
        <v>0</v>
      </c>
      <c r="AB12" s="87">
        <v>0</v>
      </c>
      <c r="AC12" s="87">
        <v>0</v>
      </c>
      <c r="AD12" s="87">
        <v>0</v>
      </c>
      <c r="AE12" s="87">
        <v>0</v>
      </c>
      <c r="AF12" s="87">
        <v>0</v>
      </c>
      <c r="AG12" s="87">
        <v>0</v>
      </c>
      <c r="AH12" s="87">
        <v>0</v>
      </c>
      <c r="AI12" s="87">
        <v>-14.8002535682764</v>
      </c>
      <c r="AJ12" s="87">
        <v>0</v>
      </c>
      <c r="AK12" s="87">
        <v>24.598065212554399</v>
      </c>
      <c r="AL12" s="87">
        <v>0</v>
      </c>
      <c r="AM12" s="87">
        <v>165.62458201564101</v>
      </c>
      <c r="AN12" s="87">
        <v>0</v>
      </c>
      <c r="AO12" s="87">
        <v>0</v>
      </c>
      <c r="AP12" s="87">
        <v>0</v>
      </c>
      <c r="AQ12" s="87">
        <v>0</v>
      </c>
      <c r="AR12" s="88">
        <v>5.81021785093305</v>
      </c>
    </row>
    <row r="13" spans="2:44" ht="12" customHeight="1" x14ac:dyDescent="0.25">
      <c r="B13" s="86" t="s">
        <v>35</v>
      </c>
      <c r="C13" s="87" t="s">
        <v>53</v>
      </c>
      <c r="D13" s="87" t="s">
        <v>25</v>
      </c>
      <c r="E13" s="87" t="s">
        <v>25</v>
      </c>
      <c r="F13" s="87" t="s">
        <v>25</v>
      </c>
      <c r="G13" s="87" t="s">
        <v>25</v>
      </c>
      <c r="H13" s="87" t="s">
        <v>78</v>
      </c>
      <c r="I13" s="87" t="s">
        <v>25</v>
      </c>
      <c r="J13" s="87">
        <v>19.84</v>
      </c>
      <c r="K13" s="87">
        <v>0</v>
      </c>
      <c r="L13" s="87">
        <v>0</v>
      </c>
      <c r="M13" s="87">
        <v>0.155592370425882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87">
        <v>0</v>
      </c>
      <c r="T13" s="87">
        <v>0</v>
      </c>
      <c r="U13" s="87">
        <v>0</v>
      </c>
      <c r="V13" s="87">
        <v>0</v>
      </c>
      <c r="W13" s="87">
        <v>0</v>
      </c>
      <c r="X13" s="87">
        <v>0</v>
      </c>
      <c r="Y13" s="87">
        <v>0</v>
      </c>
      <c r="Z13" s="87">
        <v>0</v>
      </c>
      <c r="AA13" s="87">
        <v>19.681827107238501</v>
      </c>
      <c r="AB13" s="87">
        <v>0</v>
      </c>
      <c r="AC13" s="87">
        <v>0</v>
      </c>
      <c r="AD13" s="87">
        <v>0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0</v>
      </c>
      <c r="AN13" s="87">
        <v>0</v>
      </c>
      <c r="AO13" s="87">
        <v>0</v>
      </c>
      <c r="AP13" s="87">
        <v>0</v>
      </c>
      <c r="AQ13" s="87">
        <v>0</v>
      </c>
      <c r="AR13" s="88">
        <v>0</v>
      </c>
    </row>
    <row r="14" spans="2:44" ht="12" customHeight="1" x14ac:dyDescent="0.25">
      <c r="B14" s="86" t="s">
        <v>35</v>
      </c>
      <c r="C14" s="87" t="s">
        <v>39</v>
      </c>
      <c r="D14" s="87" t="s">
        <v>25</v>
      </c>
      <c r="E14" s="87" t="s">
        <v>25</v>
      </c>
      <c r="F14" s="87" t="s">
        <v>81</v>
      </c>
      <c r="G14" s="87" t="s">
        <v>37</v>
      </c>
      <c r="H14" s="87" t="s">
        <v>73</v>
      </c>
      <c r="I14" s="87" t="s">
        <v>25</v>
      </c>
      <c r="J14" s="87">
        <v>2901.56</v>
      </c>
      <c r="K14" s="87">
        <v>0</v>
      </c>
      <c r="L14" s="87">
        <v>0</v>
      </c>
      <c r="M14" s="87">
        <v>1.1144075392341699</v>
      </c>
      <c r="N14" s="87">
        <v>0</v>
      </c>
      <c r="O14" s="87">
        <v>0</v>
      </c>
      <c r="P14" s="87">
        <v>0</v>
      </c>
      <c r="Q14" s="87">
        <v>0</v>
      </c>
      <c r="R14" s="87">
        <v>0</v>
      </c>
      <c r="S14" s="87">
        <v>0</v>
      </c>
      <c r="T14" s="87">
        <v>0</v>
      </c>
      <c r="U14" s="87">
        <v>0</v>
      </c>
      <c r="V14" s="87">
        <v>0</v>
      </c>
      <c r="W14" s="87">
        <v>0</v>
      </c>
      <c r="X14" s="87">
        <v>1015.13360957237</v>
      </c>
      <c r="Y14" s="87">
        <v>0</v>
      </c>
      <c r="Z14" s="87">
        <v>0</v>
      </c>
      <c r="AA14" s="87">
        <v>1879.8845354227201</v>
      </c>
      <c r="AB14" s="87">
        <v>0</v>
      </c>
      <c r="AC14" s="87">
        <v>0</v>
      </c>
      <c r="AD14" s="87">
        <v>5.2458555112183296</v>
      </c>
      <c r="AE14" s="87">
        <v>0.18402801663715501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0</v>
      </c>
      <c r="AN14" s="87">
        <v>0</v>
      </c>
      <c r="AO14" s="87">
        <v>0</v>
      </c>
      <c r="AP14" s="87">
        <v>0</v>
      </c>
      <c r="AQ14" s="87">
        <v>0</v>
      </c>
      <c r="AR14" s="88">
        <v>0</v>
      </c>
    </row>
    <row r="15" spans="2:44" ht="12" customHeight="1" x14ac:dyDescent="0.25">
      <c r="B15" s="86" t="s">
        <v>35</v>
      </c>
      <c r="C15" s="87" t="s">
        <v>39</v>
      </c>
      <c r="D15" s="87" t="s">
        <v>25</v>
      </c>
      <c r="E15" s="87" t="s">
        <v>25</v>
      </c>
      <c r="F15" s="87" t="s">
        <v>81</v>
      </c>
      <c r="G15" s="87" t="s">
        <v>25</v>
      </c>
      <c r="H15" s="87" t="s">
        <v>78</v>
      </c>
      <c r="I15" s="87" t="s">
        <v>25</v>
      </c>
      <c r="J15" s="87">
        <v>57.34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  <c r="P15" s="87">
        <v>0</v>
      </c>
      <c r="Q15" s="87">
        <v>0</v>
      </c>
      <c r="R15" s="87">
        <v>0</v>
      </c>
      <c r="S15" s="87">
        <v>0</v>
      </c>
      <c r="T15" s="87">
        <v>0</v>
      </c>
      <c r="U15" s="87">
        <v>0</v>
      </c>
      <c r="V15" s="87">
        <v>0</v>
      </c>
      <c r="W15" s="87">
        <v>0</v>
      </c>
      <c r="X15" s="87">
        <v>22.287742421285301</v>
      </c>
      <c r="Y15" s="87">
        <v>0</v>
      </c>
      <c r="Z15" s="87">
        <v>0</v>
      </c>
      <c r="AA15" s="87">
        <v>35.051831196570497</v>
      </c>
      <c r="AB15" s="87">
        <v>0</v>
      </c>
      <c r="AC15" s="87">
        <v>0</v>
      </c>
      <c r="AD15" s="87">
        <v>0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0</v>
      </c>
      <c r="AN15" s="87">
        <v>0</v>
      </c>
      <c r="AO15" s="87">
        <v>0</v>
      </c>
      <c r="AP15" s="87">
        <v>0</v>
      </c>
      <c r="AQ15" s="87">
        <v>0</v>
      </c>
      <c r="AR15" s="88">
        <v>0</v>
      </c>
    </row>
    <row r="16" spans="2:44" ht="12" customHeight="1" x14ac:dyDescent="0.25">
      <c r="B16" s="86" t="s">
        <v>35</v>
      </c>
      <c r="C16" s="87" t="s">
        <v>39</v>
      </c>
      <c r="D16" s="87" t="s">
        <v>25</v>
      </c>
      <c r="E16" s="87" t="s">
        <v>25</v>
      </c>
      <c r="F16" s="87" t="s">
        <v>81</v>
      </c>
      <c r="G16" s="87" t="s">
        <v>38</v>
      </c>
      <c r="H16" s="87" t="s">
        <v>73</v>
      </c>
      <c r="I16" s="87" t="s">
        <v>25</v>
      </c>
      <c r="J16" s="87">
        <v>6.54</v>
      </c>
      <c r="K16" s="87">
        <v>0</v>
      </c>
      <c r="L16" s="87">
        <v>0</v>
      </c>
      <c r="M16" s="87">
        <v>1.1144075392341699</v>
      </c>
      <c r="N16" s="87">
        <v>0</v>
      </c>
      <c r="O16" s="87">
        <v>0</v>
      </c>
      <c r="P16" s="87">
        <v>0</v>
      </c>
      <c r="Q16" s="87">
        <v>0</v>
      </c>
      <c r="R16" s="87">
        <v>0</v>
      </c>
      <c r="S16" s="87">
        <v>0</v>
      </c>
      <c r="T16" s="87">
        <v>0</v>
      </c>
      <c r="U16" s="87">
        <v>0</v>
      </c>
      <c r="V16" s="87">
        <v>0</v>
      </c>
      <c r="W16" s="87">
        <v>0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  <c r="AC16" s="87">
        <v>0</v>
      </c>
      <c r="AD16" s="87">
        <v>5.2458555112183296</v>
      </c>
      <c r="AE16" s="87">
        <v>0.18402801663715501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0</v>
      </c>
      <c r="AN16" s="87">
        <v>0</v>
      </c>
      <c r="AO16" s="87">
        <v>0</v>
      </c>
      <c r="AP16" s="87">
        <v>0</v>
      </c>
      <c r="AQ16" s="87">
        <v>0</v>
      </c>
      <c r="AR16" s="88">
        <v>0</v>
      </c>
    </row>
    <row r="17" spans="2:44" ht="12" customHeight="1" x14ac:dyDescent="0.25">
      <c r="B17" s="86" t="s">
        <v>35</v>
      </c>
      <c r="C17" s="87" t="s">
        <v>39</v>
      </c>
      <c r="D17" s="87" t="s">
        <v>25</v>
      </c>
      <c r="E17" s="87" t="s">
        <v>25</v>
      </c>
      <c r="F17" s="87" t="s">
        <v>25</v>
      </c>
      <c r="G17" s="87" t="s">
        <v>37</v>
      </c>
      <c r="H17" s="87" t="s">
        <v>73</v>
      </c>
      <c r="I17" s="87" t="s">
        <v>25</v>
      </c>
      <c r="J17" s="87">
        <v>2991.3</v>
      </c>
      <c r="K17" s="87">
        <v>181.23</v>
      </c>
      <c r="L17" s="87">
        <v>0</v>
      </c>
      <c r="M17" s="87">
        <v>1.1144075392341699</v>
      </c>
      <c r="N17" s="87">
        <v>0</v>
      </c>
      <c r="O17" s="87">
        <v>0</v>
      </c>
      <c r="P17" s="87">
        <v>0</v>
      </c>
      <c r="Q17" s="87">
        <v>75.529229327372306</v>
      </c>
      <c r="R17" s="87">
        <v>14.2105668429519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1015.13360957237</v>
      </c>
      <c r="Y17" s="87">
        <v>0</v>
      </c>
      <c r="Z17" s="87">
        <v>0</v>
      </c>
      <c r="AA17" s="87">
        <v>1879.8845354227201</v>
      </c>
      <c r="AB17" s="87">
        <v>0</v>
      </c>
      <c r="AC17" s="87">
        <v>0</v>
      </c>
      <c r="AD17" s="87">
        <v>5.2458555112183296</v>
      </c>
      <c r="AE17" s="87">
        <v>0.18402801663715501</v>
      </c>
      <c r="AF17" s="87">
        <v>0</v>
      </c>
      <c r="AG17" s="87">
        <v>0</v>
      </c>
      <c r="AH17" s="87">
        <v>0</v>
      </c>
      <c r="AI17" s="87">
        <v>-14.8002535682764</v>
      </c>
      <c r="AJ17" s="87">
        <v>0</v>
      </c>
      <c r="AK17" s="87">
        <v>24.598065212554399</v>
      </c>
      <c r="AL17" s="87">
        <v>0</v>
      </c>
      <c r="AM17" s="87">
        <v>165.62458201564101</v>
      </c>
      <c r="AN17" s="87">
        <v>0</v>
      </c>
      <c r="AO17" s="87">
        <v>0</v>
      </c>
      <c r="AP17" s="87">
        <v>0</v>
      </c>
      <c r="AQ17" s="87">
        <v>0</v>
      </c>
      <c r="AR17" s="88">
        <v>5.81021785093305</v>
      </c>
    </row>
    <row r="18" spans="2:44" ht="12" customHeight="1" x14ac:dyDescent="0.25">
      <c r="B18" s="86" t="s">
        <v>35</v>
      </c>
      <c r="C18" s="87" t="s">
        <v>39</v>
      </c>
      <c r="D18" s="87" t="s">
        <v>25</v>
      </c>
      <c r="E18" s="87" t="s">
        <v>25</v>
      </c>
      <c r="F18" s="87" t="s">
        <v>25</v>
      </c>
      <c r="G18" s="87" t="s">
        <v>25</v>
      </c>
      <c r="H18" s="87" t="s">
        <v>78</v>
      </c>
      <c r="I18" s="87" t="s">
        <v>25</v>
      </c>
      <c r="J18" s="87">
        <v>57.34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  <c r="R18" s="87">
        <v>0</v>
      </c>
      <c r="S18" s="87">
        <v>0</v>
      </c>
      <c r="T18" s="87">
        <v>0</v>
      </c>
      <c r="U18" s="87">
        <v>0</v>
      </c>
      <c r="V18" s="87">
        <v>0</v>
      </c>
      <c r="W18" s="87">
        <v>0</v>
      </c>
      <c r="X18" s="87">
        <v>22.287742421285301</v>
      </c>
      <c r="Y18" s="87">
        <v>0</v>
      </c>
      <c r="Z18" s="87">
        <v>0</v>
      </c>
      <c r="AA18" s="87">
        <v>35.051831196570497</v>
      </c>
      <c r="AB18" s="87">
        <v>0</v>
      </c>
      <c r="AC18" s="87">
        <v>0</v>
      </c>
      <c r="AD18" s="87">
        <v>0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0</v>
      </c>
      <c r="AN18" s="87">
        <v>0</v>
      </c>
      <c r="AO18" s="87">
        <v>0</v>
      </c>
      <c r="AP18" s="87">
        <v>0</v>
      </c>
      <c r="AQ18" s="87">
        <v>0</v>
      </c>
      <c r="AR18" s="88">
        <v>0</v>
      </c>
    </row>
    <row r="19" spans="2:44" ht="12" customHeight="1" x14ac:dyDescent="0.25">
      <c r="B19" s="86" t="s">
        <v>35</v>
      </c>
      <c r="C19" s="87" t="s">
        <v>39</v>
      </c>
      <c r="D19" s="87" t="s">
        <v>25</v>
      </c>
      <c r="E19" s="87" t="s">
        <v>25</v>
      </c>
      <c r="F19" s="87" t="s">
        <v>25</v>
      </c>
      <c r="G19" s="87" t="s">
        <v>38</v>
      </c>
      <c r="H19" s="87" t="s">
        <v>73</v>
      </c>
      <c r="I19" s="87" t="s">
        <v>25</v>
      </c>
      <c r="J19" s="87">
        <v>96.28</v>
      </c>
      <c r="K19" s="87">
        <v>181.23</v>
      </c>
      <c r="L19" s="87">
        <v>0</v>
      </c>
      <c r="M19" s="87">
        <v>1.1144075392341699</v>
      </c>
      <c r="N19" s="87">
        <v>0</v>
      </c>
      <c r="O19" s="87">
        <v>0</v>
      </c>
      <c r="P19" s="87">
        <v>0</v>
      </c>
      <c r="Q19" s="87">
        <v>75.529229327372306</v>
      </c>
      <c r="R19" s="87">
        <v>14.2105668429519</v>
      </c>
      <c r="S19" s="87">
        <v>0</v>
      </c>
      <c r="T19" s="87">
        <v>0</v>
      </c>
      <c r="U19" s="87">
        <v>0</v>
      </c>
      <c r="V19" s="87">
        <v>0</v>
      </c>
      <c r="W19" s="87">
        <v>0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C19" s="87">
        <v>0</v>
      </c>
      <c r="AD19" s="87">
        <v>5.2458555112183296</v>
      </c>
      <c r="AE19" s="87">
        <v>0.18402801663715501</v>
      </c>
      <c r="AF19" s="87">
        <v>0</v>
      </c>
      <c r="AG19" s="87">
        <v>0</v>
      </c>
      <c r="AH19" s="87">
        <v>0</v>
      </c>
      <c r="AI19" s="87">
        <v>-14.8002535682764</v>
      </c>
      <c r="AJ19" s="87">
        <v>0</v>
      </c>
      <c r="AK19" s="87">
        <v>24.598065212554399</v>
      </c>
      <c r="AL19" s="87">
        <v>0</v>
      </c>
      <c r="AM19" s="87">
        <v>165.62458201564101</v>
      </c>
      <c r="AN19" s="87">
        <v>0</v>
      </c>
      <c r="AO19" s="87">
        <v>0</v>
      </c>
      <c r="AP19" s="87">
        <v>0</v>
      </c>
      <c r="AQ19" s="87">
        <v>0</v>
      </c>
      <c r="AR19" s="88">
        <v>5.81021785093305</v>
      </c>
    </row>
    <row r="20" spans="2:44" ht="12" customHeight="1" x14ac:dyDescent="0.25">
      <c r="B20" s="86" t="s">
        <v>82</v>
      </c>
      <c r="C20" s="87" t="s">
        <v>53</v>
      </c>
      <c r="D20" s="87" t="s">
        <v>25</v>
      </c>
      <c r="E20" s="87" t="s">
        <v>25</v>
      </c>
      <c r="F20" s="87" t="s">
        <v>83</v>
      </c>
      <c r="G20" s="87" t="s">
        <v>25</v>
      </c>
      <c r="H20" s="87" t="s">
        <v>78</v>
      </c>
      <c r="I20" s="87" t="s">
        <v>25</v>
      </c>
      <c r="J20" s="87">
        <v>17.79</v>
      </c>
      <c r="K20" s="87">
        <v>0</v>
      </c>
      <c r="L20" s="87">
        <v>0</v>
      </c>
      <c r="M20" s="87">
        <v>7.0055758724499595E-2</v>
      </c>
      <c r="N20" s="87">
        <v>0</v>
      </c>
      <c r="O20" s="87">
        <v>0</v>
      </c>
      <c r="P20" s="87">
        <v>0</v>
      </c>
      <c r="Q20" s="87">
        <v>0</v>
      </c>
      <c r="R20" s="87">
        <v>0</v>
      </c>
      <c r="S20" s="87">
        <v>0</v>
      </c>
      <c r="T20" s="87">
        <v>0</v>
      </c>
      <c r="U20" s="87">
        <v>0</v>
      </c>
      <c r="V20" s="87">
        <v>0</v>
      </c>
      <c r="W20" s="87">
        <v>0</v>
      </c>
      <c r="X20" s="87">
        <v>0</v>
      </c>
      <c r="Y20" s="87">
        <v>0</v>
      </c>
      <c r="Z20" s="87">
        <v>0</v>
      </c>
      <c r="AA20" s="87">
        <v>17.7180765928284</v>
      </c>
      <c r="AB20" s="87">
        <v>0</v>
      </c>
      <c r="AC20" s="87">
        <v>0</v>
      </c>
      <c r="AD20" s="87">
        <v>0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0</v>
      </c>
      <c r="AN20" s="87">
        <v>0</v>
      </c>
      <c r="AO20" s="87">
        <v>0</v>
      </c>
      <c r="AP20" s="87">
        <v>0</v>
      </c>
      <c r="AQ20" s="87">
        <v>0</v>
      </c>
      <c r="AR20" s="88">
        <v>0</v>
      </c>
    </row>
    <row r="21" spans="2:44" ht="12" customHeight="1" x14ac:dyDescent="0.25">
      <c r="B21" s="86" t="s">
        <v>82</v>
      </c>
      <c r="C21" s="87" t="s">
        <v>53</v>
      </c>
      <c r="D21" s="87" t="s">
        <v>25</v>
      </c>
      <c r="E21" s="87" t="s">
        <v>25</v>
      </c>
      <c r="F21" s="87" t="s">
        <v>84</v>
      </c>
      <c r="G21" s="87" t="s">
        <v>25</v>
      </c>
      <c r="H21" s="87" t="s">
        <v>78</v>
      </c>
      <c r="I21" s="87" t="s">
        <v>25</v>
      </c>
      <c r="J21" s="87">
        <v>44.06</v>
      </c>
      <c r="K21" s="87">
        <v>0</v>
      </c>
      <c r="L21" s="87">
        <v>0</v>
      </c>
      <c r="M21" s="87">
        <v>7.0055758724499595E-2</v>
      </c>
      <c r="N21" s="87">
        <v>0</v>
      </c>
      <c r="O21" s="87">
        <v>0</v>
      </c>
      <c r="P21" s="87">
        <v>0</v>
      </c>
      <c r="Q21" s="87">
        <v>0</v>
      </c>
      <c r="R21" s="87">
        <v>0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0</v>
      </c>
      <c r="AA21" s="87">
        <v>43.990886996904401</v>
      </c>
      <c r="AB21" s="87">
        <v>0</v>
      </c>
      <c r="AC21" s="87">
        <v>0</v>
      </c>
      <c r="AD21" s="87">
        <v>0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  <c r="AN21" s="87">
        <v>0</v>
      </c>
      <c r="AO21" s="87">
        <v>0</v>
      </c>
      <c r="AP21" s="87">
        <v>0</v>
      </c>
      <c r="AQ21" s="87">
        <v>0</v>
      </c>
      <c r="AR21" s="88">
        <v>0</v>
      </c>
    </row>
    <row r="22" spans="2:44" ht="12" customHeight="1" x14ac:dyDescent="0.25">
      <c r="B22" s="86" t="s">
        <v>22</v>
      </c>
      <c r="C22" s="87" t="s">
        <v>86</v>
      </c>
      <c r="D22" s="87" t="s">
        <v>24</v>
      </c>
      <c r="E22" s="87" t="s">
        <v>24</v>
      </c>
      <c r="F22" s="87" t="s">
        <v>25</v>
      </c>
      <c r="G22" s="87" t="s">
        <v>37</v>
      </c>
      <c r="H22" s="87" t="s">
        <v>73</v>
      </c>
      <c r="I22" s="87" t="s">
        <v>25</v>
      </c>
      <c r="J22" s="87">
        <v>2048.64</v>
      </c>
      <c r="K22" s="87">
        <v>181.23</v>
      </c>
      <c r="L22" s="87">
        <v>0</v>
      </c>
      <c r="M22" s="87">
        <v>2.1815818274485399</v>
      </c>
      <c r="N22" s="87">
        <v>0</v>
      </c>
      <c r="O22" s="87">
        <v>0</v>
      </c>
      <c r="P22" s="87">
        <v>0</v>
      </c>
      <c r="Q22" s="87">
        <v>89.915749199252801</v>
      </c>
      <c r="R22" s="87">
        <v>14.2105668429519</v>
      </c>
      <c r="S22" s="87">
        <v>0</v>
      </c>
      <c r="T22" s="87">
        <v>0</v>
      </c>
      <c r="U22" s="87">
        <v>0</v>
      </c>
      <c r="V22" s="87">
        <v>0</v>
      </c>
      <c r="W22" s="87">
        <v>0</v>
      </c>
      <c r="X22" s="87">
        <v>428.07457144392799</v>
      </c>
      <c r="Y22" s="87">
        <v>0</v>
      </c>
      <c r="Z22" s="87">
        <v>0</v>
      </c>
      <c r="AA22" s="87">
        <v>1485.0040036816999</v>
      </c>
      <c r="AB22" s="87">
        <v>0</v>
      </c>
      <c r="AC22" s="87">
        <v>0</v>
      </c>
      <c r="AD22" s="87">
        <v>28.258993065327498</v>
      </c>
      <c r="AE22" s="87">
        <v>0.99134382082276296</v>
      </c>
      <c r="AF22" s="87">
        <v>0</v>
      </c>
      <c r="AG22" s="87">
        <v>0</v>
      </c>
      <c r="AH22" s="87">
        <v>0</v>
      </c>
      <c r="AI22" s="87">
        <v>-14.8002535682764</v>
      </c>
      <c r="AJ22" s="87">
        <v>0</v>
      </c>
      <c r="AK22" s="87">
        <v>24.598065212554399</v>
      </c>
      <c r="AL22" s="87">
        <v>0</v>
      </c>
      <c r="AM22" s="87">
        <v>165.62458201564101</v>
      </c>
      <c r="AN22" s="87">
        <v>0</v>
      </c>
      <c r="AO22" s="87">
        <v>0</v>
      </c>
      <c r="AP22" s="87">
        <v>0</v>
      </c>
      <c r="AQ22" s="87">
        <v>0</v>
      </c>
      <c r="AR22" s="88">
        <v>5.81021785093305</v>
      </c>
    </row>
    <row r="23" spans="2:44" ht="12" customHeight="1" x14ac:dyDescent="0.25">
      <c r="B23" s="86" t="s">
        <v>22</v>
      </c>
      <c r="C23" s="87" t="s">
        <v>86</v>
      </c>
      <c r="D23" s="87" t="s">
        <v>24</v>
      </c>
      <c r="E23" s="87" t="s">
        <v>24</v>
      </c>
      <c r="F23" s="87" t="s">
        <v>25</v>
      </c>
      <c r="G23" s="87" t="s">
        <v>535</v>
      </c>
      <c r="H23" s="87" t="s">
        <v>73</v>
      </c>
      <c r="I23" s="87" t="s">
        <v>25</v>
      </c>
      <c r="J23" s="87">
        <v>1283.4100000000001</v>
      </c>
      <c r="K23" s="87">
        <v>181.23</v>
      </c>
      <c r="L23" s="87">
        <v>0</v>
      </c>
      <c r="M23" s="87">
        <v>2.1815818274485399</v>
      </c>
      <c r="N23" s="87">
        <v>0</v>
      </c>
      <c r="O23" s="87">
        <v>0</v>
      </c>
      <c r="P23" s="87">
        <v>0</v>
      </c>
      <c r="Q23" s="87">
        <v>89.915749199252801</v>
      </c>
      <c r="R23" s="87">
        <v>14.2105668429519</v>
      </c>
      <c r="S23" s="87">
        <v>0</v>
      </c>
      <c r="T23" s="87">
        <v>0</v>
      </c>
      <c r="U23" s="87">
        <v>0</v>
      </c>
      <c r="V23" s="87">
        <v>0</v>
      </c>
      <c r="W23" s="87">
        <v>0</v>
      </c>
      <c r="X23" s="87">
        <v>256.84467656075998</v>
      </c>
      <c r="Y23" s="87">
        <v>0</v>
      </c>
      <c r="Z23" s="87">
        <v>0</v>
      </c>
      <c r="AA23" s="87">
        <v>891.00244187072997</v>
      </c>
      <c r="AB23" s="87">
        <v>0</v>
      </c>
      <c r="AC23" s="87">
        <v>0</v>
      </c>
      <c r="AD23" s="87">
        <v>28.258993065327498</v>
      </c>
      <c r="AE23" s="87">
        <v>0.99134382082276296</v>
      </c>
      <c r="AF23" s="87">
        <v>0</v>
      </c>
      <c r="AG23" s="87">
        <v>0</v>
      </c>
      <c r="AH23" s="87">
        <v>0</v>
      </c>
      <c r="AI23" s="87">
        <v>-14.8002535682764</v>
      </c>
      <c r="AJ23" s="87">
        <v>0</v>
      </c>
      <c r="AK23" s="87">
        <v>24.598065212554399</v>
      </c>
      <c r="AL23" s="87">
        <v>0</v>
      </c>
      <c r="AM23" s="87">
        <v>165.62458201564101</v>
      </c>
      <c r="AN23" s="87">
        <v>0</v>
      </c>
      <c r="AO23" s="87">
        <v>0</v>
      </c>
      <c r="AP23" s="87">
        <v>0</v>
      </c>
      <c r="AQ23" s="87">
        <v>0</v>
      </c>
      <c r="AR23" s="88">
        <v>5.81021785093305</v>
      </c>
    </row>
    <row r="24" spans="2:44" ht="12" customHeight="1" x14ac:dyDescent="0.25">
      <c r="B24" s="86" t="s">
        <v>22</v>
      </c>
      <c r="C24" s="87" t="s">
        <v>86</v>
      </c>
      <c r="D24" s="87" t="s">
        <v>24</v>
      </c>
      <c r="E24" s="87" t="s">
        <v>24</v>
      </c>
      <c r="F24" s="87" t="s">
        <v>25</v>
      </c>
      <c r="G24" s="87" t="s">
        <v>38</v>
      </c>
      <c r="H24" s="87" t="s">
        <v>73</v>
      </c>
      <c r="I24" s="87" t="s">
        <v>25</v>
      </c>
      <c r="J24" s="87">
        <v>518.16999999999996</v>
      </c>
      <c r="K24" s="87">
        <v>181.23</v>
      </c>
      <c r="L24" s="87">
        <v>0</v>
      </c>
      <c r="M24" s="87">
        <v>2.1815818274485399</v>
      </c>
      <c r="N24" s="87">
        <v>0</v>
      </c>
      <c r="O24" s="87">
        <v>0</v>
      </c>
      <c r="P24" s="87">
        <v>0</v>
      </c>
      <c r="Q24" s="87">
        <v>89.915749199252801</v>
      </c>
      <c r="R24" s="87">
        <v>14.2105668429519</v>
      </c>
      <c r="S24" s="87">
        <v>0</v>
      </c>
      <c r="T24" s="87">
        <v>0</v>
      </c>
      <c r="U24" s="87">
        <v>0</v>
      </c>
      <c r="V24" s="87">
        <v>0</v>
      </c>
      <c r="W24" s="87">
        <v>0</v>
      </c>
      <c r="X24" s="87">
        <v>85.614892186919803</v>
      </c>
      <c r="Y24" s="87">
        <v>0</v>
      </c>
      <c r="Z24" s="87">
        <v>0</v>
      </c>
      <c r="AA24" s="87">
        <v>297.000780905483</v>
      </c>
      <c r="AB24" s="87">
        <v>0</v>
      </c>
      <c r="AC24" s="87">
        <v>0</v>
      </c>
      <c r="AD24" s="87">
        <v>28.258993065327498</v>
      </c>
      <c r="AE24" s="87">
        <v>0.99134382082276296</v>
      </c>
      <c r="AF24" s="87">
        <v>0</v>
      </c>
      <c r="AG24" s="87">
        <v>0</v>
      </c>
      <c r="AH24" s="87">
        <v>0</v>
      </c>
      <c r="AI24" s="87">
        <v>-14.8002535682764</v>
      </c>
      <c r="AJ24" s="87">
        <v>0</v>
      </c>
      <c r="AK24" s="87">
        <v>24.598065212554399</v>
      </c>
      <c r="AL24" s="87">
        <v>0</v>
      </c>
      <c r="AM24" s="87">
        <v>165.62458201564101</v>
      </c>
      <c r="AN24" s="87">
        <v>0</v>
      </c>
      <c r="AO24" s="87">
        <v>0</v>
      </c>
      <c r="AP24" s="87">
        <v>0</v>
      </c>
      <c r="AQ24" s="87">
        <v>0</v>
      </c>
      <c r="AR24" s="88">
        <v>5.81021785093305</v>
      </c>
    </row>
    <row r="25" spans="2:44" ht="12" customHeight="1" x14ac:dyDescent="0.25">
      <c r="B25" s="86" t="s">
        <v>22</v>
      </c>
      <c r="C25" s="87" t="s">
        <v>23</v>
      </c>
      <c r="D25" s="87" t="s">
        <v>24</v>
      </c>
      <c r="E25" s="87" t="s">
        <v>1062</v>
      </c>
      <c r="F25" s="87" t="s">
        <v>25</v>
      </c>
      <c r="G25" s="87" t="s">
        <v>25</v>
      </c>
      <c r="H25" s="87" t="s">
        <v>73</v>
      </c>
      <c r="I25" s="87" t="s">
        <v>25</v>
      </c>
      <c r="J25" s="87">
        <v>648.54999999999995</v>
      </c>
      <c r="K25" s="87">
        <v>181.23</v>
      </c>
      <c r="L25" s="87">
        <v>0</v>
      </c>
      <c r="M25" s="87">
        <v>2.1815818274485399</v>
      </c>
      <c r="N25" s="87">
        <v>0</v>
      </c>
      <c r="O25" s="87">
        <v>0</v>
      </c>
      <c r="P25" s="87">
        <v>0</v>
      </c>
      <c r="Q25" s="87">
        <v>0</v>
      </c>
      <c r="R25" s="87">
        <v>0</v>
      </c>
      <c r="S25" s="87">
        <v>0</v>
      </c>
      <c r="T25" s="87">
        <v>0</v>
      </c>
      <c r="U25" s="87">
        <v>0</v>
      </c>
      <c r="V25" s="87">
        <v>0</v>
      </c>
      <c r="W25" s="87">
        <v>0</v>
      </c>
      <c r="X25" s="87">
        <v>138.08858925761001</v>
      </c>
      <c r="Y25" s="87">
        <v>0</v>
      </c>
      <c r="Z25" s="87">
        <v>0</v>
      </c>
      <c r="AA25" s="87">
        <v>479.03356236884099</v>
      </c>
      <c r="AB25" s="87">
        <v>0</v>
      </c>
      <c r="AC25" s="87">
        <v>0</v>
      </c>
      <c r="AD25" s="87">
        <v>28.258993065327498</v>
      </c>
      <c r="AE25" s="87">
        <v>0.99134382082276296</v>
      </c>
      <c r="AF25" s="87">
        <v>0</v>
      </c>
      <c r="AG25" s="87">
        <v>0</v>
      </c>
      <c r="AH25" s="87">
        <v>0</v>
      </c>
      <c r="AI25" s="87">
        <v>-14.8002535682764</v>
      </c>
      <c r="AJ25" s="87">
        <v>0</v>
      </c>
      <c r="AK25" s="87">
        <v>24.598065212554399</v>
      </c>
      <c r="AL25" s="87">
        <v>0</v>
      </c>
      <c r="AM25" s="87">
        <v>165.62458201564101</v>
      </c>
      <c r="AN25" s="87">
        <v>0</v>
      </c>
      <c r="AO25" s="87">
        <v>0</v>
      </c>
      <c r="AP25" s="87">
        <v>0</v>
      </c>
      <c r="AQ25" s="87">
        <v>0</v>
      </c>
      <c r="AR25" s="88">
        <v>5.81021785093305</v>
      </c>
    </row>
    <row r="26" spans="2:44" ht="12" customHeight="1" x14ac:dyDescent="0.25">
      <c r="B26" s="86" t="s">
        <v>22</v>
      </c>
      <c r="C26" s="87" t="s">
        <v>23</v>
      </c>
      <c r="D26" s="87" t="s">
        <v>24</v>
      </c>
      <c r="E26" s="87" t="s">
        <v>24</v>
      </c>
      <c r="F26" s="87" t="s">
        <v>25</v>
      </c>
      <c r="G26" s="87" t="s">
        <v>25</v>
      </c>
      <c r="H26" s="87" t="s">
        <v>73</v>
      </c>
      <c r="I26" s="87" t="s">
        <v>25</v>
      </c>
      <c r="J26" s="87">
        <v>752.68</v>
      </c>
      <c r="K26" s="87">
        <v>181.23</v>
      </c>
      <c r="L26" s="87">
        <v>0</v>
      </c>
      <c r="M26" s="87">
        <v>2.1815818274485399</v>
      </c>
      <c r="N26" s="87">
        <v>0</v>
      </c>
      <c r="O26" s="87">
        <v>0</v>
      </c>
      <c r="P26" s="87">
        <v>0</v>
      </c>
      <c r="Q26" s="87">
        <v>89.915749199252801</v>
      </c>
      <c r="R26" s="87">
        <v>14.2105668429519</v>
      </c>
      <c r="S26" s="87">
        <v>0</v>
      </c>
      <c r="T26" s="87">
        <v>0</v>
      </c>
      <c r="U26" s="87">
        <v>0</v>
      </c>
      <c r="V26" s="87">
        <v>0</v>
      </c>
      <c r="W26" s="87">
        <v>0</v>
      </c>
      <c r="X26" s="87">
        <v>138.08858925761001</v>
      </c>
      <c r="Y26" s="87">
        <v>0</v>
      </c>
      <c r="Z26" s="87">
        <v>0</v>
      </c>
      <c r="AA26" s="87">
        <v>479.03356236884099</v>
      </c>
      <c r="AB26" s="87">
        <v>0</v>
      </c>
      <c r="AC26" s="87">
        <v>0</v>
      </c>
      <c r="AD26" s="87">
        <v>28.258993065327498</v>
      </c>
      <c r="AE26" s="87">
        <v>0.99134382082276296</v>
      </c>
      <c r="AF26" s="87">
        <v>0</v>
      </c>
      <c r="AG26" s="87">
        <v>0</v>
      </c>
      <c r="AH26" s="87">
        <v>0</v>
      </c>
      <c r="AI26" s="87">
        <v>-14.8002535682764</v>
      </c>
      <c r="AJ26" s="87">
        <v>0</v>
      </c>
      <c r="AK26" s="87">
        <v>24.598065212554399</v>
      </c>
      <c r="AL26" s="87">
        <v>0</v>
      </c>
      <c r="AM26" s="87">
        <v>165.62458201564101</v>
      </c>
      <c r="AN26" s="87">
        <v>0</v>
      </c>
      <c r="AO26" s="87">
        <v>0</v>
      </c>
      <c r="AP26" s="87">
        <v>0</v>
      </c>
      <c r="AQ26" s="87">
        <v>0</v>
      </c>
      <c r="AR26" s="88">
        <v>5.81021785093305</v>
      </c>
    </row>
    <row r="27" spans="2:44" ht="12" customHeight="1" x14ac:dyDescent="0.25">
      <c r="B27" s="86" t="s">
        <v>22</v>
      </c>
      <c r="C27" s="87" t="s">
        <v>88</v>
      </c>
      <c r="D27" s="87" t="s">
        <v>24</v>
      </c>
      <c r="E27" s="87" t="s">
        <v>1062</v>
      </c>
      <c r="F27" s="87" t="s">
        <v>25</v>
      </c>
      <c r="G27" s="87" t="s">
        <v>25</v>
      </c>
      <c r="H27" s="87" t="s">
        <v>73</v>
      </c>
      <c r="I27" s="87" t="s">
        <v>25</v>
      </c>
      <c r="J27" s="87">
        <v>648.54999999999995</v>
      </c>
      <c r="K27" s="87">
        <v>181.23</v>
      </c>
      <c r="L27" s="87">
        <v>0</v>
      </c>
      <c r="M27" s="87">
        <v>2.1815818274485399</v>
      </c>
      <c r="N27" s="87">
        <v>0</v>
      </c>
      <c r="O27" s="87">
        <v>0</v>
      </c>
      <c r="P27" s="87">
        <v>0</v>
      </c>
      <c r="Q27" s="87">
        <v>0</v>
      </c>
      <c r="R27" s="87">
        <v>0</v>
      </c>
      <c r="S27" s="87">
        <v>0</v>
      </c>
      <c r="T27" s="87">
        <v>0</v>
      </c>
      <c r="U27" s="87">
        <v>0</v>
      </c>
      <c r="V27" s="87">
        <v>0</v>
      </c>
      <c r="W27" s="87">
        <v>0</v>
      </c>
      <c r="X27" s="87">
        <v>138.08858925761001</v>
      </c>
      <c r="Y27" s="87">
        <v>0</v>
      </c>
      <c r="Z27" s="87">
        <v>0</v>
      </c>
      <c r="AA27" s="87">
        <v>479.03356236884099</v>
      </c>
      <c r="AB27" s="87">
        <v>0</v>
      </c>
      <c r="AC27" s="87">
        <v>0</v>
      </c>
      <c r="AD27" s="87">
        <v>28.258993065327498</v>
      </c>
      <c r="AE27" s="87">
        <v>0.99134382082276296</v>
      </c>
      <c r="AF27" s="87">
        <v>0</v>
      </c>
      <c r="AG27" s="87">
        <v>0</v>
      </c>
      <c r="AH27" s="87">
        <v>0</v>
      </c>
      <c r="AI27" s="87">
        <v>-14.8002535682764</v>
      </c>
      <c r="AJ27" s="87">
        <v>0</v>
      </c>
      <c r="AK27" s="87">
        <v>24.598065212554399</v>
      </c>
      <c r="AL27" s="87">
        <v>0</v>
      </c>
      <c r="AM27" s="87">
        <v>165.62458201564101</v>
      </c>
      <c r="AN27" s="87">
        <v>0</v>
      </c>
      <c r="AO27" s="87">
        <v>0</v>
      </c>
      <c r="AP27" s="87">
        <v>0</v>
      </c>
      <c r="AQ27" s="87">
        <v>0</v>
      </c>
      <c r="AR27" s="88">
        <v>5.81021785093305</v>
      </c>
    </row>
    <row r="28" spans="2:44" ht="12" customHeight="1" x14ac:dyDescent="0.25">
      <c r="B28" s="86" t="s">
        <v>22</v>
      </c>
      <c r="C28" s="87" t="s">
        <v>88</v>
      </c>
      <c r="D28" s="87" t="s">
        <v>24</v>
      </c>
      <c r="E28" s="87" t="s">
        <v>24</v>
      </c>
      <c r="F28" s="87" t="s">
        <v>25</v>
      </c>
      <c r="G28" s="87" t="s">
        <v>25</v>
      </c>
      <c r="H28" s="87" t="s">
        <v>73</v>
      </c>
      <c r="I28" s="87" t="s">
        <v>25</v>
      </c>
      <c r="J28" s="87">
        <v>752.68</v>
      </c>
      <c r="K28" s="87">
        <v>181.23</v>
      </c>
      <c r="L28" s="87">
        <v>0</v>
      </c>
      <c r="M28" s="87">
        <v>2.1815818274485399</v>
      </c>
      <c r="N28" s="87">
        <v>0</v>
      </c>
      <c r="O28" s="87">
        <v>0</v>
      </c>
      <c r="P28" s="87">
        <v>0</v>
      </c>
      <c r="Q28" s="87">
        <v>89.915749199252801</v>
      </c>
      <c r="R28" s="87">
        <v>14.2105668429519</v>
      </c>
      <c r="S28" s="87">
        <v>0</v>
      </c>
      <c r="T28" s="87">
        <v>0</v>
      </c>
      <c r="U28" s="87">
        <v>0</v>
      </c>
      <c r="V28" s="87">
        <v>0</v>
      </c>
      <c r="W28" s="87">
        <v>0</v>
      </c>
      <c r="X28" s="87">
        <v>138.08858925761001</v>
      </c>
      <c r="Y28" s="87">
        <v>0</v>
      </c>
      <c r="Z28" s="87">
        <v>0</v>
      </c>
      <c r="AA28" s="87">
        <v>479.03356236884099</v>
      </c>
      <c r="AB28" s="87">
        <v>0</v>
      </c>
      <c r="AC28" s="87">
        <v>0</v>
      </c>
      <c r="AD28" s="87">
        <v>28.258993065327498</v>
      </c>
      <c r="AE28" s="87">
        <v>0.99134382082276296</v>
      </c>
      <c r="AF28" s="87">
        <v>0</v>
      </c>
      <c r="AG28" s="87">
        <v>0</v>
      </c>
      <c r="AH28" s="87">
        <v>0</v>
      </c>
      <c r="AI28" s="87">
        <v>-14.8002535682764</v>
      </c>
      <c r="AJ28" s="87">
        <v>0</v>
      </c>
      <c r="AK28" s="87">
        <v>24.598065212554399</v>
      </c>
      <c r="AL28" s="87">
        <v>0</v>
      </c>
      <c r="AM28" s="87">
        <v>165.62458201564101</v>
      </c>
      <c r="AN28" s="87">
        <v>0</v>
      </c>
      <c r="AO28" s="87">
        <v>0</v>
      </c>
      <c r="AP28" s="87">
        <v>0</v>
      </c>
      <c r="AQ28" s="87">
        <v>0</v>
      </c>
      <c r="AR28" s="88">
        <v>5.81021785093305</v>
      </c>
    </row>
    <row r="29" spans="2:44" ht="12" customHeight="1" x14ac:dyDescent="0.25">
      <c r="B29" s="86" t="s">
        <v>41</v>
      </c>
      <c r="C29" s="87" t="s">
        <v>86</v>
      </c>
      <c r="D29" s="87" t="s">
        <v>42</v>
      </c>
      <c r="E29" s="87" t="s">
        <v>89</v>
      </c>
      <c r="F29" s="87" t="s">
        <v>25</v>
      </c>
      <c r="G29" s="87" t="s">
        <v>37</v>
      </c>
      <c r="H29" s="87" t="s">
        <v>73</v>
      </c>
      <c r="I29" s="87" t="s">
        <v>25</v>
      </c>
      <c r="J29" s="87">
        <v>1705.28</v>
      </c>
      <c r="K29" s="87">
        <v>170.36</v>
      </c>
      <c r="L29" s="87">
        <v>0</v>
      </c>
      <c r="M29" s="87">
        <v>2.0506869178016198</v>
      </c>
      <c r="N29" s="87">
        <v>0</v>
      </c>
      <c r="O29" s="87">
        <v>0</v>
      </c>
      <c r="P29" s="87">
        <v>0</v>
      </c>
      <c r="Q29" s="87">
        <v>84.520804247297605</v>
      </c>
      <c r="R29" s="87">
        <v>13.3579328323748</v>
      </c>
      <c r="S29" s="87">
        <v>0</v>
      </c>
      <c r="T29" s="87">
        <v>0</v>
      </c>
      <c r="U29" s="87">
        <v>0</v>
      </c>
      <c r="V29" s="87">
        <v>0</v>
      </c>
      <c r="W29" s="87">
        <v>0</v>
      </c>
      <c r="X29" s="87">
        <v>353.06482191084302</v>
      </c>
      <c r="Y29" s="87">
        <v>0</v>
      </c>
      <c r="Z29" s="87">
        <v>0</v>
      </c>
      <c r="AA29" s="87">
        <v>1224.7929488852401</v>
      </c>
      <c r="AB29" s="87">
        <v>0</v>
      </c>
      <c r="AC29" s="87">
        <v>0</v>
      </c>
      <c r="AD29" s="87">
        <v>26.563453481407802</v>
      </c>
      <c r="AE29" s="87">
        <v>0.93186319157339703</v>
      </c>
      <c r="AF29" s="87">
        <v>0</v>
      </c>
      <c r="AG29" s="87">
        <v>0</v>
      </c>
      <c r="AH29" s="87">
        <v>0</v>
      </c>
      <c r="AI29" s="87">
        <v>-13.9122383541798</v>
      </c>
      <c r="AJ29" s="87">
        <v>0</v>
      </c>
      <c r="AK29" s="87">
        <v>23.122181299801198</v>
      </c>
      <c r="AL29" s="87">
        <v>0</v>
      </c>
      <c r="AM29" s="87">
        <v>155.68710709470301</v>
      </c>
      <c r="AN29" s="87">
        <v>0</v>
      </c>
      <c r="AO29" s="87">
        <v>0</v>
      </c>
      <c r="AP29" s="87">
        <v>0</v>
      </c>
      <c r="AQ29" s="87">
        <v>0</v>
      </c>
      <c r="AR29" s="88">
        <v>5.4616047798770699</v>
      </c>
    </row>
    <row r="30" spans="2:44" ht="12" customHeight="1" x14ac:dyDescent="0.25">
      <c r="B30" s="86" t="s">
        <v>41</v>
      </c>
      <c r="C30" s="87" t="s">
        <v>86</v>
      </c>
      <c r="D30" s="87" t="s">
        <v>42</v>
      </c>
      <c r="E30" s="87" t="s">
        <v>89</v>
      </c>
      <c r="F30" s="87" t="s">
        <v>25</v>
      </c>
      <c r="G30" s="87" t="s">
        <v>535</v>
      </c>
      <c r="H30" s="87" t="s">
        <v>73</v>
      </c>
      <c r="I30" s="87" t="s">
        <v>25</v>
      </c>
      <c r="J30" s="87">
        <v>916.35</v>
      </c>
      <c r="K30" s="87">
        <v>170.36</v>
      </c>
      <c r="L30" s="87">
        <v>0</v>
      </c>
      <c r="M30" s="87">
        <v>2.0506869178016198</v>
      </c>
      <c r="N30" s="87">
        <v>0</v>
      </c>
      <c r="O30" s="87">
        <v>0</v>
      </c>
      <c r="P30" s="87">
        <v>0</v>
      </c>
      <c r="Q30" s="87">
        <v>84.520804247297605</v>
      </c>
      <c r="R30" s="87">
        <v>13.3579328323748</v>
      </c>
      <c r="S30" s="87">
        <v>0</v>
      </c>
      <c r="T30" s="87">
        <v>0</v>
      </c>
      <c r="U30" s="87">
        <v>0</v>
      </c>
      <c r="V30" s="87">
        <v>0</v>
      </c>
      <c r="W30" s="87">
        <v>0</v>
      </c>
      <c r="X30" s="87">
        <v>176.53241095542199</v>
      </c>
      <c r="Y30" s="87">
        <v>0</v>
      </c>
      <c r="Z30" s="87">
        <v>0</v>
      </c>
      <c r="AA30" s="87">
        <v>612.39652104513095</v>
      </c>
      <c r="AB30" s="87">
        <v>0</v>
      </c>
      <c r="AC30" s="87">
        <v>0</v>
      </c>
      <c r="AD30" s="87">
        <v>26.563453481407802</v>
      </c>
      <c r="AE30" s="87">
        <v>0.93186319157339703</v>
      </c>
      <c r="AF30" s="87">
        <v>0</v>
      </c>
      <c r="AG30" s="87">
        <v>0</v>
      </c>
      <c r="AH30" s="87">
        <v>0</v>
      </c>
      <c r="AI30" s="87">
        <v>-13.9122383541798</v>
      </c>
      <c r="AJ30" s="87">
        <v>0</v>
      </c>
      <c r="AK30" s="87">
        <v>23.122181299801198</v>
      </c>
      <c r="AL30" s="87">
        <v>0</v>
      </c>
      <c r="AM30" s="87">
        <v>155.68710709470301</v>
      </c>
      <c r="AN30" s="87">
        <v>0</v>
      </c>
      <c r="AO30" s="87">
        <v>0</v>
      </c>
      <c r="AP30" s="87">
        <v>0</v>
      </c>
      <c r="AQ30" s="87">
        <v>0</v>
      </c>
      <c r="AR30" s="88">
        <v>5.4616047798770699</v>
      </c>
    </row>
    <row r="31" spans="2:44" ht="12" customHeight="1" x14ac:dyDescent="0.25">
      <c r="B31" s="86" t="s">
        <v>41</v>
      </c>
      <c r="C31" s="87" t="s">
        <v>86</v>
      </c>
      <c r="D31" s="87" t="s">
        <v>42</v>
      </c>
      <c r="E31" s="87" t="s">
        <v>89</v>
      </c>
      <c r="F31" s="87" t="s">
        <v>25</v>
      </c>
      <c r="G31" s="87" t="s">
        <v>38</v>
      </c>
      <c r="H31" s="87" t="s">
        <v>73</v>
      </c>
      <c r="I31" s="87" t="s">
        <v>25</v>
      </c>
      <c r="J31" s="87">
        <v>521.89</v>
      </c>
      <c r="K31" s="87">
        <v>170.36</v>
      </c>
      <c r="L31" s="87">
        <v>0</v>
      </c>
      <c r="M31" s="87">
        <v>2.0506869178016198</v>
      </c>
      <c r="N31" s="87">
        <v>0</v>
      </c>
      <c r="O31" s="87">
        <v>0</v>
      </c>
      <c r="P31" s="87">
        <v>0</v>
      </c>
      <c r="Q31" s="87">
        <v>84.520804247297605</v>
      </c>
      <c r="R31" s="87">
        <v>13.3579328323748</v>
      </c>
      <c r="S31" s="87">
        <v>0</v>
      </c>
      <c r="T31" s="87">
        <v>0</v>
      </c>
      <c r="U31" s="87">
        <v>0</v>
      </c>
      <c r="V31" s="87">
        <v>0</v>
      </c>
      <c r="W31" s="87">
        <v>0</v>
      </c>
      <c r="X31" s="87">
        <v>88.266205477710798</v>
      </c>
      <c r="Y31" s="87">
        <v>0</v>
      </c>
      <c r="Z31" s="87">
        <v>0</v>
      </c>
      <c r="AA31" s="87">
        <v>306.19826052256502</v>
      </c>
      <c r="AB31" s="87">
        <v>0</v>
      </c>
      <c r="AC31" s="87">
        <v>0</v>
      </c>
      <c r="AD31" s="87">
        <v>26.563453481407802</v>
      </c>
      <c r="AE31" s="87">
        <v>0.93186319157339703</v>
      </c>
      <c r="AF31" s="87">
        <v>0</v>
      </c>
      <c r="AG31" s="87">
        <v>0</v>
      </c>
      <c r="AH31" s="87">
        <v>0</v>
      </c>
      <c r="AI31" s="87">
        <v>-13.9122383541798</v>
      </c>
      <c r="AJ31" s="87">
        <v>0</v>
      </c>
      <c r="AK31" s="87">
        <v>23.122181299801198</v>
      </c>
      <c r="AL31" s="87">
        <v>0</v>
      </c>
      <c r="AM31" s="87">
        <v>155.68710709470301</v>
      </c>
      <c r="AN31" s="87">
        <v>0</v>
      </c>
      <c r="AO31" s="87">
        <v>0</v>
      </c>
      <c r="AP31" s="87">
        <v>0</v>
      </c>
      <c r="AQ31" s="87">
        <v>0</v>
      </c>
      <c r="AR31" s="88">
        <v>5.4616047798770699</v>
      </c>
    </row>
    <row r="32" spans="2:44" ht="12" customHeight="1" x14ac:dyDescent="0.25">
      <c r="B32" s="86" t="s">
        <v>41</v>
      </c>
      <c r="C32" s="87" t="s">
        <v>86</v>
      </c>
      <c r="D32" s="87" t="s">
        <v>42</v>
      </c>
      <c r="E32" s="87" t="s">
        <v>25</v>
      </c>
      <c r="F32" s="87" t="s">
        <v>25</v>
      </c>
      <c r="G32" s="87" t="s">
        <v>37</v>
      </c>
      <c r="H32" s="87" t="s">
        <v>73</v>
      </c>
      <c r="I32" s="87" t="s">
        <v>25</v>
      </c>
      <c r="J32" s="87">
        <v>1705.28</v>
      </c>
      <c r="K32" s="87">
        <v>170.36</v>
      </c>
      <c r="L32" s="87">
        <v>0</v>
      </c>
      <c r="M32" s="87">
        <v>2.0506869178016198</v>
      </c>
      <c r="N32" s="87">
        <v>0</v>
      </c>
      <c r="O32" s="87">
        <v>0</v>
      </c>
      <c r="P32" s="87">
        <v>0</v>
      </c>
      <c r="Q32" s="87">
        <v>84.520804247297605</v>
      </c>
      <c r="R32" s="87">
        <v>13.3579328323748</v>
      </c>
      <c r="S32" s="87">
        <v>0</v>
      </c>
      <c r="T32" s="87">
        <v>0</v>
      </c>
      <c r="U32" s="87">
        <v>0</v>
      </c>
      <c r="V32" s="87">
        <v>0</v>
      </c>
      <c r="W32" s="87">
        <v>0</v>
      </c>
      <c r="X32" s="87">
        <v>353.06482191084302</v>
      </c>
      <c r="Y32" s="87">
        <v>0</v>
      </c>
      <c r="Z32" s="87">
        <v>0</v>
      </c>
      <c r="AA32" s="87">
        <v>1224.7929488852401</v>
      </c>
      <c r="AB32" s="87">
        <v>0</v>
      </c>
      <c r="AC32" s="87">
        <v>0</v>
      </c>
      <c r="AD32" s="87">
        <v>26.563453481407802</v>
      </c>
      <c r="AE32" s="87">
        <v>0.93186319157339703</v>
      </c>
      <c r="AF32" s="87">
        <v>0</v>
      </c>
      <c r="AG32" s="87">
        <v>0</v>
      </c>
      <c r="AH32" s="87">
        <v>0</v>
      </c>
      <c r="AI32" s="87">
        <v>-13.9122383541798</v>
      </c>
      <c r="AJ32" s="87">
        <v>0</v>
      </c>
      <c r="AK32" s="87">
        <v>23.122181299801198</v>
      </c>
      <c r="AL32" s="87">
        <v>0</v>
      </c>
      <c r="AM32" s="87">
        <v>155.68710709470301</v>
      </c>
      <c r="AN32" s="87">
        <v>0</v>
      </c>
      <c r="AO32" s="87">
        <v>0</v>
      </c>
      <c r="AP32" s="87">
        <v>0</v>
      </c>
      <c r="AQ32" s="87">
        <v>0</v>
      </c>
      <c r="AR32" s="88">
        <v>5.4616047798770699</v>
      </c>
    </row>
    <row r="33" spans="2:44" ht="12" customHeight="1" x14ac:dyDescent="0.25">
      <c r="B33" s="86" t="s">
        <v>41</v>
      </c>
      <c r="C33" s="87" t="s">
        <v>86</v>
      </c>
      <c r="D33" s="87" t="s">
        <v>42</v>
      </c>
      <c r="E33" s="87" t="s">
        <v>25</v>
      </c>
      <c r="F33" s="87" t="s">
        <v>25</v>
      </c>
      <c r="G33" s="87" t="s">
        <v>535</v>
      </c>
      <c r="H33" s="87" t="s">
        <v>73</v>
      </c>
      <c r="I33" s="87" t="s">
        <v>25</v>
      </c>
      <c r="J33" s="87">
        <v>916.35</v>
      </c>
      <c r="K33" s="87">
        <v>170.36</v>
      </c>
      <c r="L33" s="87">
        <v>0</v>
      </c>
      <c r="M33" s="87">
        <v>2.0506869178016198</v>
      </c>
      <c r="N33" s="87">
        <v>0</v>
      </c>
      <c r="O33" s="87">
        <v>0</v>
      </c>
      <c r="P33" s="87">
        <v>0</v>
      </c>
      <c r="Q33" s="87">
        <v>84.520804247297605</v>
      </c>
      <c r="R33" s="87">
        <v>13.3579328323748</v>
      </c>
      <c r="S33" s="87">
        <v>0</v>
      </c>
      <c r="T33" s="87">
        <v>0</v>
      </c>
      <c r="U33" s="87">
        <v>0</v>
      </c>
      <c r="V33" s="87">
        <v>0</v>
      </c>
      <c r="W33" s="87">
        <v>0</v>
      </c>
      <c r="X33" s="87">
        <v>176.53241095542199</v>
      </c>
      <c r="Y33" s="87">
        <v>0</v>
      </c>
      <c r="Z33" s="87">
        <v>0</v>
      </c>
      <c r="AA33" s="87">
        <v>612.39652104513095</v>
      </c>
      <c r="AB33" s="87">
        <v>0</v>
      </c>
      <c r="AC33" s="87">
        <v>0</v>
      </c>
      <c r="AD33" s="87">
        <v>26.563453481407802</v>
      </c>
      <c r="AE33" s="87">
        <v>0.93186319157339703</v>
      </c>
      <c r="AF33" s="87">
        <v>0</v>
      </c>
      <c r="AG33" s="87">
        <v>0</v>
      </c>
      <c r="AH33" s="87">
        <v>0</v>
      </c>
      <c r="AI33" s="87">
        <v>-13.9122383541798</v>
      </c>
      <c r="AJ33" s="87">
        <v>0</v>
      </c>
      <c r="AK33" s="87">
        <v>23.122181299801198</v>
      </c>
      <c r="AL33" s="87">
        <v>0</v>
      </c>
      <c r="AM33" s="87">
        <v>155.68710709470301</v>
      </c>
      <c r="AN33" s="87">
        <v>0</v>
      </c>
      <c r="AO33" s="87">
        <v>0</v>
      </c>
      <c r="AP33" s="87">
        <v>0</v>
      </c>
      <c r="AQ33" s="87">
        <v>0</v>
      </c>
      <c r="AR33" s="88">
        <v>5.4616047798770699</v>
      </c>
    </row>
    <row r="34" spans="2:44" ht="12" customHeight="1" x14ac:dyDescent="0.25">
      <c r="B34" s="86" t="s">
        <v>41</v>
      </c>
      <c r="C34" s="87" t="s">
        <v>86</v>
      </c>
      <c r="D34" s="87" t="s">
        <v>42</v>
      </c>
      <c r="E34" s="87" t="s">
        <v>25</v>
      </c>
      <c r="F34" s="87" t="s">
        <v>25</v>
      </c>
      <c r="G34" s="87" t="s">
        <v>38</v>
      </c>
      <c r="H34" s="87" t="s">
        <v>73</v>
      </c>
      <c r="I34" s="87" t="s">
        <v>25</v>
      </c>
      <c r="J34" s="87">
        <v>521.89</v>
      </c>
      <c r="K34" s="87">
        <v>170.36</v>
      </c>
      <c r="L34" s="87">
        <v>0</v>
      </c>
      <c r="M34" s="87">
        <v>2.0506869178016198</v>
      </c>
      <c r="N34" s="87">
        <v>0</v>
      </c>
      <c r="O34" s="87">
        <v>0</v>
      </c>
      <c r="P34" s="87">
        <v>0</v>
      </c>
      <c r="Q34" s="87">
        <v>84.520804247297605</v>
      </c>
      <c r="R34" s="87">
        <v>13.3579328323748</v>
      </c>
      <c r="S34" s="87">
        <v>0</v>
      </c>
      <c r="T34" s="87">
        <v>0</v>
      </c>
      <c r="U34" s="87">
        <v>0</v>
      </c>
      <c r="V34" s="87">
        <v>0</v>
      </c>
      <c r="W34" s="87">
        <v>0</v>
      </c>
      <c r="X34" s="87">
        <v>88.266205477710798</v>
      </c>
      <c r="Y34" s="87">
        <v>0</v>
      </c>
      <c r="Z34" s="87">
        <v>0</v>
      </c>
      <c r="AA34" s="87">
        <v>306.19826052256502</v>
      </c>
      <c r="AB34" s="87">
        <v>0</v>
      </c>
      <c r="AC34" s="87">
        <v>0</v>
      </c>
      <c r="AD34" s="87">
        <v>26.563453481407802</v>
      </c>
      <c r="AE34" s="87">
        <v>0.93186319157339703</v>
      </c>
      <c r="AF34" s="87">
        <v>0</v>
      </c>
      <c r="AG34" s="87">
        <v>0</v>
      </c>
      <c r="AH34" s="87">
        <v>0</v>
      </c>
      <c r="AI34" s="87">
        <v>-13.9122383541798</v>
      </c>
      <c r="AJ34" s="87">
        <v>0</v>
      </c>
      <c r="AK34" s="87">
        <v>23.122181299801198</v>
      </c>
      <c r="AL34" s="87">
        <v>0</v>
      </c>
      <c r="AM34" s="87">
        <v>155.68710709470301</v>
      </c>
      <c r="AN34" s="87">
        <v>0</v>
      </c>
      <c r="AO34" s="87">
        <v>0</v>
      </c>
      <c r="AP34" s="87">
        <v>0</v>
      </c>
      <c r="AQ34" s="87">
        <v>0</v>
      </c>
      <c r="AR34" s="88">
        <v>5.4616047798770699</v>
      </c>
    </row>
    <row r="35" spans="2:44" ht="12" customHeight="1" x14ac:dyDescent="0.25">
      <c r="B35" s="86" t="s">
        <v>41</v>
      </c>
      <c r="C35" s="87" t="s">
        <v>86</v>
      </c>
      <c r="D35" s="87" t="s">
        <v>42</v>
      </c>
      <c r="E35" s="87" t="s">
        <v>90</v>
      </c>
      <c r="F35" s="87" t="s">
        <v>25</v>
      </c>
      <c r="G35" s="87" t="s">
        <v>37</v>
      </c>
      <c r="H35" s="87" t="s">
        <v>73</v>
      </c>
      <c r="I35" s="87" t="s">
        <v>25</v>
      </c>
      <c r="J35" s="87">
        <v>1669</v>
      </c>
      <c r="K35" s="87">
        <v>166.73</v>
      </c>
      <c r="L35" s="87">
        <v>0</v>
      </c>
      <c r="M35" s="87">
        <v>2.0070552812526499</v>
      </c>
      <c r="N35" s="87">
        <v>0</v>
      </c>
      <c r="O35" s="87">
        <v>0</v>
      </c>
      <c r="P35" s="87">
        <v>0</v>
      </c>
      <c r="Q35" s="87">
        <v>82.722489263312497</v>
      </c>
      <c r="R35" s="87">
        <v>13.0737214955157</v>
      </c>
      <c r="S35" s="87">
        <v>0</v>
      </c>
      <c r="T35" s="87">
        <v>0</v>
      </c>
      <c r="U35" s="87">
        <v>0</v>
      </c>
      <c r="V35" s="87">
        <v>0</v>
      </c>
      <c r="W35" s="87">
        <v>0</v>
      </c>
      <c r="X35" s="87">
        <v>345.55280442337801</v>
      </c>
      <c r="Y35" s="87">
        <v>0</v>
      </c>
      <c r="Z35" s="87">
        <v>0</v>
      </c>
      <c r="AA35" s="87">
        <v>1198.73352444087</v>
      </c>
      <c r="AB35" s="87">
        <v>0</v>
      </c>
      <c r="AC35" s="87">
        <v>0</v>
      </c>
      <c r="AD35" s="87">
        <v>25.998273620101301</v>
      </c>
      <c r="AE35" s="87">
        <v>0.91203631515694195</v>
      </c>
      <c r="AF35" s="87">
        <v>0</v>
      </c>
      <c r="AG35" s="87">
        <v>0</v>
      </c>
      <c r="AH35" s="87">
        <v>0</v>
      </c>
      <c r="AI35" s="87">
        <v>-13.616233282814299</v>
      </c>
      <c r="AJ35" s="87">
        <v>0</v>
      </c>
      <c r="AK35" s="87">
        <v>22.6302199955501</v>
      </c>
      <c r="AL35" s="87">
        <v>0</v>
      </c>
      <c r="AM35" s="87">
        <v>152.37461545439001</v>
      </c>
      <c r="AN35" s="87">
        <v>0</v>
      </c>
      <c r="AO35" s="87">
        <v>0</v>
      </c>
      <c r="AP35" s="87">
        <v>0</v>
      </c>
      <c r="AQ35" s="87">
        <v>0</v>
      </c>
      <c r="AR35" s="88">
        <v>5.3454004228584102</v>
      </c>
    </row>
    <row r="36" spans="2:44" ht="12" customHeight="1" x14ac:dyDescent="0.25">
      <c r="B36" s="86" t="s">
        <v>41</v>
      </c>
      <c r="C36" s="87" t="s">
        <v>86</v>
      </c>
      <c r="D36" s="87" t="s">
        <v>42</v>
      </c>
      <c r="E36" s="87" t="s">
        <v>90</v>
      </c>
      <c r="F36" s="87" t="s">
        <v>25</v>
      </c>
      <c r="G36" s="87" t="s">
        <v>535</v>
      </c>
      <c r="H36" s="87" t="s">
        <v>73</v>
      </c>
      <c r="I36" s="87" t="s">
        <v>25</v>
      </c>
      <c r="J36" s="87">
        <v>896.86</v>
      </c>
      <c r="K36" s="87">
        <v>166.73</v>
      </c>
      <c r="L36" s="87">
        <v>0</v>
      </c>
      <c r="M36" s="87">
        <v>2.0070552812526499</v>
      </c>
      <c r="N36" s="87">
        <v>0</v>
      </c>
      <c r="O36" s="87">
        <v>0</v>
      </c>
      <c r="P36" s="87">
        <v>0</v>
      </c>
      <c r="Q36" s="87">
        <v>82.722489263312497</v>
      </c>
      <c r="R36" s="87">
        <v>13.0737214955157</v>
      </c>
      <c r="S36" s="87">
        <v>0</v>
      </c>
      <c r="T36" s="87">
        <v>0</v>
      </c>
      <c r="U36" s="87">
        <v>0</v>
      </c>
      <c r="V36" s="87">
        <v>0</v>
      </c>
      <c r="W36" s="87">
        <v>0</v>
      </c>
      <c r="X36" s="87">
        <v>172.776402211689</v>
      </c>
      <c r="Y36" s="87">
        <v>0</v>
      </c>
      <c r="Z36" s="87">
        <v>0</v>
      </c>
      <c r="AA36" s="87">
        <v>599.366807831404</v>
      </c>
      <c r="AB36" s="87">
        <v>0</v>
      </c>
      <c r="AC36" s="87">
        <v>0</v>
      </c>
      <c r="AD36" s="87">
        <v>25.998273620101301</v>
      </c>
      <c r="AE36" s="87">
        <v>0.91203631515694195</v>
      </c>
      <c r="AF36" s="87">
        <v>0</v>
      </c>
      <c r="AG36" s="87">
        <v>0</v>
      </c>
      <c r="AH36" s="87">
        <v>0</v>
      </c>
      <c r="AI36" s="87">
        <v>-13.616233282814299</v>
      </c>
      <c r="AJ36" s="87">
        <v>0</v>
      </c>
      <c r="AK36" s="87">
        <v>22.6302199955501</v>
      </c>
      <c r="AL36" s="87">
        <v>0</v>
      </c>
      <c r="AM36" s="87">
        <v>152.37461545439001</v>
      </c>
      <c r="AN36" s="87">
        <v>0</v>
      </c>
      <c r="AO36" s="87">
        <v>0</v>
      </c>
      <c r="AP36" s="87">
        <v>0</v>
      </c>
      <c r="AQ36" s="87">
        <v>0</v>
      </c>
      <c r="AR36" s="88">
        <v>5.3454004228584102</v>
      </c>
    </row>
    <row r="37" spans="2:44" ht="12" customHeight="1" x14ac:dyDescent="0.25">
      <c r="B37" s="86" t="s">
        <v>41</v>
      </c>
      <c r="C37" s="87" t="s">
        <v>86</v>
      </c>
      <c r="D37" s="87" t="s">
        <v>42</v>
      </c>
      <c r="E37" s="87" t="s">
        <v>90</v>
      </c>
      <c r="F37" s="87" t="s">
        <v>25</v>
      </c>
      <c r="G37" s="87" t="s">
        <v>38</v>
      </c>
      <c r="H37" s="87" t="s">
        <v>73</v>
      </c>
      <c r="I37" s="87" t="s">
        <v>25</v>
      </c>
      <c r="J37" s="87">
        <v>510.79</v>
      </c>
      <c r="K37" s="87">
        <v>166.73</v>
      </c>
      <c r="L37" s="87">
        <v>0</v>
      </c>
      <c r="M37" s="87">
        <v>2.0070552812526499</v>
      </c>
      <c r="N37" s="87">
        <v>0</v>
      </c>
      <c r="O37" s="87">
        <v>0</v>
      </c>
      <c r="P37" s="87">
        <v>0</v>
      </c>
      <c r="Q37" s="87">
        <v>82.722489263312497</v>
      </c>
      <c r="R37" s="87">
        <v>13.0737214955157</v>
      </c>
      <c r="S37" s="87">
        <v>0</v>
      </c>
      <c r="T37" s="87">
        <v>0</v>
      </c>
      <c r="U37" s="87">
        <v>0</v>
      </c>
      <c r="V37" s="87">
        <v>0</v>
      </c>
      <c r="W37" s="87">
        <v>0</v>
      </c>
      <c r="X37" s="87">
        <v>86.388201105844601</v>
      </c>
      <c r="Y37" s="87">
        <v>0</v>
      </c>
      <c r="Z37" s="87">
        <v>0</v>
      </c>
      <c r="AA37" s="87">
        <v>299.683403915702</v>
      </c>
      <c r="AB37" s="87">
        <v>0</v>
      </c>
      <c r="AC37" s="87">
        <v>0</v>
      </c>
      <c r="AD37" s="87">
        <v>25.998273620101301</v>
      </c>
      <c r="AE37" s="87">
        <v>0.91203631515694195</v>
      </c>
      <c r="AF37" s="87">
        <v>0</v>
      </c>
      <c r="AG37" s="87">
        <v>0</v>
      </c>
      <c r="AH37" s="87">
        <v>0</v>
      </c>
      <c r="AI37" s="87">
        <v>-13.616233282814299</v>
      </c>
      <c r="AJ37" s="87">
        <v>0</v>
      </c>
      <c r="AK37" s="87">
        <v>22.6302199955501</v>
      </c>
      <c r="AL37" s="87">
        <v>0</v>
      </c>
      <c r="AM37" s="87">
        <v>152.37461545439001</v>
      </c>
      <c r="AN37" s="87">
        <v>0</v>
      </c>
      <c r="AO37" s="87">
        <v>0</v>
      </c>
      <c r="AP37" s="87">
        <v>0</v>
      </c>
      <c r="AQ37" s="87">
        <v>0</v>
      </c>
      <c r="AR37" s="88">
        <v>5.3454004228584102</v>
      </c>
    </row>
    <row r="38" spans="2:44" ht="12" customHeight="1" x14ac:dyDescent="0.25">
      <c r="B38" s="86" t="s">
        <v>41</v>
      </c>
      <c r="C38" s="87" t="s">
        <v>23</v>
      </c>
      <c r="D38" s="87" t="s">
        <v>42</v>
      </c>
      <c r="E38" s="87" t="s">
        <v>89</v>
      </c>
      <c r="F38" s="87" t="s">
        <v>25</v>
      </c>
      <c r="G38" s="87" t="s">
        <v>25</v>
      </c>
      <c r="H38" s="87" t="s">
        <v>73</v>
      </c>
      <c r="I38" s="87" t="s">
        <v>25</v>
      </c>
      <c r="J38" s="87">
        <v>707.52</v>
      </c>
      <c r="K38" s="87">
        <v>170.36</v>
      </c>
      <c r="L38" s="87">
        <v>0</v>
      </c>
      <c r="M38" s="87">
        <v>2.0506869178016198</v>
      </c>
      <c r="N38" s="87">
        <v>0</v>
      </c>
      <c r="O38" s="87">
        <v>0</v>
      </c>
      <c r="P38" s="87">
        <v>0</v>
      </c>
      <c r="Q38" s="87">
        <v>84.520804247297605</v>
      </c>
      <c r="R38" s="87">
        <v>13.3579328323748</v>
      </c>
      <c r="S38" s="87">
        <v>0</v>
      </c>
      <c r="T38" s="87">
        <v>0</v>
      </c>
      <c r="U38" s="87">
        <v>0</v>
      </c>
      <c r="V38" s="87">
        <v>0</v>
      </c>
      <c r="W38" s="87">
        <v>0</v>
      </c>
      <c r="X38" s="87">
        <v>129.80327390215399</v>
      </c>
      <c r="Y38" s="87">
        <v>0</v>
      </c>
      <c r="Z38" s="87">
        <v>0</v>
      </c>
      <c r="AA38" s="87">
        <v>450.29154862671101</v>
      </c>
      <c r="AB38" s="87">
        <v>0</v>
      </c>
      <c r="AC38" s="87">
        <v>0</v>
      </c>
      <c r="AD38" s="87">
        <v>26.563453481407802</v>
      </c>
      <c r="AE38" s="87">
        <v>0.93186319157339703</v>
      </c>
      <c r="AF38" s="87">
        <v>0</v>
      </c>
      <c r="AG38" s="87">
        <v>0</v>
      </c>
      <c r="AH38" s="87">
        <v>0</v>
      </c>
      <c r="AI38" s="87">
        <v>-13.9122383541798</v>
      </c>
      <c r="AJ38" s="87">
        <v>0</v>
      </c>
      <c r="AK38" s="87">
        <v>23.122181299801198</v>
      </c>
      <c r="AL38" s="87">
        <v>0</v>
      </c>
      <c r="AM38" s="87">
        <v>155.68710709470301</v>
      </c>
      <c r="AN38" s="87">
        <v>0</v>
      </c>
      <c r="AO38" s="87">
        <v>0</v>
      </c>
      <c r="AP38" s="87">
        <v>0</v>
      </c>
      <c r="AQ38" s="87">
        <v>0</v>
      </c>
      <c r="AR38" s="88">
        <v>5.4616047798770699</v>
      </c>
    </row>
    <row r="39" spans="2:44" ht="12" customHeight="1" x14ac:dyDescent="0.25">
      <c r="B39" s="86" t="s">
        <v>41</v>
      </c>
      <c r="C39" s="87" t="s">
        <v>23</v>
      </c>
      <c r="D39" s="87" t="s">
        <v>42</v>
      </c>
      <c r="E39" s="87" t="s">
        <v>25</v>
      </c>
      <c r="F39" s="87" t="s">
        <v>25</v>
      </c>
      <c r="G39" s="87" t="s">
        <v>25</v>
      </c>
      <c r="H39" s="87" t="s">
        <v>73</v>
      </c>
      <c r="I39" s="87" t="s">
        <v>25</v>
      </c>
      <c r="J39" s="87">
        <v>707.52</v>
      </c>
      <c r="K39" s="87">
        <v>170.36</v>
      </c>
      <c r="L39" s="87">
        <v>0</v>
      </c>
      <c r="M39" s="87">
        <v>2.0506869178016198</v>
      </c>
      <c r="N39" s="87">
        <v>0</v>
      </c>
      <c r="O39" s="87">
        <v>0</v>
      </c>
      <c r="P39" s="87">
        <v>0</v>
      </c>
      <c r="Q39" s="87">
        <v>84.520804247297605</v>
      </c>
      <c r="R39" s="87">
        <v>13.3579328323748</v>
      </c>
      <c r="S39" s="87">
        <v>0</v>
      </c>
      <c r="T39" s="87">
        <v>0</v>
      </c>
      <c r="U39" s="87">
        <v>0</v>
      </c>
      <c r="V39" s="87">
        <v>0</v>
      </c>
      <c r="W39" s="87">
        <v>0</v>
      </c>
      <c r="X39" s="87">
        <v>129.80327390215399</v>
      </c>
      <c r="Y39" s="87">
        <v>0</v>
      </c>
      <c r="Z39" s="87">
        <v>0</v>
      </c>
      <c r="AA39" s="87">
        <v>450.29154862671101</v>
      </c>
      <c r="AB39" s="87">
        <v>0</v>
      </c>
      <c r="AC39" s="87">
        <v>0</v>
      </c>
      <c r="AD39" s="87">
        <v>26.563453481407802</v>
      </c>
      <c r="AE39" s="87">
        <v>0.93186319157339703</v>
      </c>
      <c r="AF39" s="87">
        <v>0</v>
      </c>
      <c r="AG39" s="87">
        <v>0</v>
      </c>
      <c r="AH39" s="87">
        <v>0</v>
      </c>
      <c r="AI39" s="87">
        <v>-13.9122383541798</v>
      </c>
      <c r="AJ39" s="87">
        <v>0</v>
      </c>
      <c r="AK39" s="87">
        <v>23.122181299801198</v>
      </c>
      <c r="AL39" s="87">
        <v>0</v>
      </c>
      <c r="AM39" s="87">
        <v>155.68710709470301</v>
      </c>
      <c r="AN39" s="87">
        <v>0</v>
      </c>
      <c r="AO39" s="87">
        <v>0</v>
      </c>
      <c r="AP39" s="87">
        <v>0</v>
      </c>
      <c r="AQ39" s="87">
        <v>0</v>
      </c>
      <c r="AR39" s="88">
        <v>5.4616047798770699</v>
      </c>
    </row>
    <row r="40" spans="2:44" ht="12" customHeight="1" x14ac:dyDescent="0.25">
      <c r="B40" s="86" t="s">
        <v>41</v>
      </c>
      <c r="C40" s="87" t="s">
        <v>23</v>
      </c>
      <c r="D40" s="87" t="s">
        <v>42</v>
      </c>
      <c r="E40" s="87" t="s">
        <v>90</v>
      </c>
      <c r="F40" s="87" t="s">
        <v>25</v>
      </c>
      <c r="G40" s="87" t="s">
        <v>25</v>
      </c>
      <c r="H40" s="87" t="s">
        <v>73</v>
      </c>
      <c r="I40" s="87" t="s">
        <v>25</v>
      </c>
      <c r="J40" s="87">
        <v>692.47</v>
      </c>
      <c r="K40" s="87">
        <v>166.73</v>
      </c>
      <c r="L40" s="87">
        <v>0</v>
      </c>
      <c r="M40" s="87">
        <v>2.0070552812526499</v>
      </c>
      <c r="N40" s="87">
        <v>0</v>
      </c>
      <c r="O40" s="87">
        <v>0</v>
      </c>
      <c r="P40" s="87">
        <v>0</v>
      </c>
      <c r="Q40" s="87">
        <v>82.722489263312497</v>
      </c>
      <c r="R40" s="87">
        <v>13.0737214955157</v>
      </c>
      <c r="S40" s="87">
        <v>0</v>
      </c>
      <c r="T40" s="87">
        <v>0</v>
      </c>
      <c r="U40" s="87">
        <v>0</v>
      </c>
      <c r="V40" s="87">
        <v>0</v>
      </c>
      <c r="W40" s="87">
        <v>0</v>
      </c>
      <c r="X40" s="87">
        <v>127.041502117002</v>
      </c>
      <c r="Y40" s="87">
        <v>0</v>
      </c>
      <c r="Z40" s="87">
        <v>0</v>
      </c>
      <c r="AA40" s="87">
        <v>440.71087737933402</v>
      </c>
      <c r="AB40" s="87">
        <v>0</v>
      </c>
      <c r="AC40" s="87">
        <v>0</v>
      </c>
      <c r="AD40" s="87">
        <v>25.998273620101301</v>
      </c>
      <c r="AE40" s="87">
        <v>0.91203631515694195</v>
      </c>
      <c r="AF40" s="87">
        <v>0</v>
      </c>
      <c r="AG40" s="87">
        <v>0</v>
      </c>
      <c r="AH40" s="87">
        <v>0</v>
      </c>
      <c r="AI40" s="87">
        <v>-13.616233282814299</v>
      </c>
      <c r="AJ40" s="87">
        <v>0</v>
      </c>
      <c r="AK40" s="87">
        <v>22.6302199955501</v>
      </c>
      <c r="AL40" s="87">
        <v>0</v>
      </c>
      <c r="AM40" s="87">
        <v>152.37461545439001</v>
      </c>
      <c r="AN40" s="87">
        <v>0</v>
      </c>
      <c r="AO40" s="87">
        <v>0</v>
      </c>
      <c r="AP40" s="87">
        <v>0</v>
      </c>
      <c r="AQ40" s="87">
        <v>0</v>
      </c>
      <c r="AR40" s="88">
        <v>5.3454004228584102</v>
      </c>
    </row>
    <row r="41" spans="2:44" ht="12" customHeight="1" x14ac:dyDescent="0.25">
      <c r="B41" s="86" t="s">
        <v>41</v>
      </c>
      <c r="C41" s="87" t="s">
        <v>88</v>
      </c>
      <c r="D41" s="87" t="s">
        <v>42</v>
      </c>
      <c r="E41" s="87" t="s">
        <v>89</v>
      </c>
      <c r="F41" s="87" t="s">
        <v>25</v>
      </c>
      <c r="G41" s="87" t="s">
        <v>25</v>
      </c>
      <c r="H41" s="87" t="s">
        <v>73</v>
      </c>
      <c r="I41" s="87" t="s">
        <v>25</v>
      </c>
      <c r="J41" s="87">
        <v>707.52</v>
      </c>
      <c r="K41" s="87">
        <v>170.36</v>
      </c>
      <c r="L41" s="87">
        <v>0</v>
      </c>
      <c r="M41" s="87">
        <v>2.0506869178016198</v>
      </c>
      <c r="N41" s="87">
        <v>0</v>
      </c>
      <c r="O41" s="87">
        <v>0</v>
      </c>
      <c r="P41" s="87">
        <v>0</v>
      </c>
      <c r="Q41" s="87">
        <v>84.520804247297605</v>
      </c>
      <c r="R41" s="87">
        <v>13.3579328323748</v>
      </c>
      <c r="S41" s="87">
        <v>0</v>
      </c>
      <c r="T41" s="87">
        <v>0</v>
      </c>
      <c r="U41" s="87">
        <v>0</v>
      </c>
      <c r="V41" s="87">
        <v>0</v>
      </c>
      <c r="W41" s="87">
        <v>0</v>
      </c>
      <c r="X41" s="87">
        <v>129.80327390215399</v>
      </c>
      <c r="Y41" s="87">
        <v>0</v>
      </c>
      <c r="Z41" s="87">
        <v>0</v>
      </c>
      <c r="AA41" s="87">
        <v>450.29154862671101</v>
      </c>
      <c r="AB41" s="87">
        <v>0</v>
      </c>
      <c r="AC41" s="87">
        <v>0</v>
      </c>
      <c r="AD41" s="87">
        <v>26.563453481407802</v>
      </c>
      <c r="AE41" s="87">
        <v>0.93186319157339703</v>
      </c>
      <c r="AF41" s="87">
        <v>0</v>
      </c>
      <c r="AG41" s="87">
        <v>0</v>
      </c>
      <c r="AH41" s="87">
        <v>0</v>
      </c>
      <c r="AI41" s="87">
        <v>-13.9122383541798</v>
      </c>
      <c r="AJ41" s="87">
        <v>0</v>
      </c>
      <c r="AK41" s="87">
        <v>23.122181299801198</v>
      </c>
      <c r="AL41" s="87">
        <v>0</v>
      </c>
      <c r="AM41" s="87">
        <v>155.68710709470301</v>
      </c>
      <c r="AN41" s="87">
        <v>0</v>
      </c>
      <c r="AO41" s="87">
        <v>0</v>
      </c>
      <c r="AP41" s="87">
        <v>0</v>
      </c>
      <c r="AQ41" s="87">
        <v>0</v>
      </c>
      <c r="AR41" s="88">
        <v>5.4616047798770699</v>
      </c>
    </row>
    <row r="42" spans="2:44" ht="12" customHeight="1" x14ac:dyDescent="0.25">
      <c r="B42" s="86" t="s">
        <v>41</v>
      </c>
      <c r="C42" s="87" t="s">
        <v>88</v>
      </c>
      <c r="D42" s="87" t="s">
        <v>42</v>
      </c>
      <c r="E42" s="87" t="s">
        <v>25</v>
      </c>
      <c r="F42" s="87" t="s">
        <v>25</v>
      </c>
      <c r="G42" s="87" t="s">
        <v>25</v>
      </c>
      <c r="H42" s="87" t="s">
        <v>73</v>
      </c>
      <c r="I42" s="87" t="s">
        <v>25</v>
      </c>
      <c r="J42" s="87">
        <v>707.52</v>
      </c>
      <c r="K42" s="87">
        <v>170.36</v>
      </c>
      <c r="L42" s="87">
        <v>0</v>
      </c>
      <c r="M42" s="87">
        <v>2.0506869178016198</v>
      </c>
      <c r="N42" s="87">
        <v>0</v>
      </c>
      <c r="O42" s="87">
        <v>0</v>
      </c>
      <c r="P42" s="87">
        <v>0</v>
      </c>
      <c r="Q42" s="87">
        <v>84.520804247297605</v>
      </c>
      <c r="R42" s="87">
        <v>13.3579328323748</v>
      </c>
      <c r="S42" s="87">
        <v>0</v>
      </c>
      <c r="T42" s="87">
        <v>0</v>
      </c>
      <c r="U42" s="87">
        <v>0</v>
      </c>
      <c r="V42" s="87">
        <v>0</v>
      </c>
      <c r="W42" s="87">
        <v>0</v>
      </c>
      <c r="X42" s="87">
        <v>129.80327390215399</v>
      </c>
      <c r="Y42" s="87">
        <v>0</v>
      </c>
      <c r="Z42" s="87">
        <v>0</v>
      </c>
      <c r="AA42" s="87">
        <v>450.29154862671101</v>
      </c>
      <c r="AB42" s="87">
        <v>0</v>
      </c>
      <c r="AC42" s="87">
        <v>0</v>
      </c>
      <c r="AD42" s="87">
        <v>26.563453481407802</v>
      </c>
      <c r="AE42" s="87">
        <v>0.93186319157339703</v>
      </c>
      <c r="AF42" s="87">
        <v>0</v>
      </c>
      <c r="AG42" s="87">
        <v>0</v>
      </c>
      <c r="AH42" s="87">
        <v>0</v>
      </c>
      <c r="AI42" s="87">
        <v>-13.9122383541798</v>
      </c>
      <c r="AJ42" s="87">
        <v>0</v>
      </c>
      <c r="AK42" s="87">
        <v>23.122181299801198</v>
      </c>
      <c r="AL42" s="87">
        <v>0</v>
      </c>
      <c r="AM42" s="87">
        <v>155.68710709470301</v>
      </c>
      <c r="AN42" s="87">
        <v>0</v>
      </c>
      <c r="AO42" s="87">
        <v>0</v>
      </c>
      <c r="AP42" s="87">
        <v>0</v>
      </c>
      <c r="AQ42" s="87">
        <v>0</v>
      </c>
      <c r="AR42" s="88">
        <v>5.4616047798770699</v>
      </c>
    </row>
    <row r="43" spans="2:44" ht="12" customHeight="1" x14ac:dyDescent="0.25">
      <c r="B43" s="86" t="s">
        <v>41</v>
      </c>
      <c r="C43" s="87" t="s">
        <v>88</v>
      </c>
      <c r="D43" s="87" t="s">
        <v>42</v>
      </c>
      <c r="E43" s="87" t="s">
        <v>90</v>
      </c>
      <c r="F43" s="87" t="s">
        <v>25</v>
      </c>
      <c r="G43" s="87" t="s">
        <v>25</v>
      </c>
      <c r="H43" s="87" t="s">
        <v>73</v>
      </c>
      <c r="I43" s="87" t="s">
        <v>25</v>
      </c>
      <c r="J43" s="87">
        <v>692.47</v>
      </c>
      <c r="K43" s="87">
        <v>166.73</v>
      </c>
      <c r="L43" s="87">
        <v>0</v>
      </c>
      <c r="M43" s="87">
        <v>2.0070552812526499</v>
      </c>
      <c r="N43" s="87">
        <v>0</v>
      </c>
      <c r="O43" s="87">
        <v>0</v>
      </c>
      <c r="P43" s="87">
        <v>0</v>
      </c>
      <c r="Q43" s="87">
        <v>82.722489263312497</v>
      </c>
      <c r="R43" s="87">
        <v>13.0737214955157</v>
      </c>
      <c r="S43" s="87">
        <v>0</v>
      </c>
      <c r="T43" s="87">
        <v>0</v>
      </c>
      <c r="U43" s="87">
        <v>0</v>
      </c>
      <c r="V43" s="87">
        <v>0</v>
      </c>
      <c r="W43" s="87">
        <v>0</v>
      </c>
      <c r="X43" s="87">
        <v>127.041502117002</v>
      </c>
      <c r="Y43" s="87">
        <v>0</v>
      </c>
      <c r="Z43" s="87">
        <v>0</v>
      </c>
      <c r="AA43" s="87">
        <v>440.71087737933402</v>
      </c>
      <c r="AB43" s="87">
        <v>0</v>
      </c>
      <c r="AC43" s="87">
        <v>0</v>
      </c>
      <c r="AD43" s="87">
        <v>25.998273620101301</v>
      </c>
      <c r="AE43" s="87">
        <v>0.91203631515694195</v>
      </c>
      <c r="AF43" s="87">
        <v>0</v>
      </c>
      <c r="AG43" s="87">
        <v>0</v>
      </c>
      <c r="AH43" s="87">
        <v>0</v>
      </c>
      <c r="AI43" s="87">
        <v>-13.616233282814299</v>
      </c>
      <c r="AJ43" s="87">
        <v>0</v>
      </c>
      <c r="AK43" s="87">
        <v>22.6302199955501</v>
      </c>
      <c r="AL43" s="87">
        <v>0</v>
      </c>
      <c r="AM43" s="87">
        <v>152.37461545439001</v>
      </c>
      <c r="AN43" s="87">
        <v>0</v>
      </c>
      <c r="AO43" s="87">
        <v>0</v>
      </c>
      <c r="AP43" s="87">
        <v>0</v>
      </c>
      <c r="AQ43" s="87">
        <v>0</v>
      </c>
      <c r="AR43" s="88">
        <v>5.3454004228584102</v>
      </c>
    </row>
    <row r="44" spans="2:44" ht="12" customHeight="1" x14ac:dyDescent="0.25">
      <c r="B44" s="86" t="s">
        <v>33</v>
      </c>
      <c r="C44" s="87" t="s">
        <v>86</v>
      </c>
      <c r="D44" s="87" t="s">
        <v>25</v>
      </c>
      <c r="E44" s="87" t="s">
        <v>25</v>
      </c>
      <c r="F44" s="87" t="s">
        <v>25</v>
      </c>
      <c r="G44" s="87" t="s">
        <v>37</v>
      </c>
      <c r="H44" s="87" t="s">
        <v>73</v>
      </c>
      <c r="I44" s="87" t="s">
        <v>25</v>
      </c>
      <c r="J44" s="87">
        <v>2141.21</v>
      </c>
      <c r="K44" s="87">
        <v>181.23</v>
      </c>
      <c r="L44" s="87">
        <v>0</v>
      </c>
      <c r="M44" s="87">
        <v>2.1815818274485399</v>
      </c>
      <c r="N44" s="87">
        <v>0</v>
      </c>
      <c r="O44" s="87">
        <v>0</v>
      </c>
      <c r="P44" s="87">
        <v>0</v>
      </c>
      <c r="Q44" s="87">
        <v>89.915749199252801</v>
      </c>
      <c r="R44" s="87">
        <v>14.2105668429519</v>
      </c>
      <c r="S44" s="87">
        <v>0</v>
      </c>
      <c r="T44" s="87">
        <v>0</v>
      </c>
      <c r="U44" s="87">
        <v>0</v>
      </c>
      <c r="V44" s="87">
        <v>0</v>
      </c>
      <c r="W44" s="87">
        <v>0</v>
      </c>
      <c r="X44" s="87">
        <v>448.78788745990198</v>
      </c>
      <c r="Y44" s="87">
        <v>0</v>
      </c>
      <c r="Z44" s="87">
        <v>0</v>
      </c>
      <c r="AA44" s="87">
        <v>1556.85902812159</v>
      </c>
      <c r="AB44" s="87">
        <v>0</v>
      </c>
      <c r="AC44" s="87">
        <v>0</v>
      </c>
      <c r="AD44" s="87">
        <v>28.258993065327498</v>
      </c>
      <c r="AE44" s="87">
        <v>0.99134382082276296</v>
      </c>
      <c r="AF44" s="87">
        <v>0</v>
      </c>
      <c r="AG44" s="87">
        <v>0</v>
      </c>
      <c r="AH44" s="87">
        <v>0</v>
      </c>
      <c r="AI44" s="87">
        <v>-14.8002535682764</v>
      </c>
      <c r="AJ44" s="87">
        <v>0</v>
      </c>
      <c r="AK44" s="87">
        <v>24.598065212554399</v>
      </c>
      <c r="AL44" s="87">
        <v>0</v>
      </c>
      <c r="AM44" s="87">
        <v>165.62458201564101</v>
      </c>
      <c r="AN44" s="87">
        <v>0</v>
      </c>
      <c r="AO44" s="87">
        <v>0</v>
      </c>
      <c r="AP44" s="87">
        <v>0</v>
      </c>
      <c r="AQ44" s="87">
        <v>0</v>
      </c>
      <c r="AR44" s="88">
        <v>5.81021785093305</v>
      </c>
    </row>
    <row r="45" spans="2:44" ht="12" customHeight="1" x14ac:dyDescent="0.25">
      <c r="B45" s="86" t="s">
        <v>33</v>
      </c>
      <c r="C45" s="87" t="s">
        <v>86</v>
      </c>
      <c r="D45" s="87" t="s">
        <v>25</v>
      </c>
      <c r="E45" s="87" t="s">
        <v>25</v>
      </c>
      <c r="F45" s="87" t="s">
        <v>25</v>
      </c>
      <c r="G45" s="87" t="s">
        <v>535</v>
      </c>
      <c r="H45" s="87" t="s">
        <v>73</v>
      </c>
      <c r="I45" s="87" t="s">
        <v>25</v>
      </c>
      <c r="J45" s="87">
        <v>1338.95</v>
      </c>
      <c r="K45" s="87">
        <v>181.23</v>
      </c>
      <c r="L45" s="87">
        <v>0</v>
      </c>
      <c r="M45" s="87">
        <v>2.1815818274485399</v>
      </c>
      <c r="N45" s="87">
        <v>0</v>
      </c>
      <c r="O45" s="87">
        <v>0</v>
      </c>
      <c r="P45" s="87">
        <v>0</v>
      </c>
      <c r="Q45" s="87">
        <v>89.915749199252801</v>
      </c>
      <c r="R45" s="87">
        <v>14.2105668429519</v>
      </c>
      <c r="S45" s="87">
        <v>0</v>
      </c>
      <c r="T45" s="87">
        <v>0</v>
      </c>
      <c r="U45" s="87">
        <v>0</v>
      </c>
      <c r="V45" s="87">
        <v>0</v>
      </c>
      <c r="W45" s="87">
        <v>0</v>
      </c>
      <c r="X45" s="87">
        <v>269.272666170344</v>
      </c>
      <c r="Y45" s="87">
        <v>0</v>
      </c>
      <c r="Z45" s="87">
        <v>0</v>
      </c>
      <c r="AA45" s="87">
        <v>934.11541687295698</v>
      </c>
      <c r="AB45" s="87">
        <v>0</v>
      </c>
      <c r="AC45" s="87">
        <v>0</v>
      </c>
      <c r="AD45" s="87">
        <v>28.258993065327498</v>
      </c>
      <c r="AE45" s="87">
        <v>0.99134382082276296</v>
      </c>
      <c r="AF45" s="87">
        <v>0</v>
      </c>
      <c r="AG45" s="87">
        <v>0</v>
      </c>
      <c r="AH45" s="87">
        <v>0</v>
      </c>
      <c r="AI45" s="87">
        <v>-14.8002535682764</v>
      </c>
      <c r="AJ45" s="87">
        <v>0</v>
      </c>
      <c r="AK45" s="87">
        <v>24.598065212554399</v>
      </c>
      <c r="AL45" s="87">
        <v>0</v>
      </c>
      <c r="AM45" s="87">
        <v>165.62458201564101</v>
      </c>
      <c r="AN45" s="87">
        <v>0</v>
      </c>
      <c r="AO45" s="87">
        <v>0</v>
      </c>
      <c r="AP45" s="87">
        <v>0</v>
      </c>
      <c r="AQ45" s="87">
        <v>0</v>
      </c>
      <c r="AR45" s="88">
        <v>5.81021785093305</v>
      </c>
    </row>
    <row r="46" spans="2:44" ht="12" customHeight="1" x14ac:dyDescent="0.25">
      <c r="B46" s="86" t="s">
        <v>33</v>
      </c>
      <c r="C46" s="87" t="s">
        <v>86</v>
      </c>
      <c r="D46" s="87" t="s">
        <v>25</v>
      </c>
      <c r="E46" s="87" t="s">
        <v>25</v>
      </c>
      <c r="F46" s="87" t="s">
        <v>25</v>
      </c>
      <c r="G46" s="87" t="s">
        <v>38</v>
      </c>
      <c r="H46" s="87" t="s">
        <v>73</v>
      </c>
      <c r="I46" s="87" t="s">
        <v>25</v>
      </c>
      <c r="J46" s="87">
        <v>536.69000000000005</v>
      </c>
      <c r="K46" s="87">
        <v>181.23</v>
      </c>
      <c r="L46" s="87">
        <v>0</v>
      </c>
      <c r="M46" s="87">
        <v>2.1815818274485399</v>
      </c>
      <c r="N46" s="87">
        <v>0</v>
      </c>
      <c r="O46" s="87">
        <v>0</v>
      </c>
      <c r="P46" s="87">
        <v>0</v>
      </c>
      <c r="Q46" s="87">
        <v>89.915749199252801</v>
      </c>
      <c r="R46" s="87">
        <v>14.2105668429519</v>
      </c>
      <c r="S46" s="87">
        <v>0</v>
      </c>
      <c r="T46" s="87">
        <v>0</v>
      </c>
      <c r="U46" s="87">
        <v>0</v>
      </c>
      <c r="V46" s="87">
        <v>0</v>
      </c>
      <c r="W46" s="87">
        <v>0</v>
      </c>
      <c r="X46" s="87">
        <v>89.757555390114604</v>
      </c>
      <c r="Y46" s="87">
        <v>0</v>
      </c>
      <c r="Z46" s="87">
        <v>0</v>
      </c>
      <c r="AA46" s="87">
        <v>311.37180562431899</v>
      </c>
      <c r="AB46" s="87">
        <v>0</v>
      </c>
      <c r="AC46" s="87">
        <v>0</v>
      </c>
      <c r="AD46" s="87">
        <v>28.258993065327498</v>
      </c>
      <c r="AE46" s="87">
        <v>0.99134382082276296</v>
      </c>
      <c r="AF46" s="87">
        <v>0</v>
      </c>
      <c r="AG46" s="87">
        <v>0</v>
      </c>
      <c r="AH46" s="87">
        <v>0</v>
      </c>
      <c r="AI46" s="87">
        <v>-14.8002535682764</v>
      </c>
      <c r="AJ46" s="87">
        <v>0</v>
      </c>
      <c r="AK46" s="87">
        <v>24.598065212554399</v>
      </c>
      <c r="AL46" s="87">
        <v>0</v>
      </c>
      <c r="AM46" s="87">
        <v>165.62458201564101</v>
      </c>
      <c r="AN46" s="87">
        <v>0</v>
      </c>
      <c r="AO46" s="87">
        <v>0</v>
      </c>
      <c r="AP46" s="87">
        <v>0</v>
      </c>
      <c r="AQ46" s="87">
        <v>0</v>
      </c>
      <c r="AR46" s="88">
        <v>5.81021785093305</v>
      </c>
    </row>
    <row r="47" spans="2:44" ht="12" customHeight="1" x14ac:dyDescent="0.25">
      <c r="B47" s="86" t="s">
        <v>33</v>
      </c>
      <c r="C47" s="87" t="s">
        <v>23</v>
      </c>
      <c r="D47" s="87" t="s">
        <v>25</v>
      </c>
      <c r="E47" s="87" t="s">
        <v>25</v>
      </c>
      <c r="F47" s="87" t="s">
        <v>25</v>
      </c>
      <c r="G47" s="87" t="s">
        <v>25</v>
      </c>
      <c r="H47" s="87" t="s">
        <v>73</v>
      </c>
      <c r="I47" s="87" t="s">
        <v>25</v>
      </c>
      <c r="J47" s="87">
        <v>752.68</v>
      </c>
      <c r="K47" s="87">
        <v>181.23</v>
      </c>
      <c r="L47" s="87">
        <v>0</v>
      </c>
      <c r="M47" s="87">
        <v>2.1815818274485399</v>
      </c>
      <c r="N47" s="87">
        <v>0</v>
      </c>
      <c r="O47" s="87">
        <v>0</v>
      </c>
      <c r="P47" s="87">
        <v>0</v>
      </c>
      <c r="Q47" s="87">
        <v>89.915749199252801</v>
      </c>
      <c r="R47" s="87">
        <v>14.2105668429519</v>
      </c>
      <c r="S47" s="87">
        <v>0</v>
      </c>
      <c r="T47" s="87">
        <v>0</v>
      </c>
      <c r="U47" s="87">
        <v>0</v>
      </c>
      <c r="V47" s="87">
        <v>0</v>
      </c>
      <c r="W47" s="87">
        <v>0</v>
      </c>
      <c r="X47" s="87">
        <v>138.08858925761001</v>
      </c>
      <c r="Y47" s="87">
        <v>0</v>
      </c>
      <c r="Z47" s="87">
        <v>0</v>
      </c>
      <c r="AA47" s="87">
        <v>479.03356236884099</v>
      </c>
      <c r="AB47" s="87">
        <v>0</v>
      </c>
      <c r="AC47" s="87">
        <v>0</v>
      </c>
      <c r="AD47" s="87">
        <v>28.258993065327498</v>
      </c>
      <c r="AE47" s="87">
        <v>0.99134382082276296</v>
      </c>
      <c r="AF47" s="87">
        <v>0</v>
      </c>
      <c r="AG47" s="87">
        <v>0</v>
      </c>
      <c r="AH47" s="87">
        <v>0</v>
      </c>
      <c r="AI47" s="87">
        <v>-14.8002535682764</v>
      </c>
      <c r="AJ47" s="87">
        <v>0</v>
      </c>
      <c r="AK47" s="87">
        <v>24.598065212554399</v>
      </c>
      <c r="AL47" s="87">
        <v>0</v>
      </c>
      <c r="AM47" s="87">
        <v>165.62458201564101</v>
      </c>
      <c r="AN47" s="87">
        <v>0</v>
      </c>
      <c r="AO47" s="87">
        <v>0</v>
      </c>
      <c r="AP47" s="87">
        <v>0</v>
      </c>
      <c r="AQ47" s="87">
        <v>0</v>
      </c>
      <c r="AR47" s="88">
        <v>5.81021785093305</v>
      </c>
    </row>
    <row r="48" spans="2:44" ht="12" customHeight="1" x14ac:dyDescent="0.25">
      <c r="B48" s="86" t="s">
        <v>33</v>
      </c>
      <c r="C48" s="87" t="s">
        <v>88</v>
      </c>
      <c r="D48" s="87" t="s">
        <v>25</v>
      </c>
      <c r="E48" s="87" t="s">
        <v>25</v>
      </c>
      <c r="F48" s="87" t="s">
        <v>25</v>
      </c>
      <c r="G48" s="87" t="s">
        <v>25</v>
      </c>
      <c r="H48" s="87" t="s">
        <v>73</v>
      </c>
      <c r="I48" s="87" t="s">
        <v>25</v>
      </c>
      <c r="J48" s="87">
        <v>752.68</v>
      </c>
      <c r="K48" s="87">
        <v>181.23</v>
      </c>
      <c r="L48" s="87">
        <v>0</v>
      </c>
      <c r="M48" s="87">
        <v>2.1815818274485399</v>
      </c>
      <c r="N48" s="87">
        <v>0</v>
      </c>
      <c r="O48" s="87">
        <v>0</v>
      </c>
      <c r="P48" s="87">
        <v>0</v>
      </c>
      <c r="Q48" s="87">
        <v>89.915749199252801</v>
      </c>
      <c r="R48" s="87">
        <v>14.2105668429519</v>
      </c>
      <c r="S48" s="87">
        <v>0</v>
      </c>
      <c r="T48" s="87">
        <v>0</v>
      </c>
      <c r="U48" s="87">
        <v>0</v>
      </c>
      <c r="V48" s="87">
        <v>0</v>
      </c>
      <c r="W48" s="87">
        <v>0</v>
      </c>
      <c r="X48" s="87">
        <v>138.08858925761001</v>
      </c>
      <c r="Y48" s="87">
        <v>0</v>
      </c>
      <c r="Z48" s="87">
        <v>0</v>
      </c>
      <c r="AA48" s="87">
        <v>479.03356236884099</v>
      </c>
      <c r="AB48" s="87">
        <v>0</v>
      </c>
      <c r="AC48" s="87">
        <v>0</v>
      </c>
      <c r="AD48" s="87">
        <v>28.258993065327498</v>
      </c>
      <c r="AE48" s="87">
        <v>0.99134382082276296</v>
      </c>
      <c r="AF48" s="87">
        <v>0</v>
      </c>
      <c r="AG48" s="87">
        <v>0</v>
      </c>
      <c r="AH48" s="87">
        <v>0</v>
      </c>
      <c r="AI48" s="87">
        <v>-14.8002535682764</v>
      </c>
      <c r="AJ48" s="87">
        <v>0</v>
      </c>
      <c r="AK48" s="87">
        <v>24.598065212554399</v>
      </c>
      <c r="AL48" s="87">
        <v>0</v>
      </c>
      <c r="AM48" s="87">
        <v>165.62458201564101</v>
      </c>
      <c r="AN48" s="87">
        <v>0</v>
      </c>
      <c r="AO48" s="87">
        <v>0</v>
      </c>
      <c r="AP48" s="87">
        <v>0</v>
      </c>
      <c r="AQ48" s="87">
        <v>0</v>
      </c>
      <c r="AR48" s="88">
        <v>5.81021785093305</v>
      </c>
    </row>
    <row r="49" spans="2:44" ht="12" customHeight="1" x14ac:dyDescent="0.25">
      <c r="B49" s="86" t="s">
        <v>44</v>
      </c>
      <c r="C49" s="87" t="s">
        <v>23</v>
      </c>
      <c r="D49" s="87" t="s">
        <v>45</v>
      </c>
      <c r="E49" s="87" t="s">
        <v>46</v>
      </c>
      <c r="F49" s="87" t="s">
        <v>25</v>
      </c>
      <c r="G49" s="87" t="s">
        <v>25</v>
      </c>
      <c r="H49" s="87" t="s">
        <v>73</v>
      </c>
      <c r="I49" s="87" t="s">
        <v>25</v>
      </c>
      <c r="J49" s="87">
        <v>413.97</v>
      </c>
      <c r="K49" s="87">
        <v>99.68</v>
      </c>
      <c r="L49" s="87">
        <v>0</v>
      </c>
      <c r="M49" s="87">
        <v>1.1998700050966999</v>
      </c>
      <c r="N49" s="87">
        <v>0</v>
      </c>
      <c r="O49" s="87">
        <v>0</v>
      </c>
      <c r="P49" s="87">
        <v>0</v>
      </c>
      <c r="Q49" s="87">
        <v>49.453662059589</v>
      </c>
      <c r="R49" s="87">
        <v>7.8158117636235502</v>
      </c>
      <c r="S49" s="87">
        <v>0</v>
      </c>
      <c r="T49" s="87">
        <v>0</v>
      </c>
      <c r="U49" s="87">
        <v>0</v>
      </c>
      <c r="V49" s="87">
        <v>0</v>
      </c>
      <c r="W49" s="87">
        <v>0</v>
      </c>
      <c r="X49" s="87">
        <v>75.948724091685705</v>
      </c>
      <c r="Y49" s="87">
        <v>0</v>
      </c>
      <c r="Z49" s="87">
        <v>0</v>
      </c>
      <c r="AA49" s="87">
        <v>263.46845930286298</v>
      </c>
      <c r="AB49" s="87">
        <v>0</v>
      </c>
      <c r="AC49" s="87">
        <v>0</v>
      </c>
      <c r="AD49" s="87">
        <v>15.5424461859301</v>
      </c>
      <c r="AE49" s="87">
        <v>0.54523910145251997</v>
      </c>
      <c r="AF49" s="87">
        <v>0</v>
      </c>
      <c r="AG49" s="87">
        <v>0</v>
      </c>
      <c r="AH49" s="87">
        <v>0</v>
      </c>
      <c r="AI49" s="87">
        <v>-8.1401394625520105</v>
      </c>
      <c r="AJ49" s="87">
        <v>0</v>
      </c>
      <c r="AK49" s="87">
        <v>13.5289358669049</v>
      </c>
      <c r="AL49" s="87">
        <v>0</v>
      </c>
      <c r="AM49" s="87">
        <v>91.093520108602803</v>
      </c>
      <c r="AN49" s="87">
        <v>0</v>
      </c>
      <c r="AO49" s="87">
        <v>0</v>
      </c>
      <c r="AP49" s="87">
        <v>0</v>
      </c>
      <c r="AQ49" s="87">
        <v>0</v>
      </c>
      <c r="AR49" s="88">
        <v>3.1956198180131801</v>
      </c>
    </row>
    <row r="50" spans="2:44" ht="12" customHeight="1" x14ac:dyDescent="0.25">
      <c r="B50" s="89" t="s">
        <v>44</v>
      </c>
      <c r="C50" s="90" t="s">
        <v>23</v>
      </c>
      <c r="D50" s="90" t="s">
        <v>45</v>
      </c>
      <c r="E50" s="90" t="s">
        <v>91</v>
      </c>
      <c r="F50" s="90" t="s">
        <v>25</v>
      </c>
      <c r="G50" s="90" t="s">
        <v>25</v>
      </c>
      <c r="H50" s="90" t="s">
        <v>73</v>
      </c>
      <c r="I50" s="90" t="s">
        <v>25</v>
      </c>
      <c r="J50" s="90">
        <v>451.61</v>
      </c>
      <c r="K50" s="90">
        <v>108.74</v>
      </c>
      <c r="L50" s="90">
        <v>0</v>
      </c>
      <c r="M50" s="90">
        <v>1.3089490964691199</v>
      </c>
      <c r="N50" s="90">
        <v>0</v>
      </c>
      <c r="O50" s="90">
        <v>0</v>
      </c>
      <c r="P50" s="90">
        <v>0</v>
      </c>
      <c r="Q50" s="90">
        <v>53.949449519551699</v>
      </c>
      <c r="R50" s="90">
        <v>8.5263401057711405</v>
      </c>
      <c r="S50" s="90">
        <v>0</v>
      </c>
      <c r="T50" s="90">
        <v>0</v>
      </c>
      <c r="U50" s="90">
        <v>0</v>
      </c>
      <c r="V50" s="90">
        <v>0</v>
      </c>
      <c r="W50" s="90">
        <v>0</v>
      </c>
      <c r="X50" s="90">
        <v>82.853153554566205</v>
      </c>
      <c r="Y50" s="90">
        <v>0</v>
      </c>
      <c r="Z50" s="90">
        <v>0</v>
      </c>
      <c r="AA50" s="90">
        <v>287.42013742130501</v>
      </c>
      <c r="AB50" s="90">
        <v>0</v>
      </c>
      <c r="AC50" s="90">
        <v>0</v>
      </c>
      <c r="AD50" s="90">
        <v>16.955395839196498</v>
      </c>
      <c r="AE50" s="90">
        <v>0.59480629249365802</v>
      </c>
      <c r="AF50" s="90">
        <v>0</v>
      </c>
      <c r="AG50" s="90">
        <v>0</v>
      </c>
      <c r="AH50" s="90">
        <v>0</v>
      </c>
      <c r="AI50" s="90">
        <v>-8.8801521409658299</v>
      </c>
      <c r="AJ50" s="90">
        <v>0</v>
      </c>
      <c r="AK50" s="90">
        <v>14.758839127532701</v>
      </c>
      <c r="AL50" s="90">
        <v>0</v>
      </c>
      <c r="AM50" s="90">
        <v>99.374749209384902</v>
      </c>
      <c r="AN50" s="90">
        <v>0</v>
      </c>
      <c r="AO50" s="90">
        <v>0</v>
      </c>
      <c r="AP50" s="90">
        <v>0</v>
      </c>
      <c r="AQ50" s="90">
        <v>0</v>
      </c>
      <c r="AR50" s="91">
        <v>3.4861307105598298</v>
      </c>
    </row>
  </sheetData>
  <mergeCells count="8">
    <mergeCell ref="L1:AG1"/>
    <mergeCell ref="AH1:AR1"/>
    <mergeCell ref="L2:S2"/>
    <mergeCell ref="T2:Z2"/>
    <mergeCell ref="AB2:AC2"/>
    <mergeCell ref="AD2:AG2"/>
    <mergeCell ref="AH2:AL2"/>
    <mergeCell ref="AN2:AQ2"/>
  </mergeCells>
  <phoneticPr fontId="1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DF1D-F476-4C65-8A3D-F5FFA4832777}">
  <dimension ref="B1:AR50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14.42578125" bestFit="1" customWidth="1"/>
    <col min="30" max="30" width="11.140625" bestFit="1" customWidth="1"/>
    <col min="31" max="31" width="17.7109375" bestFit="1" customWidth="1"/>
    <col min="32" max="32" width="12.5703125" bestFit="1" customWidth="1"/>
    <col min="33" max="33" width="10.7109375" bestFit="1" customWidth="1"/>
    <col min="34" max="34" width="16.5703125" bestFit="1" customWidth="1"/>
    <col min="35" max="35" width="14.5703125" bestFit="1" customWidth="1"/>
    <col min="36" max="36" width="9.85546875" bestFit="1" customWidth="1"/>
    <col min="37" max="37" width="12.5703125" bestFit="1" customWidth="1"/>
    <col min="38" max="38" width="12.28515625" bestFit="1" customWidth="1"/>
    <col min="39" max="39" width="14.140625" bestFit="1" customWidth="1"/>
    <col min="40" max="40" width="25.28515625" bestFit="1" customWidth="1"/>
    <col min="41" max="41" width="17.85546875" bestFit="1" customWidth="1"/>
    <col min="42" max="42" width="13.42578125" bestFit="1" customWidth="1"/>
    <col min="43" max="43" width="13.28515625" bestFit="1" customWidth="1"/>
    <col min="44" max="44" width="12.5703125" bestFit="1" customWidth="1"/>
  </cols>
  <sheetData>
    <row r="1" spans="2:44" ht="12" customHeight="1" x14ac:dyDescent="0.25">
      <c r="L1" s="128" t="s">
        <v>1064</v>
      </c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9"/>
      <c r="AH1" s="128" t="s">
        <v>1065</v>
      </c>
      <c r="AI1" s="128"/>
      <c r="AJ1" s="128"/>
      <c r="AK1" s="128"/>
      <c r="AL1" s="128"/>
      <c r="AM1" s="128"/>
      <c r="AN1" s="128"/>
      <c r="AO1" s="128"/>
      <c r="AP1" s="128"/>
      <c r="AQ1" s="128"/>
      <c r="AR1" s="128"/>
    </row>
    <row r="2" spans="2:44" ht="12" customHeight="1" x14ac:dyDescent="0.25">
      <c r="L2" s="130" t="s">
        <v>388</v>
      </c>
      <c r="M2" s="130"/>
      <c r="N2" s="130"/>
      <c r="O2" s="130"/>
      <c r="P2" s="130"/>
      <c r="Q2" s="130"/>
      <c r="R2" s="130"/>
      <c r="S2" s="131"/>
      <c r="T2" s="130" t="s">
        <v>397</v>
      </c>
      <c r="U2" s="130"/>
      <c r="V2" s="130"/>
      <c r="W2" s="130"/>
      <c r="X2" s="130"/>
      <c r="Y2" s="130"/>
      <c r="Z2" s="131"/>
      <c r="AA2" s="93" t="s">
        <v>405</v>
      </c>
      <c r="AB2" s="130" t="s">
        <v>25</v>
      </c>
      <c r="AC2" s="131"/>
      <c r="AD2" s="130" t="s">
        <v>1063</v>
      </c>
      <c r="AE2" s="130"/>
      <c r="AF2" s="130"/>
      <c r="AG2" s="131"/>
      <c r="AH2" s="130" t="s">
        <v>388</v>
      </c>
      <c r="AI2" s="130"/>
      <c r="AJ2" s="130"/>
      <c r="AK2" s="130"/>
      <c r="AL2" s="131"/>
      <c r="AM2" s="93" t="s">
        <v>419</v>
      </c>
      <c r="AN2" s="130" t="s">
        <v>397</v>
      </c>
      <c r="AO2" s="130"/>
      <c r="AP2" s="130"/>
      <c r="AQ2" s="131"/>
      <c r="AR2" s="92" t="s">
        <v>1063</v>
      </c>
    </row>
    <row r="3" spans="2:44" ht="12" customHeight="1" x14ac:dyDescent="0.25">
      <c r="B3" s="83" t="s">
        <v>63</v>
      </c>
      <c r="C3" s="84" t="s">
        <v>64</v>
      </c>
      <c r="D3" s="84" t="s">
        <v>65</v>
      </c>
      <c r="E3" s="84" t="s">
        <v>66</v>
      </c>
      <c r="F3" s="84" t="s">
        <v>67</v>
      </c>
      <c r="G3" s="84" t="s">
        <v>69</v>
      </c>
      <c r="H3" s="84" t="s">
        <v>70</v>
      </c>
      <c r="I3" s="84" t="s">
        <v>663</v>
      </c>
      <c r="J3" s="84" t="s">
        <v>1027</v>
      </c>
      <c r="K3" s="84" t="s">
        <v>1028</v>
      </c>
      <c r="L3" s="84" t="s">
        <v>1029</v>
      </c>
      <c r="M3" s="84" t="s">
        <v>1030</v>
      </c>
      <c r="N3" s="84" t="s">
        <v>1031</v>
      </c>
      <c r="O3" s="84" t="s">
        <v>1032</v>
      </c>
      <c r="P3" s="84" t="s">
        <v>1033</v>
      </c>
      <c r="Q3" s="84" t="s">
        <v>1034</v>
      </c>
      <c r="R3" s="84" t="s">
        <v>1035</v>
      </c>
      <c r="S3" s="84" t="s">
        <v>1036</v>
      </c>
      <c r="T3" s="84" t="s">
        <v>1037</v>
      </c>
      <c r="U3" s="84" t="s">
        <v>1038</v>
      </c>
      <c r="V3" s="84" t="s">
        <v>1039</v>
      </c>
      <c r="W3" s="84" t="s">
        <v>1040</v>
      </c>
      <c r="X3" s="84" t="s">
        <v>1041</v>
      </c>
      <c r="Y3" s="84" t="s">
        <v>1042</v>
      </c>
      <c r="Z3" s="84" t="s">
        <v>1043</v>
      </c>
      <c r="AA3" s="84" t="s">
        <v>1044</v>
      </c>
      <c r="AB3" s="84" t="s">
        <v>1045</v>
      </c>
      <c r="AC3" s="84" t="s">
        <v>1046</v>
      </c>
      <c r="AD3" s="84" t="s">
        <v>1047</v>
      </c>
      <c r="AE3" s="84" t="s">
        <v>1048</v>
      </c>
      <c r="AF3" s="84" t="s">
        <v>1049</v>
      </c>
      <c r="AG3" s="84" t="s">
        <v>1050</v>
      </c>
      <c r="AH3" s="84" t="s">
        <v>1051</v>
      </c>
      <c r="AI3" s="84" t="s">
        <v>1052</v>
      </c>
      <c r="AJ3" s="84" t="s">
        <v>1053</v>
      </c>
      <c r="AK3" s="84" t="s">
        <v>1054</v>
      </c>
      <c r="AL3" s="84" t="s">
        <v>1055</v>
      </c>
      <c r="AM3" s="84" t="s">
        <v>1056</v>
      </c>
      <c r="AN3" s="84" t="s">
        <v>1057</v>
      </c>
      <c r="AO3" s="84" t="s">
        <v>1058</v>
      </c>
      <c r="AP3" s="84" t="s">
        <v>1059</v>
      </c>
      <c r="AQ3" s="84" t="s">
        <v>1060</v>
      </c>
      <c r="AR3" s="85" t="s">
        <v>1061</v>
      </c>
    </row>
    <row r="4" spans="2:44" ht="12" customHeight="1" x14ac:dyDescent="0.25">
      <c r="B4" s="86" t="s">
        <v>35</v>
      </c>
      <c r="C4" s="87" t="s">
        <v>36</v>
      </c>
      <c r="D4" s="87" t="s">
        <v>25</v>
      </c>
      <c r="E4" s="87" t="s">
        <v>25</v>
      </c>
      <c r="F4" s="87" t="s">
        <v>81</v>
      </c>
      <c r="G4" s="87" t="s">
        <v>37</v>
      </c>
      <c r="H4" s="87" t="s">
        <v>73</v>
      </c>
      <c r="I4" s="87" t="s">
        <v>25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  <c r="P4" s="87">
        <v>0</v>
      </c>
      <c r="Q4" s="87">
        <v>0</v>
      </c>
      <c r="R4" s="87">
        <v>0</v>
      </c>
      <c r="S4" s="87">
        <v>0</v>
      </c>
      <c r="T4" s="87">
        <v>0</v>
      </c>
      <c r="U4" s="87">
        <v>0</v>
      </c>
      <c r="V4" s="87">
        <v>0</v>
      </c>
      <c r="W4" s="87">
        <v>0</v>
      </c>
      <c r="X4" s="87">
        <v>0</v>
      </c>
      <c r="Y4" s="87">
        <v>0</v>
      </c>
      <c r="Z4" s="87">
        <v>0</v>
      </c>
      <c r="AA4" s="87">
        <v>0</v>
      </c>
      <c r="AB4" s="87">
        <v>0</v>
      </c>
      <c r="AC4" s="87">
        <v>0</v>
      </c>
      <c r="AD4" s="87">
        <v>0</v>
      </c>
      <c r="AE4" s="87">
        <v>0</v>
      </c>
      <c r="AF4" s="87">
        <v>0</v>
      </c>
      <c r="AG4" s="87">
        <v>0</v>
      </c>
      <c r="AH4" s="87">
        <v>0</v>
      </c>
      <c r="AI4" s="87">
        <v>0</v>
      </c>
      <c r="AJ4" s="87">
        <v>0</v>
      </c>
      <c r="AK4" s="87">
        <v>0</v>
      </c>
      <c r="AL4" s="87">
        <v>0</v>
      </c>
      <c r="AM4" s="87">
        <v>0</v>
      </c>
      <c r="AN4" s="87">
        <v>0</v>
      </c>
      <c r="AO4" s="87">
        <v>0</v>
      </c>
      <c r="AP4" s="87">
        <v>0</v>
      </c>
      <c r="AQ4" s="87">
        <v>0</v>
      </c>
      <c r="AR4" s="88">
        <v>0</v>
      </c>
    </row>
    <row r="5" spans="2:44" ht="12" customHeight="1" x14ac:dyDescent="0.25">
      <c r="B5" s="86" t="s">
        <v>35</v>
      </c>
      <c r="C5" s="87" t="s">
        <v>36</v>
      </c>
      <c r="D5" s="87" t="s">
        <v>25</v>
      </c>
      <c r="E5" s="87" t="s">
        <v>25</v>
      </c>
      <c r="F5" s="87" t="s">
        <v>81</v>
      </c>
      <c r="G5" s="87" t="s">
        <v>37</v>
      </c>
      <c r="H5" s="87" t="s">
        <v>78</v>
      </c>
      <c r="I5" s="87" t="s">
        <v>25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  <c r="P5" s="87">
        <v>0</v>
      </c>
      <c r="Q5" s="87">
        <v>0</v>
      </c>
      <c r="R5" s="87">
        <v>0</v>
      </c>
      <c r="S5" s="87">
        <v>0</v>
      </c>
      <c r="T5" s="87">
        <v>0</v>
      </c>
      <c r="U5" s="87">
        <v>0</v>
      </c>
      <c r="V5" s="87">
        <v>0</v>
      </c>
      <c r="W5" s="87">
        <v>0</v>
      </c>
      <c r="X5" s="87">
        <v>0</v>
      </c>
      <c r="Y5" s="87">
        <v>0</v>
      </c>
      <c r="Z5" s="87">
        <v>0</v>
      </c>
      <c r="AA5" s="87">
        <v>0</v>
      </c>
      <c r="AB5" s="87">
        <v>0</v>
      </c>
      <c r="AC5" s="87">
        <v>0</v>
      </c>
      <c r="AD5" s="87">
        <v>0</v>
      </c>
      <c r="AE5" s="87">
        <v>0</v>
      </c>
      <c r="AF5" s="87">
        <v>0</v>
      </c>
      <c r="AG5" s="87">
        <v>0</v>
      </c>
      <c r="AH5" s="87">
        <v>0</v>
      </c>
      <c r="AI5" s="87">
        <v>0</v>
      </c>
      <c r="AJ5" s="87">
        <v>0</v>
      </c>
      <c r="AK5" s="87">
        <v>0</v>
      </c>
      <c r="AL5" s="87">
        <v>0</v>
      </c>
      <c r="AM5" s="87">
        <v>0</v>
      </c>
      <c r="AN5" s="87">
        <v>0</v>
      </c>
      <c r="AO5" s="87">
        <v>0</v>
      </c>
      <c r="AP5" s="87">
        <v>0</v>
      </c>
      <c r="AQ5" s="87">
        <v>0</v>
      </c>
      <c r="AR5" s="88">
        <v>0</v>
      </c>
    </row>
    <row r="6" spans="2:44" ht="12" customHeight="1" x14ac:dyDescent="0.25">
      <c r="B6" s="86" t="s">
        <v>35</v>
      </c>
      <c r="C6" s="87" t="s">
        <v>36</v>
      </c>
      <c r="D6" s="87" t="s">
        <v>25</v>
      </c>
      <c r="E6" s="87" t="s">
        <v>25</v>
      </c>
      <c r="F6" s="87" t="s">
        <v>81</v>
      </c>
      <c r="G6" s="87" t="s">
        <v>38</v>
      </c>
      <c r="H6" s="87" t="s">
        <v>73</v>
      </c>
      <c r="I6" s="87" t="s">
        <v>25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  <c r="P6" s="87">
        <v>0</v>
      </c>
      <c r="Q6" s="87">
        <v>0</v>
      </c>
      <c r="R6" s="87">
        <v>0</v>
      </c>
      <c r="S6" s="87">
        <v>0</v>
      </c>
      <c r="T6" s="87">
        <v>0</v>
      </c>
      <c r="U6" s="87">
        <v>0</v>
      </c>
      <c r="V6" s="87">
        <v>0</v>
      </c>
      <c r="W6" s="87">
        <v>0</v>
      </c>
      <c r="X6" s="87">
        <v>0</v>
      </c>
      <c r="Y6" s="87">
        <v>0</v>
      </c>
      <c r="Z6" s="87">
        <v>0</v>
      </c>
      <c r="AA6" s="87">
        <v>0</v>
      </c>
      <c r="AB6" s="87">
        <v>0</v>
      </c>
      <c r="AC6" s="87">
        <v>0</v>
      </c>
      <c r="AD6" s="87">
        <v>0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87">
        <v>0</v>
      </c>
      <c r="AL6" s="87">
        <v>0</v>
      </c>
      <c r="AM6" s="87">
        <v>0</v>
      </c>
      <c r="AN6" s="87">
        <v>0</v>
      </c>
      <c r="AO6" s="87">
        <v>0</v>
      </c>
      <c r="AP6" s="87">
        <v>0</v>
      </c>
      <c r="AQ6" s="87">
        <v>0</v>
      </c>
      <c r="AR6" s="88">
        <v>0</v>
      </c>
    </row>
    <row r="7" spans="2:44" ht="12" customHeight="1" x14ac:dyDescent="0.25">
      <c r="B7" s="86" t="s">
        <v>35</v>
      </c>
      <c r="C7" s="87" t="s">
        <v>36</v>
      </c>
      <c r="D7" s="87" t="s">
        <v>25</v>
      </c>
      <c r="E7" s="87" t="s">
        <v>25</v>
      </c>
      <c r="F7" s="87" t="s">
        <v>81</v>
      </c>
      <c r="G7" s="87" t="s">
        <v>38</v>
      </c>
      <c r="H7" s="87" t="s">
        <v>78</v>
      </c>
      <c r="I7" s="87" t="s">
        <v>25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  <c r="P7" s="87">
        <v>0</v>
      </c>
      <c r="Q7" s="87">
        <v>0</v>
      </c>
      <c r="R7" s="87">
        <v>0</v>
      </c>
      <c r="S7" s="87">
        <v>0</v>
      </c>
      <c r="T7" s="87">
        <v>0</v>
      </c>
      <c r="U7" s="87">
        <v>0</v>
      </c>
      <c r="V7" s="87">
        <v>0</v>
      </c>
      <c r="W7" s="87">
        <v>0</v>
      </c>
      <c r="X7" s="87">
        <v>0</v>
      </c>
      <c r="Y7" s="87">
        <v>0</v>
      </c>
      <c r="Z7" s="87">
        <v>0</v>
      </c>
      <c r="AA7" s="87">
        <v>0</v>
      </c>
      <c r="AB7" s="87">
        <v>0</v>
      </c>
      <c r="AC7" s="87">
        <v>0</v>
      </c>
      <c r="AD7" s="87">
        <v>0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0</v>
      </c>
      <c r="AN7" s="87">
        <v>0</v>
      </c>
      <c r="AO7" s="87">
        <v>0</v>
      </c>
      <c r="AP7" s="87">
        <v>0</v>
      </c>
      <c r="AQ7" s="87">
        <v>0</v>
      </c>
      <c r="AR7" s="88">
        <v>0</v>
      </c>
    </row>
    <row r="8" spans="2:44" ht="12" customHeight="1" x14ac:dyDescent="0.25">
      <c r="B8" s="86" t="s">
        <v>35</v>
      </c>
      <c r="C8" s="87" t="s">
        <v>36</v>
      </c>
      <c r="D8" s="87" t="s">
        <v>25</v>
      </c>
      <c r="E8" s="87" t="s">
        <v>25</v>
      </c>
      <c r="F8" s="87" t="s">
        <v>25</v>
      </c>
      <c r="G8" s="87" t="s">
        <v>37</v>
      </c>
      <c r="H8" s="87" t="s">
        <v>73</v>
      </c>
      <c r="I8" s="87" t="s">
        <v>25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  <c r="P8" s="87">
        <v>0</v>
      </c>
      <c r="Q8" s="87">
        <v>0</v>
      </c>
      <c r="R8" s="87">
        <v>0</v>
      </c>
      <c r="S8" s="87">
        <v>0</v>
      </c>
      <c r="T8" s="87">
        <v>0</v>
      </c>
      <c r="U8" s="87">
        <v>0</v>
      </c>
      <c r="V8" s="87">
        <v>0</v>
      </c>
      <c r="W8" s="87">
        <v>0</v>
      </c>
      <c r="X8" s="87">
        <v>0</v>
      </c>
      <c r="Y8" s="87">
        <v>0</v>
      </c>
      <c r="Z8" s="87">
        <v>0</v>
      </c>
      <c r="AA8" s="87">
        <v>0</v>
      </c>
      <c r="AB8" s="87">
        <v>0</v>
      </c>
      <c r="AC8" s="87">
        <v>0</v>
      </c>
      <c r="AD8" s="87">
        <v>0</v>
      </c>
      <c r="AE8" s="87">
        <v>0</v>
      </c>
      <c r="AF8" s="87">
        <v>0</v>
      </c>
      <c r="AG8" s="87">
        <v>0</v>
      </c>
      <c r="AH8" s="87">
        <v>0</v>
      </c>
      <c r="AI8" s="87">
        <v>0</v>
      </c>
      <c r="AJ8" s="87">
        <v>0</v>
      </c>
      <c r="AK8" s="87">
        <v>0</v>
      </c>
      <c r="AL8" s="87">
        <v>0</v>
      </c>
      <c r="AM8" s="87">
        <v>0</v>
      </c>
      <c r="AN8" s="87">
        <v>0</v>
      </c>
      <c r="AO8" s="87">
        <v>0</v>
      </c>
      <c r="AP8" s="87">
        <v>0</v>
      </c>
      <c r="AQ8" s="87">
        <v>0</v>
      </c>
      <c r="AR8" s="88">
        <v>0</v>
      </c>
    </row>
    <row r="9" spans="2:44" ht="12" customHeight="1" x14ac:dyDescent="0.25">
      <c r="B9" s="86" t="s">
        <v>35</v>
      </c>
      <c r="C9" s="87" t="s">
        <v>36</v>
      </c>
      <c r="D9" s="87" t="s">
        <v>25</v>
      </c>
      <c r="E9" s="87" t="s">
        <v>25</v>
      </c>
      <c r="F9" s="87" t="s">
        <v>25</v>
      </c>
      <c r="G9" s="87" t="s">
        <v>37</v>
      </c>
      <c r="H9" s="87" t="s">
        <v>78</v>
      </c>
      <c r="I9" s="87" t="s">
        <v>25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  <c r="P9" s="87">
        <v>0</v>
      </c>
      <c r="Q9" s="87">
        <v>0</v>
      </c>
      <c r="R9" s="87">
        <v>0</v>
      </c>
      <c r="S9" s="87">
        <v>0</v>
      </c>
      <c r="T9" s="87">
        <v>0</v>
      </c>
      <c r="U9" s="87">
        <v>0</v>
      </c>
      <c r="V9" s="87">
        <v>0</v>
      </c>
      <c r="W9" s="87">
        <v>0</v>
      </c>
      <c r="X9" s="87">
        <v>0</v>
      </c>
      <c r="Y9" s="87">
        <v>0</v>
      </c>
      <c r="Z9" s="87">
        <v>0</v>
      </c>
      <c r="AA9" s="87">
        <v>0</v>
      </c>
      <c r="AB9" s="87">
        <v>0</v>
      </c>
      <c r="AC9" s="87">
        <v>0</v>
      </c>
      <c r="AD9" s="87">
        <v>0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0</v>
      </c>
      <c r="AN9" s="87">
        <v>0</v>
      </c>
      <c r="AO9" s="87">
        <v>0</v>
      </c>
      <c r="AP9" s="87">
        <v>0</v>
      </c>
      <c r="AQ9" s="87">
        <v>0</v>
      </c>
      <c r="AR9" s="88">
        <v>0</v>
      </c>
    </row>
    <row r="10" spans="2:44" ht="12" customHeight="1" x14ac:dyDescent="0.25">
      <c r="B10" s="86" t="s">
        <v>35</v>
      </c>
      <c r="C10" s="87" t="s">
        <v>36</v>
      </c>
      <c r="D10" s="87" t="s">
        <v>25</v>
      </c>
      <c r="E10" s="87" t="s">
        <v>25</v>
      </c>
      <c r="F10" s="87" t="s">
        <v>25</v>
      </c>
      <c r="G10" s="87" t="s">
        <v>38</v>
      </c>
      <c r="H10" s="87" t="s">
        <v>73</v>
      </c>
      <c r="I10" s="87" t="s">
        <v>25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  <c r="P10" s="87">
        <v>0</v>
      </c>
      <c r="Q10" s="87">
        <v>0</v>
      </c>
      <c r="R10" s="87">
        <v>0</v>
      </c>
      <c r="S10" s="87">
        <v>0</v>
      </c>
      <c r="T10" s="87">
        <v>0</v>
      </c>
      <c r="U10" s="87">
        <v>0</v>
      </c>
      <c r="V10" s="87">
        <v>0</v>
      </c>
      <c r="W10" s="87">
        <v>0</v>
      </c>
      <c r="X10" s="87">
        <v>0</v>
      </c>
      <c r="Y10" s="87">
        <v>0</v>
      </c>
      <c r="Z10" s="87">
        <v>0</v>
      </c>
      <c r="AA10" s="87">
        <v>0</v>
      </c>
      <c r="AB10" s="87">
        <v>0</v>
      </c>
      <c r="AC10" s="87">
        <v>0</v>
      </c>
      <c r="AD10" s="87">
        <v>0</v>
      </c>
      <c r="AE10" s="87">
        <v>0</v>
      </c>
      <c r="AF10" s="87">
        <v>0</v>
      </c>
      <c r="AG10" s="87">
        <v>0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0</v>
      </c>
      <c r="AN10" s="87">
        <v>0</v>
      </c>
      <c r="AO10" s="87">
        <v>0</v>
      </c>
      <c r="AP10" s="87">
        <v>0</v>
      </c>
      <c r="AQ10" s="87">
        <v>0</v>
      </c>
      <c r="AR10" s="88">
        <v>0</v>
      </c>
    </row>
    <row r="11" spans="2:44" ht="12" customHeight="1" x14ac:dyDescent="0.25">
      <c r="B11" s="86" t="s">
        <v>35</v>
      </c>
      <c r="C11" s="87" t="s">
        <v>36</v>
      </c>
      <c r="D11" s="87" t="s">
        <v>25</v>
      </c>
      <c r="E11" s="87" t="s">
        <v>25</v>
      </c>
      <c r="F11" s="87" t="s">
        <v>25</v>
      </c>
      <c r="G11" s="87" t="s">
        <v>38</v>
      </c>
      <c r="H11" s="87" t="s">
        <v>78</v>
      </c>
      <c r="I11" s="87" t="s">
        <v>25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  <c r="P11" s="87">
        <v>0</v>
      </c>
      <c r="Q11" s="87">
        <v>0</v>
      </c>
      <c r="R11" s="87">
        <v>0</v>
      </c>
      <c r="S11" s="87">
        <v>0</v>
      </c>
      <c r="T11" s="87">
        <v>0</v>
      </c>
      <c r="U11" s="87">
        <v>0</v>
      </c>
      <c r="V11" s="87">
        <v>0</v>
      </c>
      <c r="W11" s="87">
        <v>0</v>
      </c>
      <c r="X11" s="87">
        <v>0</v>
      </c>
      <c r="Y11" s="87">
        <v>0</v>
      </c>
      <c r="Z11" s="87">
        <v>0</v>
      </c>
      <c r="AA11" s="87">
        <v>0</v>
      </c>
      <c r="AB11" s="87">
        <v>0</v>
      </c>
      <c r="AC11" s="87">
        <v>0</v>
      </c>
      <c r="AD11" s="87">
        <v>0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0</v>
      </c>
      <c r="AN11" s="87">
        <v>0</v>
      </c>
      <c r="AO11" s="87">
        <v>0</v>
      </c>
      <c r="AP11" s="87">
        <v>0</v>
      </c>
      <c r="AQ11" s="87">
        <v>0</v>
      </c>
      <c r="AR11" s="88">
        <v>0</v>
      </c>
    </row>
    <row r="12" spans="2:44" ht="12" customHeight="1" x14ac:dyDescent="0.25">
      <c r="B12" s="86" t="s">
        <v>35</v>
      </c>
      <c r="C12" s="87" t="s">
        <v>23</v>
      </c>
      <c r="D12" s="87" t="s">
        <v>25</v>
      </c>
      <c r="E12" s="87" t="s">
        <v>25</v>
      </c>
      <c r="F12" s="87" t="s">
        <v>25</v>
      </c>
      <c r="G12" s="87" t="s">
        <v>25</v>
      </c>
      <c r="H12" s="87" t="s">
        <v>73</v>
      </c>
      <c r="I12" s="87" t="s">
        <v>25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  <c r="S12" s="87">
        <v>0</v>
      </c>
      <c r="T12" s="87">
        <v>0</v>
      </c>
      <c r="U12" s="87">
        <v>0</v>
      </c>
      <c r="V12" s="87">
        <v>0</v>
      </c>
      <c r="W12" s="87">
        <v>0</v>
      </c>
      <c r="X12" s="87">
        <v>0</v>
      </c>
      <c r="Y12" s="87">
        <v>0</v>
      </c>
      <c r="Z12" s="87">
        <v>0</v>
      </c>
      <c r="AA12" s="87">
        <v>0</v>
      </c>
      <c r="AB12" s="87">
        <v>0</v>
      </c>
      <c r="AC12" s="87">
        <v>0</v>
      </c>
      <c r="AD12" s="87">
        <v>0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0</v>
      </c>
      <c r="AN12" s="87">
        <v>0</v>
      </c>
      <c r="AO12" s="87">
        <v>0</v>
      </c>
      <c r="AP12" s="87">
        <v>0</v>
      </c>
      <c r="AQ12" s="87">
        <v>0</v>
      </c>
      <c r="AR12" s="88">
        <v>0</v>
      </c>
    </row>
    <row r="13" spans="2:44" ht="12" customHeight="1" x14ac:dyDescent="0.25">
      <c r="B13" s="86" t="s">
        <v>35</v>
      </c>
      <c r="C13" s="87" t="s">
        <v>53</v>
      </c>
      <c r="D13" s="87" t="s">
        <v>25</v>
      </c>
      <c r="E13" s="87" t="s">
        <v>25</v>
      </c>
      <c r="F13" s="87" t="s">
        <v>25</v>
      </c>
      <c r="G13" s="87" t="s">
        <v>25</v>
      </c>
      <c r="H13" s="87" t="s">
        <v>78</v>
      </c>
      <c r="I13" s="87" t="s">
        <v>25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87">
        <v>0</v>
      </c>
      <c r="T13" s="87">
        <v>0</v>
      </c>
      <c r="U13" s="87">
        <v>0</v>
      </c>
      <c r="V13" s="87">
        <v>0</v>
      </c>
      <c r="W13" s="87">
        <v>0</v>
      </c>
      <c r="X13" s="87">
        <v>0</v>
      </c>
      <c r="Y13" s="87">
        <v>0</v>
      </c>
      <c r="Z13" s="87">
        <v>0</v>
      </c>
      <c r="AA13" s="87">
        <v>0</v>
      </c>
      <c r="AB13" s="87">
        <v>0</v>
      </c>
      <c r="AC13" s="87">
        <v>0</v>
      </c>
      <c r="AD13" s="87">
        <v>0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0</v>
      </c>
      <c r="AN13" s="87">
        <v>0</v>
      </c>
      <c r="AO13" s="87">
        <v>0</v>
      </c>
      <c r="AP13" s="87">
        <v>0</v>
      </c>
      <c r="AQ13" s="87">
        <v>0</v>
      </c>
      <c r="AR13" s="88">
        <v>0</v>
      </c>
    </row>
    <row r="14" spans="2:44" ht="12" customHeight="1" x14ac:dyDescent="0.25">
      <c r="B14" s="86" t="s">
        <v>35</v>
      </c>
      <c r="C14" s="87" t="s">
        <v>39</v>
      </c>
      <c r="D14" s="87" t="s">
        <v>25</v>
      </c>
      <c r="E14" s="87" t="s">
        <v>25</v>
      </c>
      <c r="F14" s="87" t="s">
        <v>81</v>
      </c>
      <c r="G14" s="87" t="s">
        <v>37</v>
      </c>
      <c r="H14" s="87" t="s">
        <v>73</v>
      </c>
      <c r="I14" s="87" t="s">
        <v>25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  <c r="P14" s="87">
        <v>0</v>
      </c>
      <c r="Q14" s="87">
        <v>0</v>
      </c>
      <c r="R14" s="87">
        <v>0</v>
      </c>
      <c r="S14" s="87">
        <v>0</v>
      </c>
      <c r="T14" s="87">
        <v>0</v>
      </c>
      <c r="U14" s="87">
        <v>0</v>
      </c>
      <c r="V14" s="87">
        <v>0</v>
      </c>
      <c r="W14" s="87">
        <v>0</v>
      </c>
      <c r="X14" s="87">
        <v>0</v>
      </c>
      <c r="Y14" s="87">
        <v>0</v>
      </c>
      <c r="Z14" s="87">
        <v>0</v>
      </c>
      <c r="AA14" s="87">
        <v>0</v>
      </c>
      <c r="AB14" s="87">
        <v>0</v>
      </c>
      <c r="AC14" s="87">
        <v>0</v>
      </c>
      <c r="AD14" s="87">
        <v>0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0</v>
      </c>
      <c r="AN14" s="87">
        <v>0</v>
      </c>
      <c r="AO14" s="87">
        <v>0</v>
      </c>
      <c r="AP14" s="87">
        <v>0</v>
      </c>
      <c r="AQ14" s="87">
        <v>0</v>
      </c>
      <c r="AR14" s="88">
        <v>0</v>
      </c>
    </row>
    <row r="15" spans="2:44" ht="12" customHeight="1" x14ac:dyDescent="0.25">
      <c r="B15" s="86" t="s">
        <v>35</v>
      </c>
      <c r="C15" s="87" t="s">
        <v>39</v>
      </c>
      <c r="D15" s="87" t="s">
        <v>25</v>
      </c>
      <c r="E15" s="87" t="s">
        <v>25</v>
      </c>
      <c r="F15" s="87" t="s">
        <v>81</v>
      </c>
      <c r="G15" s="87" t="s">
        <v>25</v>
      </c>
      <c r="H15" s="87" t="s">
        <v>78</v>
      </c>
      <c r="I15" s="87" t="s">
        <v>25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  <c r="P15" s="87">
        <v>0</v>
      </c>
      <c r="Q15" s="87">
        <v>0</v>
      </c>
      <c r="R15" s="87">
        <v>0</v>
      </c>
      <c r="S15" s="87">
        <v>0</v>
      </c>
      <c r="T15" s="87">
        <v>0</v>
      </c>
      <c r="U15" s="87">
        <v>0</v>
      </c>
      <c r="V15" s="87">
        <v>0</v>
      </c>
      <c r="W15" s="87">
        <v>0</v>
      </c>
      <c r="X15" s="87">
        <v>0</v>
      </c>
      <c r="Y15" s="87">
        <v>0</v>
      </c>
      <c r="Z15" s="87">
        <v>0</v>
      </c>
      <c r="AA15" s="87">
        <v>0</v>
      </c>
      <c r="AB15" s="87">
        <v>0</v>
      </c>
      <c r="AC15" s="87">
        <v>0</v>
      </c>
      <c r="AD15" s="87">
        <v>0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0</v>
      </c>
      <c r="AN15" s="87">
        <v>0</v>
      </c>
      <c r="AO15" s="87">
        <v>0</v>
      </c>
      <c r="AP15" s="87">
        <v>0</v>
      </c>
      <c r="AQ15" s="87">
        <v>0</v>
      </c>
      <c r="AR15" s="88">
        <v>0</v>
      </c>
    </row>
    <row r="16" spans="2:44" ht="12" customHeight="1" x14ac:dyDescent="0.25">
      <c r="B16" s="86" t="s">
        <v>35</v>
      </c>
      <c r="C16" s="87" t="s">
        <v>39</v>
      </c>
      <c r="D16" s="87" t="s">
        <v>25</v>
      </c>
      <c r="E16" s="87" t="s">
        <v>25</v>
      </c>
      <c r="F16" s="87" t="s">
        <v>81</v>
      </c>
      <c r="G16" s="87" t="s">
        <v>38</v>
      </c>
      <c r="H16" s="87" t="s">
        <v>73</v>
      </c>
      <c r="I16" s="87" t="s">
        <v>25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  <c r="R16" s="87">
        <v>0</v>
      </c>
      <c r="S16" s="87">
        <v>0</v>
      </c>
      <c r="T16" s="87">
        <v>0</v>
      </c>
      <c r="U16" s="87">
        <v>0</v>
      </c>
      <c r="V16" s="87">
        <v>0</v>
      </c>
      <c r="W16" s="87">
        <v>0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  <c r="AC16" s="87">
        <v>0</v>
      </c>
      <c r="AD16" s="87">
        <v>0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0</v>
      </c>
      <c r="AN16" s="87">
        <v>0</v>
      </c>
      <c r="AO16" s="87">
        <v>0</v>
      </c>
      <c r="AP16" s="87">
        <v>0</v>
      </c>
      <c r="AQ16" s="87">
        <v>0</v>
      </c>
      <c r="AR16" s="88">
        <v>0</v>
      </c>
    </row>
    <row r="17" spans="2:44" ht="12" customHeight="1" x14ac:dyDescent="0.25">
      <c r="B17" s="86" t="s">
        <v>35</v>
      </c>
      <c r="C17" s="87" t="s">
        <v>39</v>
      </c>
      <c r="D17" s="87" t="s">
        <v>25</v>
      </c>
      <c r="E17" s="87" t="s">
        <v>25</v>
      </c>
      <c r="F17" s="87" t="s">
        <v>25</v>
      </c>
      <c r="G17" s="87" t="s">
        <v>37</v>
      </c>
      <c r="H17" s="87" t="s">
        <v>73</v>
      </c>
      <c r="I17" s="87" t="s">
        <v>25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  <c r="R17" s="87">
        <v>0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C17" s="87">
        <v>0</v>
      </c>
      <c r="AD17" s="87">
        <v>0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0</v>
      </c>
      <c r="AN17" s="87">
        <v>0</v>
      </c>
      <c r="AO17" s="87">
        <v>0</v>
      </c>
      <c r="AP17" s="87">
        <v>0</v>
      </c>
      <c r="AQ17" s="87">
        <v>0</v>
      </c>
      <c r="AR17" s="88">
        <v>0</v>
      </c>
    </row>
    <row r="18" spans="2:44" ht="12" customHeight="1" x14ac:dyDescent="0.25">
      <c r="B18" s="86" t="s">
        <v>35</v>
      </c>
      <c r="C18" s="87" t="s">
        <v>39</v>
      </c>
      <c r="D18" s="87" t="s">
        <v>25</v>
      </c>
      <c r="E18" s="87" t="s">
        <v>25</v>
      </c>
      <c r="F18" s="87" t="s">
        <v>25</v>
      </c>
      <c r="G18" s="87" t="s">
        <v>25</v>
      </c>
      <c r="H18" s="87" t="s">
        <v>78</v>
      </c>
      <c r="I18" s="87" t="s">
        <v>25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  <c r="R18" s="87">
        <v>0</v>
      </c>
      <c r="S18" s="87">
        <v>0</v>
      </c>
      <c r="T18" s="87">
        <v>0</v>
      </c>
      <c r="U18" s="87">
        <v>0</v>
      </c>
      <c r="V18" s="87">
        <v>0</v>
      </c>
      <c r="W18" s="87">
        <v>0</v>
      </c>
      <c r="X18" s="87">
        <v>0</v>
      </c>
      <c r="Y18" s="87">
        <v>0</v>
      </c>
      <c r="Z18" s="87">
        <v>0</v>
      </c>
      <c r="AA18" s="87">
        <v>0</v>
      </c>
      <c r="AB18" s="87">
        <v>0</v>
      </c>
      <c r="AC18" s="87">
        <v>0</v>
      </c>
      <c r="AD18" s="87">
        <v>0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0</v>
      </c>
      <c r="AN18" s="87">
        <v>0</v>
      </c>
      <c r="AO18" s="87">
        <v>0</v>
      </c>
      <c r="AP18" s="87">
        <v>0</v>
      </c>
      <c r="AQ18" s="87">
        <v>0</v>
      </c>
      <c r="AR18" s="88">
        <v>0</v>
      </c>
    </row>
    <row r="19" spans="2:44" ht="12" customHeight="1" x14ac:dyDescent="0.25">
      <c r="B19" s="86" t="s">
        <v>35</v>
      </c>
      <c r="C19" s="87" t="s">
        <v>39</v>
      </c>
      <c r="D19" s="87" t="s">
        <v>25</v>
      </c>
      <c r="E19" s="87" t="s">
        <v>25</v>
      </c>
      <c r="F19" s="87" t="s">
        <v>25</v>
      </c>
      <c r="G19" s="87" t="s">
        <v>38</v>
      </c>
      <c r="H19" s="87" t="s">
        <v>73</v>
      </c>
      <c r="I19" s="87" t="s">
        <v>25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  <c r="R19" s="87">
        <v>0</v>
      </c>
      <c r="S19" s="87">
        <v>0</v>
      </c>
      <c r="T19" s="87">
        <v>0</v>
      </c>
      <c r="U19" s="87">
        <v>0</v>
      </c>
      <c r="V19" s="87">
        <v>0</v>
      </c>
      <c r="W19" s="87">
        <v>0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C19" s="87">
        <v>0</v>
      </c>
      <c r="AD19" s="87">
        <v>0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0</v>
      </c>
      <c r="AN19" s="87">
        <v>0</v>
      </c>
      <c r="AO19" s="87">
        <v>0</v>
      </c>
      <c r="AP19" s="87">
        <v>0</v>
      </c>
      <c r="AQ19" s="87">
        <v>0</v>
      </c>
      <c r="AR19" s="88">
        <v>0</v>
      </c>
    </row>
    <row r="20" spans="2:44" ht="12" customHeight="1" x14ac:dyDescent="0.25">
      <c r="B20" s="86" t="s">
        <v>82</v>
      </c>
      <c r="C20" s="87" t="s">
        <v>53</v>
      </c>
      <c r="D20" s="87" t="s">
        <v>25</v>
      </c>
      <c r="E20" s="87" t="s">
        <v>25</v>
      </c>
      <c r="F20" s="87" t="s">
        <v>83</v>
      </c>
      <c r="G20" s="87" t="s">
        <v>25</v>
      </c>
      <c r="H20" s="87" t="s">
        <v>78</v>
      </c>
      <c r="I20" s="87" t="s">
        <v>25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  <c r="R20" s="87">
        <v>0</v>
      </c>
      <c r="S20" s="87">
        <v>0</v>
      </c>
      <c r="T20" s="87">
        <v>0</v>
      </c>
      <c r="U20" s="87">
        <v>0</v>
      </c>
      <c r="V20" s="87">
        <v>0</v>
      </c>
      <c r="W20" s="87">
        <v>0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C20" s="87">
        <v>0</v>
      </c>
      <c r="AD20" s="87">
        <v>0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0</v>
      </c>
      <c r="AN20" s="87">
        <v>0</v>
      </c>
      <c r="AO20" s="87">
        <v>0</v>
      </c>
      <c r="AP20" s="87">
        <v>0</v>
      </c>
      <c r="AQ20" s="87">
        <v>0</v>
      </c>
      <c r="AR20" s="88">
        <v>0</v>
      </c>
    </row>
    <row r="21" spans="2:44" ht="12" customHeight="1" x14ac:dyDescent="0.25">
      <c r="B21" s="86" t="s">
        <v>82</v>
      </c>
      <c r="C21" s="87" t="s">
        <v>53</v>
      </c>
      <c r="D21" s="87" t="s">
        <v>25</v>
      </c>
      <c r="E21" s="87" t="s">
        <v>25</v>
      </c>
      <c r="F21" s="87" t="s">
        <v>84</v>
      </c>
      <c r="G21" s="87" t="s">
        <v>25</v>
      </c>
      <c r="H21" s="87" t="s">
        <v>78</v>
      </c>
      <c r="I21" s="87" t="s">
        <v>25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  <c r="R21" s="87">
        <v>0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C21" s="87">
        <v>0</v>
      </c>
      <c r="AD21" s="87">
        <v>0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  <c r="AN21" s="87">
        <v>0</v>
      </c>
      <c r="AO21" s="87">
        <v>0</v>
      </c>
      <c r="AP21" s="87">
        <v>0</v>
      </c>
      <c r="AQ21" s="87">
        <v>0</v>
      </c>
      <c r="AR21" s="88">
        <v>0</v>
      </c>
    </row>
    <row r="22" spans="2:44" ht="12" customHeight="1" x14ac:dyDescent="0.25">
      <c r="B22" s="86" t="s">
        <v>22</v>
      </c>
      <c r="C22" s="87" t="s">
        <v>86</v>
      </c>
      <c r="D22" s="87" t="s">
        <v>24</v>
      </c>
      <c r="E22" s="87" t="s">
        <v>24</v>
      </c>
      <c r="F22" s="87" t="s">
        <v>25</v>
      </c>
      <c r="G22" s="87" t="s">
        <v>37</v>
      </c>
      <c r="H22" s="87" t="s">
        <v>73</v>
      </c>
      <c r="I22" s="87" t="s">
        <v>25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  <c r="R22" s="87">
        <v>0</v>
      </c>
      <c r="S22" s="87">
        <v>0</v>
      </c>
      <c r="T22" s="87">
        <v>0</v>
      </c>
      <c r="U22" s="87">
        <v>0</v>
      </c>
      <c r="V22" s="87">
        <v>0</v>
      </c>
      <c r="W22" s="87">
        <v>0</v>
      </c>
      <c r="X22" s="87">
        <v>0</v>
      </c>
      <c r="Y22" s="87">
        <v>0</v>
      </c>
      <c r="Z22" s="87">
        <v>0</v>
      </c>
      <c r="AA22" s="87">
        <v>0</v>
      </c>
      <c r="AB22" s="87">
        <v>0</v>
      </c>
      <c r="AC22" s="87">
        <v>0</v>
      </c>
      <c r="AD22" s="87">
        <v>0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0</v>
      </c>
      <c r="AN22" s="87">
        <v>0</v>
      </c>
      <c r="AO22" s="87">
        <v>0</v>
      </c>
      <c r="AP22" s="87">
        <v>0</v>
      </c>
      <c r="AQ22" s="87">
        <v>0</v>
      </c>
      <c r="AR22" s="88">
        <v>0</v>
      </c>
    </row>
    <row r="23" spans="2:44" ht="12" customHeight="1" x14ac:dyDescent="0.25">
      <c r="B23" s="86" t="s">
        <v>22</v>
      </c>
      <c r="C23" s="87" t="s">
        <v>86</v>
      </c>
      <c r="D23" s="87" t="s">
        <v>24</v>
      </c>
      <c r="E23" s="87" t="s">
        <v>24</v>
      </c>
      <c r="F23" s="87" t="s">
        <v>25</v>
      </c>
      <c r="G23" s="87" t="s">
        <v>535</v>
      </c>
      <c r="H23" s="87" t="s">
        <v>73</v>
      </c>
      <c r="I23" s="87" t="s">
        <v>25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  <c r="R23" s="87">
        <v>0</v>
      </c>
      <c r="S23" s="87">
        <v>0</v>
      </c>
      <c r="T23" s="87">
        <v>0</v>
      </c>
      <c r="U23" s="87">
        <v>0</v>
      </c>
      <c r="V23" s="87">
        <v>0</v>
      </c>
      <c r="W23" s="87">
        <v>0</v>
      </c>
      <c r="X23" s="87">
        <v>0</v>
      </c>
      <c r="Y23" s="87">
        <v>0</v>
      </c>
      <c r="Z23" s="87">
        <v>0</v>
      </c>
      <c r="AA23" s="87">
        <v>0</v>
      </c>
      <c r="AB23" s="87">
        <v>0</v>
      </c>
      <c r="AC23" s="87">
        <v>0</v>
      </c>
      <c r="AD23" s="87">
        <v>0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0</v>
      </c>
      <c r="AN23" s="87">
        <v>0</v>
      </c>
      <c r="AO23" s="87">
        <v>0</v>
      </c>
      <c r="AP23" s="87">
        <v>0</v>
      </c>
      <c r="AQ23" s="87">
        <v>0</v>
      </c>
      <c r="AR23" s="88">
        <v>0</v>
      </c>
    </row>
    <row r="24" spans="2:44" ht="12" customHeight="1" x14ac:dyDescent="0.25">
      <c r="B24" s="86" t="s">
        <v>22</v>
      </c>
      <c r="C24" s="87" t="s">
        <v>86</v>
      </c>
      <c r="D24" s="87" t="s">
        <v>24</v>
      </c>
      <c r="E24" s="87" t="s">
        <v>24</v>
      </c>
      <c r="F24" s="87" t="s">
        <v>25</v>
      </c>
      <c r="G24" s="87" t="s">
        <v>38</v>
      </c>
      <c r="H24" s="87" t="s">
        <v>73</v>
      </c>
      <c r="I24" s="87" t="s">
        <v>25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  <c r="R24" s="87">
        <v>0</v>
      </c>
      <c r="S24" s="87">
        <v>0</v>
      </c>
      <c r="T24" s="87">
        <v>0</v>
      </c>
      <c r="U24" s="87">
        <v>0</v>
      </c>
      <c r="V24" s="87">
        <v>0</v>
      </c>
      <c r="W24" s="87">
        <v>0</v>
      </c>
      <c r="X24" s="87">
        <v>0</v>
      </c>
      <c r="Y24" s="87">
        <v>0</v>
      </c>
      <c r="Z24" s="87">
        <v>0</v>
      </c>
      <c r="AA24" s="87">
        <v>0</v>
      </c>
      <c r="AB24" s="87">
        <v>0</v>
      </c>
      <c r="AC24" s="87">
        <v>0</v>
      </c>
      <c r="AD24" s="87">
        <v>0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0</v>
      </c>
      <c r="AN24" s="87">
        <v>0</v>
      </c>
      <c r="AO24" s="87">
        <v>0</v>
      </c>
      <c r="AP24" s="87">
        <v>0</v>
      </c>
      <c r="AQ24" s="87">
        <v>0</v>
      </c>
      <c r="AR24" s="88">
        <v>0</v>
      </c>
    </row>
    <row r="25" spans="2:44" ht="12" customHeight="1" x14ac:dyDescent="0.25">
      <c r="B25" s="86" t="s">
        <v>22</v>
      </c>
      <c r="C25" s="87" t="s">
        <v>23</v>
      </c>
      <c r="D25" s="87" t="s">
        <v>24</v>
      </c>
      <c r="E25" s="87" t="s">
        <v>1062</v>
      </c>
      <c r="F25" s="87" t="s">
        <v>25</v>
      </c>
      <c r="G25" s="87" t="s">
        <v>25</v>
      </c>
      <c r="H25" s="87" t="s">
        <v>73</v>
      </c>
      <c r="I25" s="87" t="s">
        <v>25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  <c r="R25" s="87">
        <v>0</v>
      </c>
      <c r="S25" s="87">
        <v>0</v>
      </c>
      <c r="T25" s="87">
        <v>0</v>
      </c>
      <c r="U25" s="87">
        <v>0</v>
      </c>
      <c r="V25" s="87">
        <v>0</v>
      </c>
      <c r="W25" s="87">
        <v>0</v>
      </c>
      <c r="X25" s="87">
        <v>0</v>
      </c>
      <c r="Y25" s="87">
        <v>0</v>
      </c>
      <c r="Z25" s="87">
        <v>0</v>
      </c>
      <c r="AA25" s="87">
        <v>0</v>
      </c>
      <c r="AB25" s="87">
        <v>0</v>
      </c>
      <c r="AC25" s="87">
        <v>0</v>
      </c>
      <c r="AD25" s="87">
        <v>0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0</v>
      </c>
      <c r="AN25" s="87">
        <v>0</v>
      </c>
      <c r="AO25" s="87">
        <v>0</v>
      </c>
      <c r="AP25" s="87">
        <v>0</v>
      </c>
      <c r="AQ25" s="87">
        <v>0</v>
      </c>
      <c r="AR25" s="88">
        <v>0</v>
      </c>
    </row>
    <row r="26" spans="2:44" ht="12" customHeight="1" x14ac:dyDescent="0.25">
      <c r="B26" s="86" t="s">
        <v>22</v>
      </c>
      <c r="C26" s="87" t="s">
        <v>23</v>
      </c>
      <c r="D26" s="87" t="s">
        <v>24</v>
      </c>
      <c r="E26" s="87" t="s">
        <v>24</v>
      </c>
      <c r="F26" s="87" t="s">
        <v>25</v>
      </c>
      <c r="G26" s="87" t="s">
        <v>25</v>
      </c>
      <c r="H26" s="87" t="s">
        <v>73</v>
      </c>
      <c r="I26" s="87" t="s">
        <v>25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7">
        <v>0</v>
      </c>
      <c r="R26" s="87">
        <v>0</v>
      </c>
      <c r="S26" s="87">
        <v>0</v>
      </c>
      <c r="T26" s="87">
        <v>0</v>
      </c>
      <c r="U26" s="87">
        <v>0</v>
      </c>
      <c r="V26" s="87">
        <v>0</v>
      </c>
      <c r="W26" s="87">
        <v>0</v>
      </c>
      <c r="X26" s="87">
        <v>0</v>
      </c>
      <c r="Y26" s="87">
        <v>0</v>
      </c>
      <c r="Z26" s="87">
        <v>0</v>
      </c>
      <c r="AA26" s="87">
        <v>0</v>
      </c>
      <c r="AB26" s="87">
        <v>0</v>
      </c>
      <c r="AC26" s="87">
        <v>0</v>
      </c>
      <c r="AD26" s="87">
        <v>0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0</v>
      </c>
      <c r="AN26" s="87">
        <v>0</v>
      </c>
      <c r="AO26" s="87">
        <v>0</v>
      </c>
      <c r="AP26" s="87">
        <v>0</v>
      </c>
      <c r="AQ26" s="87">
        <v>0</v>
      </c>
      <c r="AR26" s="88">
        <v>0</v>
      </c>
    </row>
    <row r="27" spans="2:44" ht="12" customHeight="1" x14ac:dyDescent="0.25">
      <c r="B27" s="86" t="s">
        <v>22</v>
      </c>
      <c r="C27" s="87" t="s">
        <v>88</v>
      </c>
      <c r="D27" s="87" t="s">
        <v>24</v>
      </c>
      <c r="E27" s="87" t="s">
        <v>1062</v>
      </c>
      <c r="F27" s="87" t="s">
        <v>25</v>
      </c>
      <c r="G27" s="87" t="s">
        <v>25</v>
      </c>
      <c r="H27" s="87" t="s">
        <v>73</v>
      </c>
      <c r="I27" s="87" t="s">
        <v>25</v>
      </c>
      <c r="J27" s="87">
        <v>0</v>
      </c>
      <c r="K27" s="87">
        <v>0</v>
      </c>
      <c r="L27" s="87">
        <v>0</v>
      </c>
      <c r="M27" s="87">
        <v>0</v>
      </c>
      <c r="N27" s="87">
        <v>0</v>
      </c>
      <c r="O27" s="87">
        <v>0</v>
      </c>
      <c r="P27" s="87">
        <v>0</v>
      </c>
      <c r="Q27" s="87">
        <v>0</v>
      </c>
      <c r="R27" s="87">
        <v>0</v>
      </c>
      <c r="S27" s="87">
        <v>0</v>
      </c>
      <c r="T27" s="87">
        <v>0</v>
      </c>
      <c r="U27" s="87">
        <v>0</v>
      </c>
      <c r="V27" s="87">
        <v>0</v>
      </c>
      <c r="W27" s="87">
        <v>0</v>
      </c>
      <c r="X27" s="87">
        <v>0</v>
      </c>
      <c r="Y27" s="87">
        <v>0</v>
      </c>
      <c r="Z27" s="87">
        <v>0</v>
      </c>
      <c r="AA27" s="87">
        <v>0</v>
      </c>
      <c r="AB27" s="87">
        <v>0</v>
      </c>
      <c r="AC27" s="87">
        <v>0</v>
      </c>
      <c r="AD27" s="87">
        <v>0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0</v>
      </c>
      <c r="AN27" s="87">
        <v>0</v>
      </c>
      <c r="AO27" s="87">
        <v>0</v>
      </c>
      <c r="AP27" s="87">
        <v>0</v>
      </c>
      <c r="AQ27" s="87">
        <v>0</v>
      </c>
      <c r="AR27" s="88">
        <v>0</v>
      </c>
    </row>
    <row r="28" spans="2:44" ht="12" customHeight="1" x14ac:dyDescent="0.25">
      <c r="B28" s="86" t="s">
        <v>22</v>
      </c>
      <c r="C28" s="87" t="s">
        <v>88</v>
      </c>
      <c r="D28" s="87" t="s">
        <v>24</v>
      </c>
      <c r="E28" s="87" t="s">
        <v>24</v>
      </c>
      <c r="F28" s="87" t="s">
        <v>25</v>
      </c>
      <c r="G28" s="87" t="s">
        <v>25</v>
      </c>
      <c r="H28" s="87" t="s">
        <v>73</v>
      </c>
      <c r="I28" s="87" t="s">
        <v>25</v>
      </c>
      <c r="J28" s="87">
        <v>0</v>
      </c>
      <c r="K28" s="87">
        <v>0</v>
      </c>
      <c r="L28" s="87">
        <v>0</v>
      </c>
      <c r="M28" s="87">
        <v>0</v>
      </c>
      <c r="N28" s="87">
        <v>0</v>
      </c>
      <c r="O28" s="87">
        <v>0</v>
      </c>
      <c r="P28" s="87">
        <v>0</v>
      </c>
      <c r="Q28" s="87">
        <v>0</v>
      </c>
      <c r="R28" s="87">
        <v>0</v>
      </c>
      <c r="S28" s="87">
        <v>0</v>
      </c>
      <c r="T28" s="87">
        <v>0</v>
      </c>
      <c r="U28" s="87">
        <v>0</v>
      </c>
      <c r="V28" s="87">
        <v>0</v>
      </c>
      <c r="W28" s="87">
        <v>0</v>
      </c>
      <c r="X28" s="87">
        <v>0</v>
      </c>
      <c r="Y28" s="87">
        <v>0</v>
      </c>
      <c r="Z28" s="87">
        <v>0</v>
      </c>
      <c r="AA28" s="87">
        <v>0</v>
      </c>
      <c r="AB28" s="87">
        <v>0</v>
      </c>
      <c r="AC28" s="87">
        <v>0</v>
      </c>
      <c r="AD28" s="87">
        <v>0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0</v>
      </c>
      <c r="AN28" s="87">
        <v>0</v>
      </c>
      <c r="AO28" s="87">
        <v>0</v>
      </c>
      <c r="AP28" s="87">
        <v>0</v>
      </c>
      <c r="AQ28" s="87">
        <v>0</v>
      </c>
      <c r="AR28" s="88">
        <v>0</v>
      </c>
    </row>
    <row r="29" spans="2:44" ht="12" customHeight="1" x14ac:dyDescent="0.25">
      <c r="B29" s="86" t="s">
        <v>41</v>
      </c>
      <c r="C29" s="87" t="s">
        <v>86</v>
      </c>
      <c r="D29" s="87" t="s">
        <v>42</v>
      </c>
      <c r="E29" s="87" t="s">
        <v>89</v>
      </c>
      <c r="F29" s="87" t="s">
        <v>25</v>
      </c>
      <c r="G29" s="87" t="s">
        <v>37</v>
      </c>
      <c r="H29" s="87" t="s">
        <v>73</v>
      </c>
      <c r="I29" s="87" t="s">
        <v>25</v>
      </c>
      <c r="J29" s="87">
        <v>0</v>
      </c>
      <c r="K29" s="87">
        <v>0</v>
      </c>
      <c r="L29" s="87">
        <v>0</v>
      </c>
      <c r="M29" s="87">
        <v>0</v>
      </c>
      <c r="N29" s="87">
        <v>0</v>
      </c>
      <c r="O29" s="87">
        <v>0</v>
      </c>
      <c r="P29" s="87">
        <v>0</v>
      </c>
      <c r="Q29" s="87">
        <v>0</v>
      </c>
      <c r="R29" s="87">
        <v>0</v>
      </c>
      <c r="S29" s="87">
        <v>0</v>
      </c>
      <c r="T29" s="87">
        <v>0</v>
      </c>
      <c r="U29" s="87">
        <v>0</v>
      </c>
      <c r="V29" s="87">
        <v>0</v>
      </c>
      <c r="W29" s="87">
        <v>0</v>
      </c>
      <c r="X29" s="87">
        <v>0</v>
      </c>
      <c r="Y29" s="87">
        <v>0</v>
      </c>
      <c r="Z29" s="87">
        <v>0</v>
      </c>
      <c r="AA29" s="87">
        <v>0</v>
      </c>
      <c r="AB29" s="87">
        <v>0</v>
      </c>
      <c r="AC29" s="87">
        <v>0</v>
      </c>
      <c r="AD29" s="87">
        <v>0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0</v>
      </c>
      <c r="AN29" s="87">
        <v>0</v>
      </c>
      <c r="AO29" s="87">
        <v>0</v>
      </c>
      <c r="AP29" s="87">
        <v>0</v>
      </c>
      <c r="AQ29" s="87">
        <v>0</v>
      </c>
      <c r="AR29" s="88">
        <v>0</v>
      </c>
    </row>
    <row r="30" spans="2:44" ht="12" customHeight="1" x14ac:dyDescent="0.25">
      <c r="B30" s="86" t="s">
        <v>41</v>
      </c>
      <c r="C30" s="87" t="s">
        <v>86</v>
      </c>
      <c r="D30" s="87" t="s">
        <v>42</v>
      </c>
      <c r="E30" s="87" t="s">
        <v>89</v>
      </c>
      <c r="F30" s="87" t="s">
        <v>25</v>
      </c>
      <c r="G30" s="87" t="s">
        <v>535</v>
      </c>
      <c r="H30" s="87" t="s">
        <v>73</v>
      </c>
      <c r="I30" s="87" t="s">
        <v>25</v>
      </c>
      <c r="J30" s="87">
        <v>0</v>
      </c>
      <c r="K30" s="87">
        <v>0</v>
      </c>
      <c r="L30" s="87">
        <v>0</v>
      </c>
      <c r="M30" s="87">
        <v>0</v>
      </c>
      <c r="N30" s="87">
        <v>0</v>
      </c>
      <c r="O30" s="87">
        <v>0</v>
      </c>
      <c r="P30" s="87">
        <v>0</v>
      </c>
      <c r="Q30" s="87">
        <v>0</v>
      </c>
      <c r="R30" s="87">
        <v>0</v>
      </c>
      <c r="S30" s="87">
        <v>0</v>
      </c>
      <c r="T30" s="87">
        <v>0</v>
      </c>
      <c r="U30" s="87">
        <v>0</v>
      </c>
      <c r="V30" s="87">
        <v>0</v>
      </c>
      <c r="W30" s="87">
        <v>0</v>
      </c>
      <c r="X30" s="87">
        <v>0</v>
      </c>
      <c r="Y30" s="87">
        <v>0</v>
      </c>
      <c r="Z30" s="87">
        <v>0</v>
      </c>
      <c r="AA30" s="87">
        <v>0</v>
      </c>
      <c r="AB30" s="87">
        <v>0</v>
      </c>
      <c r="AC30" s="87">
        <v>0</v>
      </c>
      <c r="AD30" s="87">
        <v>0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0</v>
      </c>
      <c r="AN30" s="87">
        <v>0</v>
      </c>
      <c r="AO30" s="87">
        <v>0</v>
      </c>
      <c r="AP30" s="87">
        <v>0</v>
      </c>
      <c r="AQ30" s="87">
        <v>0</v>
      </c>
      <c r="AR30" s="88">
        <v>0</v>
      </c>
    </row>
    <row r="31" spans="2:44" ht="12" customHeight="1" x14ac:dyDescent="0.25">
      <c r="B31" s="86" t="s">
        <v>41</v>
      </c>
      <c r="C31" s="87" t="s">
        <v>86</v>
      </c>
      <c r="D31" s="87" t="s">
        <v>42</v>
      </c>
      <c r="E31" s="87" t="s">
        <v>89</v>
      </c>
      <c r="F31" s="87" t="s">
        <v>25</v>
      </c>
      <c r="G31" s="87" t="s">
        <v>38</v>
      </c>
      <c r="H31" s="87" t="s">
        <v>73</v>
      </c>
      <c r="I31" s="87" t="s">
        <v>25</v>
      </c>
      <c r="J31" s="87">
        <v>0</v>
      </c>
      <c r="K31" s="87">
        <v>0</v>
      </c>
      <c r="L31" s="87">
        <v>0</v>
      </c>
      <c r="M31" s="87">
        <v>0</v>
      </c>
      <c r="N31" s="87">
        <v>0</v>
      </c>
      <c r="O31" s="87">
        <v>0</v>
      </c>
      <c r="P31" s="87">
        <v>0</v>
      </c>
      <c r="Q31" s="87">
        <v>0</v>
      </c>
      <c r="R31" s="87">
        <v>0</v>
      </c>
      <c r="S31" s="87">
        <v>0</v>
      </c>
      <c r="T31" s="87">
        <v>0</v>
      </c>
      <c r="U31" s="87">
        <v>0</v>
      </c>
      <c r="V31" s="87">
        <v>0</v>
      </c>
      <c r="W31" s="87">
        <v>0</v>
      </c>
      <c r="X31" s="87">
        <v>0</v>
      </c>
      <c r="Y31" s="87">
        <v>0</v>
      </c>
      <c r="Z31" s="87">
        <v>0</v>
      </c>
      <c r="AA31" s="87">
        <v>0</v>
      </c>
      <c r="AB31" s="87">
        <v>0</v>
      </c>
      <c r="AC31" s="87">
        <v>0</v>
      </c>
      <c r="AD31" s="87">
        <v>0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0</v>
      </c>
      <c r="AN31" s="87">
        <v>0</v>
      </c>
      <c r="AO31" s="87">
        <v>0</v>
      </c>
      <c r="AP31" s="87">
        <v>0</v>
      </c>
      <c r="AQ31" s="87">
        <v>0</v>
      </c>
      <c r="AR31" s="88">
        <v>0</v>
      </c>
    </row>
    <row r="32" spans="2:44" ht="12" customHeight="1" x14ac:dyDescent="0.25">
      <c r="B32" s="86" t="s">
        <v>41</v>
      </c>
      <c r="C32" s="87" t="s">
        <v>86</v>
      </c>
      <c r="D32" s="87" t="s">
        <v>42</v>
      </c>
      <c r="E32" s="87" t="s">
        <v>25</v>
      </c>
      <c r="F32" s="87" t="s">
        <v>25</v>
      </c>
      <c r="G32" s="87" t="s">
        <v>37</v>
      </c>
      <c r="H32" s="87" t="s">
        <v>73</v>
      </c>
      <c r="I32" s="87" t="s">
        <v>25</v>
      </c>
      <c r="J32" s="87">
        <v>0</v>
      </c>
      <c r="K32" s="87">
        <v>0</v>
      </c>
      <c r="L32" s="87">
        <v>0</v>
      </c>
      <c r="M32" s="87">
        <v>0</v>
      </c>
      <c r="N32" s="87">
        <v>0</v>
      </c>
      <c r="O32" s="87">
        <v>0</v>
      </c>
      <c r="P32" s="87">
        <v>0</v>
      </c>
      <c r="Q32" s="87">
        <v>0</v>
      </c>
      <c r="R32" s="87">
        <v>0</v>
      </c>
      <c r="S32" s="87">
        <v>0</v>
      </c>
      <c r="T32" s="87">
        <v>0</v>
      </c>
      <c r="U32" s="87">
        <v>0</v>
      </c>
      <c r="V32" s="87">
        <v>0</v>
      </c>
      <c r="W32" s="87">
        <v>0</v>
      </c>
      <c r="X32" s="87">
        <v>0</v>
      </c>
      <c r="Y32" s="87">
        <v>0</v>
      </c>
      <c r="Z32" s="87">
        <v>0</v>
      </c>
      <c r="AA32" s="87">
        <v>0</v>
      </c>
      <c r="AB32" s="87">
        <v>0</v>
      </c>
      <c r="AC32" s="87">
        <v>0</v>
      </c>
      <c r="AD32" s="87">
        <v>0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0</v>
      </c>
      <c r="AN32" s="87">
        <v>0</v>
      </c>
      <c r="AO32" s="87">
        <v>0</v>
      </c>
      <c r="AP32" s="87">
        <v>0</v>
      </c>
      <c r="AQ32" s="87">
        <v>0</v>
      </c>
      <c r="AR32" s="88">
        <v>0</v>
      </c>
    </row>
    <row r="33" spans="2:44" ht="12" customHeight="1" x14ac:dyDescent="0.25">
      <c r="B33" s="86" t="s">
        <v>41</v>
      </c>
      <c r="C33" s="87" t="s">
        <v>86</v>
      </c>
      <c r="D33" s="87" t="s">
        <v>42</v>
      </c>
      <c r="E33" s="87" t="s">
        <v>25</v>
      </c>
      <c r="F33" s="87" t="s">
        <v>25</v>
      </c>
      <c r="G33" s="87" t="s">
        <v>535</v>
      </c>
      <c r="H33" s="87" t="s">
        <v>73</v>
      </c>
      <c r="I33" s="87" t="s">
        <v>25</v>
      </c>
      <c r="J33" s="87">
        <v>0</v>
      </c>
      <c r="K33" s="87">
        <v>0</v>
      </c>
      <c r="L33" s="87">
        <v>0</v>
      </c>
      <c r="M33" s="87">
        <v>0</v>
      </c>
      <c r="N33" s="87">
        <v>0</v>
      </c>
      <c r="O33" s="87">
        <v>0</v>
      </c>
      <c r="P33" s="87">
        <v>0</v>
      </c>
      <c r="Q33" s="87">
        <v>0</v>
      </c>
      <c r="R33" s="87">
        <v>0</v>
      </c>
      <c r="S33" s="87">
        <v>0</v>
      </c>
      <c r="T33" s="87">
        <v>0</v>
      </c>
      <c r="U33" s="87">
        <v>0</v>
      </c>
      <c r="V33" s="87">
        <v>0</v>
      </c>
      <c r="W33" s="87">
        <v>0</v>
      </c>
      <c r="X33" s="87">
        <v>0</v>
      </c>
      <c r="Y33" s="87">
        <v>0</v>
      </c>
      <c r="Z33" s="87">
        <v>0</v>
      </c>
      <c r="AA33" s="87">
        <v>0</v>
      </c>
      <c r="AB33" s="87">
        <v>0</v>
      </c>
      <c r="AC33" s="87">
        <v>0</v>
      </c>
      <c r="AD33" s="87">
        <v>0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0</v>
      </c>
      <c r="AN33" s="87">
        <v>0</v>
      </c>
      <c r="AO33" s="87">
        <v>0</v>
      </c>
      <c r="AP33" s="87">
        <v>0</v>
      </c>
      <c r="AQ33" s="87">
        <v>0</v>
      </c>
      <c r="AR33" s="88">
        <v>0</v>
      </c>
    </row>
    <row r="34" spans="2:44" ht="12" customHeight="1" x14ac:dyDescent="0.25">
      <c r="B34" s="86" t="s">
        <v>41</v>
      </c>
      <c r="C34" s="87" t="s">
        <v>86</v>
      </c>
      <c r="D34" s="87" t="s">
        <v>42</v>
      </c>
      <c r="E34" s="87" t="s">
        <v>25</v>
      </c>
      <c r="F34" s="87" t="s">
        <v>25</v>
      </c>
      <c r="G34" s="87" t="s">
        <v>38</v>
      </c>
      <c r="H34" s="87" t="s">
        <v>73</v>
      </c>
      <c r="I34" s="87" t="s">
        <v>25</v>
      </c>
      <c r="J34" s="87">
        <v>0</v>
      </c>
      <c r="K34" s="87">
        <v>0</v>
      </c>
      <c r="L34" s="87">
        <v>0</v>
      </c>
      <c r="M34" s="87">
        <v>0</v>
      </c>
      <c r="N34" s="87">
        <v>0</v>
      </c>
      <c r="O34" s="87">
        <v>0</v>
      </c>
      <c r="P34" s="87">
        <v>0</v>
      </c>
      <c r="Q34" s="87">
        <v>0</v>
      </c>
      <c r="R34" s="87">
        <v>0</v>
      </c>
      <c r="S34" s="87">
        <v>0</v>
      </c>
      <c r="T34" s="87">
        <v>0</v>
      </c>
      <c r="U34" s="87">
        <v>0</v>
      </c>
      <c r="V34" s="87">
        <v>0</v>
      </c>
      <c r="W34" s="87">
        <v>0</v>
      </c>
      <c r="X34" s="87">
        <v>0</v>
      </c>
      <c r="Y34" s="87">
        <v>0</v>
      </c>
      <c r="Z34" s="87">
        <v>0</v>
      </c>
      <c r="AA34" s="87">
        <v>0</v>
      </c>
      <c r="AB34" s="87">
        <v>0</v>
      </c>
      <c r="AC34" s="87">
        <v>0</v>
      </c>
      <c r="AD34" s="87">
        <v>0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0</v>
      </c>
      <c r="AN34" s="87">
        <v>0</v>
      </c>
      <c r="AO34" s="87">
        <v>0</v>
      </c>
      <c r="AP34" s="87">
        <v>0</v>
      </c>
      <c r="AQ34" s="87">
        <v>0</v>
      </c>
      <c r="AR34" s="88">
        <v>0</v>
      </c>
    </row>
    <row r="35" spans="2:44" ht="12" customHeight="1" x14ac:dyDescent="0.25">
      <c r="B35" s="86" t="s">
        <v>41</v>
      </c>
      <c r="C35" s="87" t="s">
        <v>86</v>
      </c>
      <c r="D35" s="87" t="s">
        <v>42</v>
      </c>
      <c r="E35" s="87" t="s">
        <v>90</v>
      </c>
      <c r="F35" s="87" t="s">
        <v>25</v>
      </c>
      <c r="G35" s="87" t="s">
        <v>37</v>
      </c>
      <c r="H35" s="87" t="s">
        <v>73</v>
      </c>
      <c r="I35" s="87" t="s">
        <v>25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  <c r="R35" s="87">
        <v>0</v>
      </c>
      <c r="S35" s="87">
        <v>0</v>
      </c>
      <c r="T35" s="87">
        <v>0</v>
      </c>
      <c r="U35" s="87">
        <v>0</v>
      </c>
      <c r="V35" s="87">
        <v>0</v>
      </c>
      <c r="W35" s="87">
        <v>0</v>
      </c>
      <c r="X35" s="87">
        <v>0</v>
      </c>
      <c r="Y35" s="87">
        <v>0</v>
      </c>
      <c r="Z35" s="87">
        <v>0</v>
      </c>
      <c r="AA35" s="87">
        <v>0</v>
      </c>
      <c r="AB35" s="87">
        <v>0</v>
      </c>
      <c r="AC35" s="87">
        <v>0</v>
      </c>
      <c r="AD35" s="87">
        <v>0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0</v>
      </c>
      <c r="AN35" s="87">
        <v>0</v>
      </c>
      <c r="AO35" s="87">
        <v>0</v>
      </c>
      <c r="AP35" s="87">
        <v>0</v>
      </c>
      <c r="AQ35" s="87">
        <v>0</v>
      </c>
      <c r="AR35" s="88">
        <v>0</v>
      </c>
    </row>
    <row r="36" spans="2:44" ht="12" customHeight="1" x14ac:dyDescent="0.25">
      <c r="B36" s="86" t="s">
        <v>41</v>
      </c>
      <c r="C36" s="87" t="s">
        <v>86</v>
      </c>
      <c r="D36" s="87" t="s">
        <v>42</v>
      </c>
      <c r="E36" s="87" t="s">
        <v>90</v>
      </c>
      <c r="F36" s="87" t="s">
        <v>25</v>
      </c>
      <c r="G36" s="87" t="s">
        <v>535</v>
      </c>
      <c r="H36" s="87" t="s">
        <v>73</v>
      </c>
      <c r="I36" s="87" t="s">
        <v>25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7">
        <v>0</v>
      </c>
      <c r="Q36" s="87">
        <v>0</v>
      </c>
      <c r="R36" s="87">
        <v>0</v>
      </c>
      <c r="S36" s="87">
        <v>0</v>
      </c>
      <c r="T36" s="87">
        <v>0</v>
      </c>
      <c r="U36" s="87">
        <v>0</v>
      </c>
      <c r="V36" s="87">
        <v>0</v>
      </c>
      <c r="W36" s="87">
        <v>0</v>
      </c>
      <c r="X36" s="87">
        <v>0</v>
      </c>
      <c r="Y36" s="87">
        <v>0</v>
      </c>
      <c r="Z36" s="87">
        <v>0</v>
      </c>
      <c r="AA36" s="87">
        <v>0</v>
      </c>
      <c r="AB36" s="87">
        <v>0</v>
      </c>
      <c r="AC36" s="87">
        <v>0</v>
      </c>
      <c r="AD36" s="87">
        <v>0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0</v>
      </c>
      <c r="AN36" s="87">
        <v>0</v>
      </c>
      <c r="AO36" s="87">
        <v>0</v>
      </c>
      <c r="AP36" s="87">
        <v>0</v>
      </c>
      <c r="AQ36" s="87">
        <v>0</v>
      </c>
      <c r="AR36" s="88">
        <v>0</v>
      </c>
    </row>
    <row r="37" spans="2:44" ht="12" customHeight="1" x14ac:dyDescent="0.25">
      <c r="B37" s="86" t="s">
        <v>41</v>
      </c>
      <c r="C37" s="87" t="s">
        <v>86</v>
      </c>
      <c r="D37" s="87" t="s">
        <v>42</v>
      </c>
      <c r="E37" s="87" t="s">
        <v>90</v>
      </c>
      <c r="F37" s="87" t="s">
        <v>25</v>
      </c>
      <c r="G37" s="87" t="s">
        <v>38</v>
      </c>
      <c r="H37" s="87" t="s">
        <v>73</v>
      </c>
      <c r="I37" s="87" t="s">
        <v>25</v>
      </c>
      <c r="J37" s="87">
        <v>0</v>
      </c>
      <c r="K37" s="87">
        <v>0</v>
      </c>
      <c r="L37" s="87">
        <v>0</v>
      </c>
      <c r="M37" s="87">
        <v>0</v>
      </c>
      <c r="N37" s="87">
        <v>0</v>
      </c>
      <c r="O37" s="87">
        <v>0</v>
      </c>
      <c r="P37" s="87">
        <v>0</v>
      </c>
      <c r="Q37" s="87">
        <v>0</v>
      </c>
      <c r="R37" s="87">
        <v>0</v>
      </c>
      <c r="S37" s="87">
        <v>0</v>
      </c>
      <c r="T37" s="87">
        <v>0</v>
      </c>
      <c r="U37" s="87">
        <v>0</v>
      </c>
      <c r="V37" s="87">
        <v>0</v>
      </c>
      <c r="W37" s="87">
        <v>0</v>
      </c>
      <c r="X37" s="87">
        <v>0</v>
      </c>
      <c r="Y37" s="87">
        <v>0</v>
      </c>
      <c r="Z37" s="87">
        <v>0</v>
      </c>
      <c r="AA37" s="87">
        <v>0</v>
      </c>
      <c r="AB37" s="87">
        <v>0</v>
      </c>
      <c r="AC37" s="87">
        <v>0</v>
      </c>
      <c r="AD37" s="87">
        <v>0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0</v>
      </c>
      <c r="AN37" s="87">
        <v>0</v>
      </c>
      <c r="AO37" s="87">
        <v>0</v>
      </c>
      <c r="AP37" s="87">
        <v>0</v>
      </c>
      <c r="AQ37" s="87">
        <v>0</v>
      </c>
      <c r="AR37" s="88">
        <v>0</v>
      </c>
    </row>
    <row r="38" spans="2:44" ht="12" customHeight="1" x14ac:dyDescent="0.25">
      <c r="B38" s="86" t="s">
        <v>41</v>
      </c>
      <c r="C38" s="87" t="s">
        <v>23</v>
      </c>
      <c r="D38" s="87" t="s">
        <v>42</v>
      </c>
      <c r="E38" s="87" t="s">
        <v>89</v>
      </c>
      <c r="F38" s="87" t="s">
        <v>25</v>
      </c>
      <c r="G38" s="87" t="s">
        <v>25</v>
      </c>
      <c r="H38" s="87" t="s">
        <v>73</v>
      </c>
      <c r="I38" s="87" t="s">
        <v>25</v>
      </c>
      <c r="J38" s="87">
        <v>0</v>
      </c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7">
        <v>0</v>
      </c>
      <c r="Q38" s="87">
        <v>0</v>
      </c>
      <c r="R38" s="87">
        <v>0</v>
      </c>
      <c r="S38" s="87">
        <v>0</v>
      </c>
      <c r="T38" s="87">
        <v>0</v>
      </c>
      <c r="U38" s="87">
        <v>0</v>
      </c>
      <c r="V38" s="87">
        <v>0</v>
      </c>
      <c r="W38" s="87">
        <v>0</v>
      </c>
      <c r="X38" s="87">
        <v>0</v>
      </c>
      <c r="Y38" s="87">
        <v>0</v>
      </c>
      <c r="Z38" s="87">
        <v>0</v>
      </c>
      <c r="AA38" s="87">
        <v>0</v>
      </c>
      <c r="AB38" s="87">
        <v>0</v>
      </c>
      <c r="AC38" s="87">
        <v>0</v>
      </c>
      <c r="AD38" s="87">
        <v>0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0</v>
      </c>
      <c r="AN38" s="87">
        <v>0</v>
      </c>
      <c r="AO38" s="87">
        <v>0</v>
      </c>
      <c r="AP38" s="87">
        <v>0</v>
      </c>
      <c r="AQ38" s="87">
        <v>0</v>
      </c>
      <c r="AR38" s="88">
        <v>0</v>
      </c>
    </row>
    <row r="39" spans="2:44" ht="12" customHeight="1" x14ac:dyDescent="0.25">
      <c r="B39" s="86" t="s">
        <v>41</v>
      </c>
      <c r="C39" s="87" t="s">
        <v>23</v>
      </c>
      <c r="D39" s="87" t="s">
        <v>42</v>
      </c>
      <c r="E39" s="87" t="s">
        <v>25</v>
      </c>
      <c r="F39" s="87" t="s">
        <v>25</v>
      </c>
      <c r="G39" s="87" t="s">
        <v>25</v>
      </c>
      <c r="H39" s="87" t="s">
        <v>73</v>
      </c>
      <c r="I39" s="87" t="s">
        <v>25</v>
      </c>
      <c r="J39" s="87">
        <v>0</v>
      </c>
      <c r="K39" s="87">
        <v>0</v>
      </c>
      <c r="L39" s="87">
        <v>0</v>
      </c>
      <c r="M39" s="87">
        <v>0</v>
      </c>
      <c r="N39" s="87">
        <v>0</v>
      </c>
      <c r="O39" s="87">
        <v>0</v>
      </c>
      <c r="P39" s="87">
        <v>0</v>
      </c>
      <c r="Q39" s="87">
        <v>0</v>
      </c>
      <c r="R39" s="87">
        <v>0</v>
      </c>
      <c r="S39" s="87">
        <v>0</v>
      </c>
      <c r="T39" s="87">
        <v>0</v>
      </c>
      <c r="U39" s="87">
        <v>0</v>
      </c>
      <c r="V39" s="87">
        <v>0</v>
      </c>
      <c r="W39" s="87">
        <v>0</v>
      </c>
      <c r="X39" s="87">
        <v>0</v>
      </c>
      <c r="Y39" s="87">
        <v>0</v>
      </c>
      <c r="Z39" s="87">
        <v>0</v>
      </c>
      <c r="AA39" s="87">
        <v>0</v>
      </c>
      <c r="AB39" s="87">
        <v>0</v>
      </c>
      <c r="AC39" s="87">
        <v>0</v>
      </c>
      <c r="AD39" s="87">
        <v>0</v>
      </c>
      <c r="AE39" s="87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0</v>
      </c>
      <c r="AN39" s="87">
        <v>0</v>
      </c>
      <c r="AO39" s="87">
        <v>0</v>
      </c>
      <c r="AP39" s="87">
        <v>0</v>
      </c>
      <c r="AQ39" s="87">
        <v>0</v>
      </c>
      <c r="AR39" s="88">
        <v>0</v>
      </c>
    </row>
    <row r="40" spans="2:44" ht="12" customHeight="1" x14ac:dyDescent="0.25">
      <c r="B40" s="86" t="s">
        <v>41</v>
      </c>
      <c r="C40" s="87" t="s">
        <v>23</v>
      </c>
      <c r="D40" s="87" t="s">
        <v>42</v>
      </c>
      <c r="E40" s="87" t="s">
        <v>90</v>
      </c>
      <c r="F40" s="87" t="s">
        <v>25</v>
      </c>
      <c r="G40" s="87" t="s">
        <v>25</v>
      </c>
      <c r="H40" s="87" t="s">
        <v>73</v>
      </c>
      <c r="I40" s="87" t="s">
        <v>25</v>
      </c>
      <c r="J40" s="87">
        <v>0</v>
      </c>
      <c r="K40" s="87">
        <v>0</v>
      </c>
      <c r="L40" s="87">
        <v>0</v>
      </c>
      <c r="M40" s="87">
        <v>0</v>
      </c>
      <c r="N40" s="87">
        <v>0</v>
      </c>
      <c r="O40" s="87">
        <v>0</v>
      </c>
      <c r="P40" s="87">
        <v>0</v>
      </c>
      <c r="Q40" s="87">
        <v>0</v>
      </c>
      <c r="R40" s="87">
        <v>0</v>
      </c>
      <c r="S40" s="87">
        <v>0</v>
      </c>
      <c r="T40" s="87">
        <v>0</v>
      </c>
      <c r="U40" s="87">
        <v>0</v>
      </c>
      <c r="V40" s="87">
        <v>0</v>
      </c>
      <c r="W40" s="87">
        <v>0</v>
      </c>
      <c r="X40" s="87">
        <v>0</v>
      </c>
      <c r="Y40" s="87">
        <v>0</v>
      </c>
      <c r="Z40" s="87">
        <v>0</v>
      </c>
      <c r="AA40" s="87">
        <v>0</v>
      </c>
      <c r="AB40" s="87">
        <v>0</v>
      </c>
      <c r="AC40" s="87">
        <v>0</v>
      </c>
      <c r="AD40" s="87">
        <v>0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0</v>
      </c>
      <c r="AN40" s="87">
        <v>0</v>
      </c>
      <c r="AO40" s="87">
        <v>0</v>
      </c>
      <c r="AP40" s="87">
        <v>0</v>
      </c>
      <c r="AQ40" s="87">
        <v>0</v>
      </c>
      <c r="AR40" s="88">
        <v>0</v>
      </c>
    </row>
    <row r="41" spans="2:44" ht="12" customHeight="1" x14ac:dyDescent="0.25">
      <c r="B41" s="86" t="s">
        <v>41</v>
      </c>
      <c r="C41" s="87" t="s">
        <v>88</v>
      </c>
      <c r="D41" s="87" t="s">
        <v>42</v>
      </c>
      <c r="E41" s="87" t="s">
        <v>89</v>
      </c>
      <c r="F41" s="87" t="s">
        <v>25</v>
      </c>
      <c r="G41" s="87" t="s">
        <v>25</v>
      </c>
      <c r="H41" s="87" t="s">
        <v>73</v>
      </c>
      <c r="I41" s="87" t="s">
        <v>25</v>
      </c>
      <c r="J41" s="87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0</v>
      </c>
      <c r="R41" s="87">
        <v>0</v>
      </c>
      <c r="S41" s="87">
        <v>0</v>
      </c>
      <c r="T41" s="87">
        <v>0</v>
      </c>
      <c r="U41" s="87">
        <v>0</v>
      </c>
      <c r="V41" s="87">
        <v>0</v>
      </c>
      <c r="W41" s="87">
        <v>0</v>
      </c>
      <c r="X41" s="87">
        <v>0</v>
      </c>
      <c r="Y41" s="87">
        <v>0</v>
      </c>
      <c r="Z41" s="87">
        <v>0</v>
      </c>
      <c r="AA41" s="87">
        <v>0</v>
      </c>
      <c r="AB41" s="87">
        <v>0</v>
      </c>
      <c r="AC41" s="87">
        <v>0</v>
      </c>
      <c r="AD41" s="87">
        <v>0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0</v>
      </c>
      <c r="AN41" s="87">
        <v>0</v>
      </c>
      <c r="AO41" s="87">
        <v>0</v>
      </c>
      <c r="AP41" s="87">
        <v>0</v>
      </c>
      <c r="AQ41" s="87">
        <v>0</v>
      </c>
      <c r="AR41" s="88">
        <v>0</v>
      </c>
    </row>
    <row r="42" spans="2:44" ht="12" customHeight="1" x14ac:dyDescent="0.25">
      <c r="B42" s="86" t="s">
        <v>41</v>
      </c>
      <c r="C42" s="87" t="s">
        <v>88</v>
      </c>
      <c r="D42" s="87" t="s">
        <v>42</v>
      </c>
      <c r="E42" s="87" t="s">
        <v>25</v>
      </c>
      <c r="F42" s="87" t="s">
        <v>25</v>
      </c>
      <c r="G42" s="87" t="s">
        <v>25</v>
      </c>
      <c r="H42" s="87" t="s">
        <v>73</v>
      </c>
      <c r="I42" s="87" t="s">
        <v>25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  <c r="R42" s="87">
        <v>0</v>
      </c>
      <c r="S42" s="87">
        <v>0</v>
      </c>
      <c r="T42" s="87">
        <v>0</v>
      </c>
      <c r="U42" s="87">
        <v>0</v>
      </c>
      <c r="V42" s="87">
        <v>0</v>
      </c>
      <c r="W42" s="87">
        <v>0</v>
      </c>
      <c r="X42" s="87">
        <v>0</v>
      </c>
      <c r="Y42" s="87">
        <v>0</v>
      </c>
      <c r="Z42" s="87">
        <v>0</v>
      </c>
      <c r="AA42" s="87">
        <v>0</v>
      </c>
      <c r="AB42" s="87">
        <v>0</v>
      </c>
      <c r="AC42" s="87">
        <v>0</v>
      </c>
      <c r="AD42" s="87">
        <v>0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0</v>
      </c>
      <c r="AN42" s="87">
        <v>0</v>
      </c>
      <c r="AO42" s="87">
        <v>0</v>
      </c>
      <c r="AP42" s="87">
        <v>0</v>
      </c>
      <c r="AQ42" s="87">
        <v>0</v>
      </c>
      <c r="AR42" s="88">
        <v>0</v>
      </c>
    </row>
    <row r="43" spans="2:44" ht="12" customHeight="1" x14ac:dyDescent="0.25">
      <c r="B43" s="86" t="s">
        <v>41</v>
      </c>
      <c r="C43" s="87" t="s">
        <v>88</v>
      </c>
      <c r="D43" s="87" t="s">
        <v>42</v>
      </c>
      <c r="E43" s="87" t="s">
        <v>90</v>
      </c>
      <c r="F43" s="87" t="s">
        <v>25</v>
      </c>
      <c r="G43" s="87" t="s">
        <v>25</v>
      </c>
      <c r="H43" s="87" t="s">
        <v>73</v>
      </c>
      <c r="I43" s="87" t="s">
        <v>25</v>
      </c>
      <c r="J43" s="87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  <c r="R43" s="87">
        <v>0</v>
      </c>
      <c r="S43" s="87">
        <v>0</v>
      </c>
      <c r="T43" s="87">
        <v>0</v>
      </c>
      <c r="U43" s="87">
        <v>0</v>
      </c>
      <c r="V43" s="87">
        <v>0</v>
      </c>
      <c r="W43" s="87">
        <v>0</v>
      </c>
      <c r="X43" s="87">
        <v>0</v>
      </c>
      <c r="Y43" s="87">
        <v>0</v>
      </c>
      <c r="Z43" s="87">
        <v>0</v>
      </c>
      <c r="AA43" s="87">
        <v>0</v>
      </c>
      <c r="AB43" s="87">
        <v>0</v>
      </c>
      <c r="AC43" s="87">
        <v>0</v>
      </c>
      <c r="AD43" s="87">
        <v>0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0</v>
      </c>
      <c r="AN43" s="87">
        <v>0</v>
      </c>
      <c r="AO43" s="87">
        <v>0</v>
      </c>
      <c r="AP43" s="87">
        <v>0</v>
      </c>
      <c r="AQ43" s="87">
        <v>0</v>
      </c>
      <c r="AR43" s="88">
        <v>0</v>
      </c>
    </row>
    <row r="44" spans="2:44" ht="12" customHeight="1" x14ac:dyDescent="0.25">
      <c r="B44" s="86" t="s">
        <v>33</v>
      </c>
      <c r="C44" s="87" t="s">
        <v>86</v>
      </c>
      <c r="D44" s="87" t="s">
        <v>25</v>
      </c>
      <c r="E44" s="87" t="s">
        <v>25</v>
      </c>
      <c r="F44" s="87" t="s">
        <v>25</v>
      </c>
      <c r="G44" s="87" t="s">
        <v>37</v>
      </c>
      <c r="H44" s="87" t="s">
        <v>73</v>
      </c>
      <c r="I44" s="87" t="s">
        <v>25</v>
      </c>
      <c r="J44" s="87">
        <v>0</v>
      </c>
      <c r="K44" s="87">
        <v>0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  <c r="Q44" s="87">
        <v>0</v>
      </c>
      <c r="R44" s="87">
        <v>0</v>
      </c>
      <c r="S44" s="87">
        <v>0</v>
      </c>
      <c r="T44" s="87">
        <v>0</v>
      </c>
      <c r="U44" s="87">
        <v>0</v>
      </c>
      <c r="V44" s="87">
        <v>0</v>
      </c>
      <c r="W44" s="87">
        <v>0</v>
      </c>
      <c r="X44" s="87">
        <v>0</v>
      </c>
      <c r="Y44" s="87">
        <v>0</v>
      </c>
      <c r="Z44" s="87">
        <v>0</v>
      </c>
      <c r="AA44" s="87">
        <v>0</v>
      </c>
      <c r="AB44" s="87">
        <v>0</v>
      </c>
      <c r="AC44" s="87">
        <v>0</v>
      </c>
      <c r="AD44" s="87">
        <v>0</v>
      </c>
      <c r="AE44" s="87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0</v>
      </c>
      <c r="AM44" s="87">
        <v>0</v>
      </c>
      <c r="AN44" s="87">
        <v>0</v>
      </c>
      <c r="AO44" s="87">
        <v>0</v>
      </c>
      <c r="AP44" s="87">
        <v>0</v>
      </c>
      <c r="AQ44" s="87">
        <v>0</v>
      </c>
      <c r="AR44" s="88">
        <v>0</v>
      </c>
    </row>
    <row r="45" spans="2:44" ht="12" customHeight="1" x14ac:dyDescent="0.25">
      <c r="B45" s="86" t="s">
        <v>33</v>
      </c>
      <c r="C45" s="87" t="s">
        <v>86</v>
      </c>
      <c r="D45" s="87" t="s">
        <v>25</v>
      </c>
      <c r="E45" s="87" t="s">
        <v>25</v>
      </c>
      <c r="F45" s="87" t="s">
        <v>25</v>
      </c>
      <c r="G45" s="87" t="s">
        <v>535</v>
      </c>
      <c r="H45" s="87" t="s">
        <v>73</v>
      </c>
      <c r="I45" s="87" t="s">
        <v>25</v>
      </c>
      <c r="J45" s="87">
        <v>0</v>
      </c>
      <c r="K45" s="87">
        <v>0</v>
      </c>
      <c r="L45" s="87">
        <v>0</v>
      </c>
      <c r="M45" s="87">
        <v>0</v>
      </c>
      <c r="N45" s="87">
        <v>0</v>
      </c>
      <c r="O45" s="87">
        <v>0</v>
      </c>
      <c r="P45" s="87">
        <v>0</v>
      </c>
      <c r="Q45" s="87">
        <v>0</v>
      </c>
      <c r="R45" s="87">
        <v>0</v>
      </c>
      <c r="S45" s="87">
        <v>0</v>
      </c>
      <c r="T45" s="87">
        <v>0</v>
      </c>
      <c r="U45" s="87">
        <v>0</v>
      </c>
      <c r="V45" s="87">
        <v>0</v>
      </c>
      <c r="W45" s="87">
        <v>0</v>
      </c>
      <c r="X45" s="87">
        <v>0</v>
      </c>
      <c r="Y45" s="87">
        <v>0</v>
      </c>
      <c r="Z45" s="87">
        <v>0</v>
      </c>
      <c r="AA45" s="87">
        <v>0</v>
      </c>
      <c r="AB45" s="87">
        <v>0</v>
      </c>
      <c r="AC45" s="87">
        <v>0</v>
      </c>
      <c r="AD45" s="87">
        <v>0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0</v>
      </c>
      <c r="AN45" s="87">
        <v>0</v>
      </c>
      <c r="AO45" s="87">
        <v>0</v>
      </c>
      <c r="AP45" s="87">
        <v>0</v>
      </c>
      <c r="AQ45" s="87">
        <v>0</v>
      </c>
      <c r="AR45" s="88">
        <v>0</v>
      </c>
    </row>
    <row r="46" spans="2:44" ht="12" customHeight="1" x14ac:dyDescent="0.25">
      <c r="B46" s="86" t="s">
        <v>33</v>
      </c>
      <c r="C46" s="87" t="s">
        <v>86</v>
      </c>
      <c r="D46" s="87" t="s">
        <v>25</v>
      </c>
      <c r="E46" s="87" t="s">
        <v>25</v>
      </c>
      <c r="F46" s="87" t="s">
        <v>25</v>
      </c>
      <c r="G46" s="87" t="s">
        <v>38</v>
      </c>
      <c r="H46" s="87" t="s">
        <v>73</v>
      </c>
      <c r="I46" s="87" t="s">
        <v>25</v>
      </c>
      <c r="J46" s="87">
        <v>0</v>
      </c>
      <c r="K46" s="87">
        <v>0</v>
      </c>
      <c r="L46" s="87">
        <v>0</v>
      </c>
      <c r="M46" s="87">
        <v>0</v>
      </c>
      <c r="N46" s="87">
        <v>0</v>
      </c>
      <c r="O46" s="87">
        <v>0</v>
      </c>
      <c r="P46" s="87">
        <v>0</v>
      </c>
      <c r="Q46" s="87">
        <v>0</v>
      </c>
      <c r="R46" s="87">
        <v>0</v>
      </c>
      <c r="S46" s="87">
        <v>0</v>
      </c>
      <c r="T46" s="87">
        <v>0</v>
      </c>
      <c r="U46" s="87">
        <v>0</v>
      </c>
      <c r="V46" s="87">
        <v>0</v>
      </c>
      <c r="W46" s="87">
        <v>0</v>
      </c>
      <c r="X46" s="87">
        <v>0</v>
      </c>
      <c r="Y46" s="87">
        <v>0</v>
      </c>
      <c r="Z46" s="87">
        <v>0</v>
      </c>
      <c r="AA46" s="87">
        <v>0</v>
      </c>
      <c r="AB46" s="87">
        <v>0</v>
      </c>
      <c r="AC46" s="87">
        <v>0</v>
      </c>
      <c r="AD46" s="87">
        <v>0</v>
      </c>
      <c r="AE46" s="87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0</v>
      </c>
      <c r="AN46" s="87">
        <v>0</v>
      </c>
      <c r="AO46" s="87">
        <v>0</v>
      </c>
      <c r="AP46" s="87">
        <v>0</v>
      </c>
      <c r="AQ46" s="87">
        <v>0</v>
      </c>
      <c r="AR46" s="88">
        <v>0</v>
      </c>
    </row>
    <row r="47" spans="2:44" ht="12" customHeight="1" x14ac:dyDescent="0.25">
      <c r="B47" s="86" t="s">
        <v>33</v>
      </c>
      <c r="C47" s="87" t="s">
        <v>23</v>
      </c>
      <c r="D47" s="87" t="s">
        <v>25</v>
      </c>
      <c r="E47" s="87" t="s">
        <v>25</v>
      </c>
      <c r="F47" s="87" t="s">
        <v>25</v>
      </c>
      <c r="G47" s="87" t="s">
        <v>25</v>
      </c>
      <c r="H47" s="87" t="s">
        <v>73</v>
      </c>
      <c r="I47" s="87" t="s">
        <v>25</v>
      </c>
      <c r="J47" s="87">
        <v>0</v>
      </c>
      <c r="K47" s="87">
        <v>0</v>
      </c>
      <c r="L47" s="87">
        <v>0</v>
      </c>
      <c r="M47" s="87">
        <v>0</v>
      </c>
      <c r="N47" s="87">
        <v>0</v>
      </c>
      <c r="O47" s="87">
        <v>0</v>
      </c>
      <c r="P47" s="87">
        <v>0</v>
      </c>
      <c r="Q47" s="87">
        <v>0</v>
      </c>
      <c r="R47" s="87">
        <v>0</v>
      </c>
      <c r="S47" s="87">
        <v>0</v>
      </c>
      <c r="T47" s="87">
        <v>0</v>
      </c>
      <c r="U47" s="87">
        <v>0</v>
      </c>
      <c r="V47" s="87">
        <v>0</v>
      </c>
      <c r="W47" s="87">
        <v>0</v>
      </c>
      <c r="X47" s="87">
        <v>0</v>
      </c>
      <c r="Y47" s="87">
        <v>0</v>
      </c>
      <c r="Z47" s="87">
        <v>0</v>
      </c>
      <c r="AA47" s="87">
        <v>0</v>
      </c>
      <c r="AB47" s="87">
        <v>0</v>
      </c>
      <c r="AC47" s="87">
        <v>0</v>
      </c>
      <c r="AD47" s="87">
        <v>0</v>
      </c>
      <c r="AE47" s="87">
        <v>0</v>
      </c>
      <c r="AF47" s="87">
        <v>0</v>
      </c>
      <c r="AG47" s="87">
        <v>0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0</v>
      </c>
      <c r="AN47" s="87">
        <v>0</v>
      </c>
      <c r="AO47" s="87">
        <v>0</v>
      </c>
      <c r="AP47" s="87">
        <v>0</v>
      </c>
      <c r="AQ47" s="87">
        <v>0</v>
      </c>
      <c r="AR47" s="88">
        <v>0</v>
      </c>
    </row>
    <row r="48" spans="2:44" ht="12" customHeight="1" x14ac:dyDescent="0.25">
      <c r="B48" s="86" t="s">
        <v>33</v>
      </c>
      <c r="C48" s="87" t="s">
        <v>88</v>
      </c>
      <c r="D48" s="87" t="s">
        <v>25</v>
      </c>
      <c r="E48" s="87" t="s">
        <v>25</v>
      </c>
      <c r="F48" s="87" t="s">
        <v>25</v>
      </c>
      <c r="G48" s="87" t="s">
        <v>25</v>
      </c>
      <c r="H48" s="87" t="s">
        <v>73</v>
      </c>
      <c r="I48" s="87" t="s">
        <v>25</v>
      </c>
      <c r="J48" s="87">
        <v>0</v>
      </c>
      <c r="K48" s="87">
        <v>0</v>
      </c>
      <c r="L48" s="87">
        <v>0</v>
      </c>
      <c r="M48" s="87">
        <v>0</v>
      </c>
      <c r="N48" s="87">
        <v>0</v>
      </c>
      <c r="O48" s="87">
        <v>0</v>
      </c>
      <c r="P48" s="87">
        <v>0</v>
      </c>
      <c r="Q48" s="87">
        <v>0</v>
      </c>
      <c r="R48" s="87">
        <v>0</v>
      </c>
      <c r="S48" s="87">
        <v>0</v>
      </c>
      <c r="T48" s="87">
        <v>0</v>
      </c>
      <c r="U48" s="87">
        <v>0</v>
      </c>
      <c r="V48" s="87">
        <v>0</v>
      </c>
      <c r="W48" s="87">
        <v>0</v>
      </c>
      <c r="X48" s="87">
        <v>0</v>
      </c>
      <c r="Y48" s="87">
        <v>0</v>
      </c>
      <c r="Z48" s="87">
        <v>0</v>
      </c>
      <c r="AA48" s="87">
        <v>0</v>
      </c>
      <c r="AB48" s="87">
        <v>0</v>
      </c>
      <c r="AC48" s="87">
        <v>0</v>
      </c>
      <c r="AD48" s="87">
        <v>0</v>
      </c>
      <c r="AE48" s="87">
        <v>0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0</v>
      </c>
      <c r="AN48" s="87">
        <v>0</v>
      </c>
      <c r="AO48" s="87">
        <v>0</v>
      </c>
      <c r="AP48" s="87">
        <v>0</v>
      </c>
      <c r="AQ48" s="87">
        <v>0</v>
      </c>
      <c r="AR48" s="88">
        <v>0</v>
      </c>
    </row>
    <row r="49" spans="2:44" ht="12" customHeight="1" x14ac:dyDescent="0.25">
      <c r="B49" s="86" t="s">
        <v>44</v>
      </c>
      <c r="C49" s="87" t="s">
        <v>23</v>
      </c>
      <c r="D49" s="87" t="s">
        <v>45</v>
      </c>
      <c r="E49" s="87" t="s">
        <v>46</v>
      </c>
      <c r="F49" s="87" t="s">
        <v>25</v>
      </c>
      <c r="G49" s="87" t="s">
        <v>25</v>
      </c>
      <c r="H49" s="87" t="s">
        <v>73</v>
      </c>
      <c r="I49" s="87" t="s">
        <v>25</v>
      </c>
      <c r="J49" s="87">
        <v>0</v>
      </c>
      <c r="K49" s="87">
        <v>0</v>
      </c>
      <c r="L49" s="87">
        <v>0</v>
      </c>
      <c r="M49" s="87">
        <v>0</v>
      </c>
      <c r="N49" s="87">
        <v>0</v>
      </c>
      <c r="O49" s="87">
        <v>0</v>
      </c>
      <c r="P49" s="87">
        <v>0</v>
      </c>
      <c r="Q49" s="87">
        <v>0</v>
      </c>
      <c r="R49" s="87">
        <v>0</v>
      </c>
      <c r="S49" s="87">
        <v>0</v>
      </c>
      <c r="T49" s="87">
        <v>0</v>
      </c>
      <c r="U49" s="87">
        <v>0</v>
      </c>
      <c r="V49" s="87">
        <v>0</v>
      </c>
      <c r="W49" s="87">
        <v>0</v>
      </c>
      <c r="X49" s="87">
        <v>0</v>
      </c>
      <c r="Y49" s="87">
        <v>0</v>
      </c>
      <c r="Z49" s="87">
        <v>0</v>
      </c>
      <c r="AA49" s="87">
        <v>0</v>
      </c>
      <c r="AB49" s="87">
        <v>0</v>
      </c>
      <c r="AC49" s="87">
        <v>0</v>
      </c>
      <c r="AD49" s="87">
        <v>0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0</v>
      </c>
      <c r="AN49" s="87">
        <v>0</v>
      </c>
      <c r="AO49" s="87">
        <v>0</v>
      </c>
      <c r="AP49" s="87">
        <v>0</v>
      </c>
      <c r="AQ49" s="87">
        <v>0</v>
      </c>
      <c r="AR49" s="88">
        <v>0</v>
      </c>
    </row>
    <row r="50" spans="2:44" ht="12" customHeight="1" x14ac:dyDescent="0.25">
      <c r="B50" s="89" t="s">
        <v>44</v>
      </c>
      <c r="C50" s="90" t="s">
        <v>23</v>
      </c>
      <c r="D50" s="90" t="s">
        <v>45</v>
      </c>
      <c r="E50" s="90" t="s">
        <v>91</v>
      </c>
      <c r="F50" s="90" t="s">
        <v>25</v>
      </c>
      <c r="G50" s="90" t="s">
        <v>25</v>
      </c>
      <c r="H50" s="90" t="s">
        <v>73</v>
      </c>
      <c r="I50" s="90" t="s">
        <v>25</v>
      </c>
      <c r="J50" s="90">
        <v>0</v>
      </c>
      <c r="K50" s="90">
        <v>0</v>
      </c>
      <c r="L50" s="90">
        <v>0</v>
      </c>
      <c r="M50" s="90">
        <v>0</v>
      </c>
      <c r="N50" s="90">
        <v>0</v>
      </c>
      <c r="O50" s="90">
        <v>0</v>
      </c>
      <c r="P50" s="90">
        <v>0</v>
      </c>
      <c r="Q50" s="90">
        <v>0</v>
      </c>
      <c r="R50" s="90">
        <v>0</v>
      </c>
      <c r="S50" s="90">
        <v>0</v>
      </c>
      <c r="T50" s="90">
        <v>0</v>
      </c>
      <c r="U50" s="90">
        <v>0</v>
      </c>
      <c r="V50" s="90">
        <v>0</v>
      </c>
      <c r="W50" s="90">
        <v>0</v>
      </c>
      <c r="X50" s="90">
        <v>0</v>
      </c>
      <c r="Y50" s="90">
        <v>0</v>
      </c>
      <c r="Z50" s="90">
        <v>0</v>
      </c>
      <c r="AA50" s="90">
        <v>0</v>
      </c>
      <c r="AB50" s="90">
        <v>0</v>
      </c>
      <c r="AC50" s="90">
        <v>0</v>
      </c>
      <c r="AD50" s="90">
        <v>0</v>
      </c>
      <c r="AE50" s="90">
        <v>0</v>
      </c>
      <c r="AF50" s="90">
        <v>0</v>
      </c>
      <c r="AG50" s="90">
        <v>0</v>
      </c>
      <c r="AH50" s="90">
        <v>0</v>
      </c>
      <c r="AI50" s="90">
        <v>0</v>
      </c>
      <c r="AJ50" s="90">
        <v>0</v>
      </c>
      <c r="AK50" s="90">
        <v>0</v>
      </c>
      <c r="AL50" s="90">
        <v>0</v>
      </c>
      <c r="AM50" s="90">
        <v>0</v>
      </c>
      <c r="AN50" s="90">
        <v>0</v>
      </c>
      <c r="AO50" s="90">
        <v>0</v>
      </c>
      <c r="AP50" s="90">
        <v>0</v>
      </c>
      <c r="AQ50" s="90">
        <v>0</v>
      </c>
      <c r="AR50" s="91">
        <v>0</v>
      </c>
    </row>
  </sheetData>
  <mergeCells count="8">
    <mergeCell ref="L1:AG1"/>
    <mergeCell ref="AH1:AR1"/>
    <mergeCell ref="L2:S2"/>
    <mergeCell ref="T2:Z2"/>
    <mergeCell ref="AB2:AC2"/>
    <mergeCell ref="AD2:AG2"/>
    <mergeCell ref="AH2:AL2"/>
    <mergeCell ref="AN2:AQ2"/>
  </mergeCells>
  <phoneticPr fontId="1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2022-07-06T14:58:50Z</dcterms:created>
  <dcterms:modified xsi:type="dcterms:W3CDTF">2022-07-21T18:17:29Z</dcterms:modified>
</cp:coreProperties>
</file>